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05" windowWidth="10395" windowHeight="9165" tabRatio="822"/>
  </bookViews>
  <sheets>
    <sheet name="HOME" sheetId="12" r:id="rId1"/>
    <sheet name="CafeNH" sheetId="82" r:id="rId2"/>
    <sheet name="CSCaPhe" sheetId="90" r:id="rId3"/>
    <sheet name="CSCaoSu" sheetId="135" r:id="rId4"/>
    <sheet name="CSCaphe2" sheetId="136" r:id="rId5"/>
    <sheet name="MangCau" sheetId="140" r:id="rId6"/>
    <sheet name="CSDieu" sheetId="134" r:id="rId7"/>
    <sheet name="BoSua" sheetId="86" r:id="rId8"/>
    <sheet name="BoVoBeo" sheetId="83" r:id="rId9"/>
    <sheet name="NuoiDe" sheetId="84" r:id="rId10"/>
    <sheet name="NuoiGa" sheetId="41" r:id="rId11"/>
    <sheet name="GaThit" sheetId="105" r:id="rId12"/>
    <sheet name="GaDe" sheetId="104" r:id="rId13"/>
    <sheet name="HeoSS" sheetId="103" r:id="rId14"/>
    <sheet name="NuoiHeo" sheetId="144" r:id="rId15"/>
    <sheet name="HeoThit" sheetId="101" r:id="rId16"/>
    <sheet name="LonVoBeo" sheetId="24" r:id="rId17"/>
    <sheet name="TrauSS" sheetId="57" r:id="rId18"/>
    <sheet name="TrauVoBeo" sheetId="58" r:id="rId19"/>
    <sheet name="TrauBoSS" sheetId="102" r:id="rId20"/>
    <sheet name="TrauBoThit" sheetId="100" r:id="rId21"/>
    <sheet name="CNTom" sheetId="175" r:id="rId22"/>
    <sheet name="BotDa" sheetId="46" r:id="rId23"/>
    <sheet name="CheBienDa" sheetId="59" r:id="rId24"/>
    <sheet name="DaMyNghe" sheetId="56" r:id="rId25"/>
    <sheet name="BCS" sheetId="156" r:id="rId26"/>
    <sheet name="HoaHoi" sheetId="131" r:id="rId27"/>
    <sheet name="SanhSu" sheetId="154" r:id="rId28"/>
    <sheet name="KHBepGas" sheetId="155" r:id="rId29"/>
    <sheet name="ChanGa" sheetId="35" r:id="rId30"/>
    <sheet name="DaLanh" sheetId="163" r:id="rId31"/>
    <sheet name="CayCanh" sheetId="146" r:id="rId32"/>
    <sheet name="SaLon" sheetId="69" r:id="rId33"/>
    <sheet name="Internet" sheetId="38" r:id="rId34"/>
    <sheet name="Karaoke" sheetId="30" r:id="rId35"/>
    <sheet name="GiatSay" sheetId="176" r:id="rId36"/>
    <sheet name="CoKhi" sheetId="36" r:id="rId37"/>
    <sheet name="LuuNiem" sheetId="44" r:id="rId38"/>
    <sheet name="LuuNiem (2)" sheetId="158" r:id="rId39"/>
    <sheet name="VangMa" sheetId="153" r:id="rId40"/>
    <sheet name="NongSan1" sheetId="37" r:id="rId41"/>
    <sheet name="NongSan2" sheetId="160" r:id="rId42"/>
    <sheet name="NongSan3" sheetId="177" r:id="rId43"/>
    <sheet name="NongLamSan" sheetId="81" r:id="rId44"/>
    <sheet name="TapHoa" sheetId="49" r:id="rId45"/>
    <sheet name="VanPhongPham" sheetId="76" r:id="rId46"/>
    <sheet name="Dien" sheetId="34" r:id="rId47"/>
    <sheet name="DienMay" sheetId="72" r:id="rId48"/>
    <sheet name="LuaGao" sheetId="132" r:id="rId49"/>
    <sheet name="ViTinh" sheetId="40" r:id="rId50"/>
    <sheet name="NhaHang" sheetId="68" r:id="rId51"/>
    <sheet name="NhaHang1" sheetId="50" r:id="rId52"/>
    <sheet name="NhaHang2" sheetId="159" r:id="rId53"/>
    <sheet name="NhaNghi" sheetId="67" r:id="rId54"/>
    <sheet name="NhomKinh" sheetId="143" r:id="rId55"/>
    <sheet name="NhacCu" sheetId="54" r:id="rId56"/>
    <sheet name="QuanNuoc" sheetId="145" r:id="rId57"/>
    <sheet name="QuanNuoc2" sheetId="172" r:id="rId58"/>
    <sheet name="NoiThatGo" sheetId="65" r:id="rId59"/>
    <sheet name="BVTV" sheetId="148" r:id="rId60"/>
    <sheet name="PhongTro" sheetId="43" r:id="rId61"/>
    <sheet name="MyPham" sheetId="178" r:id="rId62"/>
    <sheet name="VaiVoc" sheetId="71" r:id="rId63"/>
    <sheet name="SCXeMay" sheetId="152" r:id="rId64"/>
    <sheet name="PhuTungXeMay" sheetId="162" r:id="rId65"/>
    <sheet name="PhuTungOtO1" sheetId="39" r:id="rId66"/>
    <sheet name="PhuTungOtO" sheetId="161" r:id="rId67"/>
    <sheet name="QuanCafe" sheetId="139" r:id="rId68"/>
    <sheet name="ComBD" sheetId="74" r:id="rId69"/>
    <sheet name="QuanAo" sheetId="78" r:id="rId70"/>
    <sheet name="QuanAo (2)" sheetId="166" r:id="rId71"/>
    <sheet name="QuanAoTT" sheetId="75" r:id="rId72"/>
    <sheet name="RemCua" sheetId="151" r:id="rId73"/>
    <sheet name="Ruou" sheetId="142" r:id="rId74"/>
    <sheet name="Cuomhat" sheetId="164" r:id="rId75"/>
    <sheet name="ThietBiBep" sheetId="129" r:id="rId76"/>
    <sheet name="VeSinh" sheetId="66" r:id="rId77"/>
    <sheet name="ThuY" sheetId="137" r:id="rId78"/>
    <sheet name="TrongLuaTH" sheetId="147" r:id="rId79"/>
    <sheet name="ThucAnCN2" sheetId="150" r:id="rId80"/>
    <sheet name="ThucAnCN" sheetId="42" r:id="rId81"/>
    <sheet name="PhanBon" sheetId="130" r:id="rId82"/>
    <sheet name="BanhNgot" sheetId="77" r:id="rId83"/>
    <sheet name="VLXD" sheetId="133" r:id="rId84"/>
    <sheet name="VatLieuXD" sheetId="51" r:id="rId85"/>
    <sheet name="VLXD2" sheetId="70" r:id="rId86"/>
    <sheet name="XeDapDien" sheetId="63" r:id="rId87"/>
    <sheet name="XangDau" sheetId="53" r:id="rId88"/>
    <sheet name="XangDau (2)" sheetId="168" r:id="rId89"/>
    <sheet name="DienThoai" sheetId="52" r:id="rId90"/>
    <sheet name="DienThoai2" sheetId="85" r:id="rId91"/>
    <sheet name="NoiThat" sheetId="64" r:id="rId92"/>
    <sheet name="DienNuoc" sheetId="173" r:id="rId93"/>
    <sheet name="KeoNH" sheetId="60" r:id="rId94"/>
    <sheet name="MayCay" sheetId="29" r:id="rId95"/>
    <sheet name="MayXuc" sheetId="28" r:id="rId96"/>
    <sheet name="XeTai" sheetId="26" r:id="rId97"/>
    <sheet name="DauKeo" sheetId="27" r:id="rId98"/>
    <sheet name="XeKhach" sheetId="25" r:id="rId99"/>
    <sheet name="VoThuat" sheetId="73" r:id="rId100"/>
    <sheet name="BanGheDa" sheetId="33" r:id="rId101"/>
    <sheet name="BeTongTuoi" sheetId="167" r:id="rId102"/>
    <sheet name="NhomKinh (2)" sheetId="174" r:id="rId103"/>
    <sheet name="TapLo" sheetId="45" r:id="rId104"/>
    <sheet name="MocDanDung" sheetId="32" r:id="rId105"/>
    <sheet name="GoCongNghiep" sheetId="165" r:id="rId106"/>
    <sheet name="NuoiBo" sheetId="62" r:id="rId107"/>
    <sheet name="TrangTrai" sheetId="61" r:id="rId108"/>
    <sheet name="CafeTH" sheetId="80" r:id="rId109"/>
    <sheet name="ChanNuoiTH" sheetId="149" r:id="rId110"/>
    <sheet name="Cafe3" sheetId="99" r:id="rId111"/>
    <sheet name="Atiso" sheetId="117" r:id="rId112"/>
    <sheet name="TrongBuoi" sheetId="170" r:id="rId113"/>
    <sheet name="CaChua" sheetId="127" r:id="rId114"/>
    <sheet name="CaCao" sheetId="91" r:id="rId115"/>
    <sheet name="CheCanh" sheetId="93" r:id="rId116"/>
    <sheet name="TieuCafe" sheetId="138" r:id="rId117"/>
    <sheet name="Carot" sheetId="119" r:id="rId118"/>
    <sheet name="KhoaiTay" sheetId="118" r:id="rId119"/>
    <sheet name="TrongMi" sheetId="141" r:id="rId120"/>
    <sheet name="CayMit" sheetId="96" r:id="rId121"/>
    <sheet name="MacCa1" sheetId="97" r:id="rId122"/>
    <sheet name="MacCa2" sheetId="98" r:id="rId123"/>
    <sheet name="SauRieng" sheetId="95" r:id="rId124"/>
    <sheet name="SauRieng (2)" sheetId="171" r:id="rId125"/>
    <sheet name="Tieu" sheetId="92" r:id="rId126"/>
    <sheet name="CayDieu" sheetId="94" r:id="rId127"/>
    <sheet name="BoXoi" sheetId="126" r:id="rId128"/>
    <sheet name="CaiThao" sheetId="121" r:id="rId129"/>
    <sheet name="DauTay" sheetId="128" r:id="rId130"/>
    <sheet name="HoaCatTuong" sheetId="109" r:id="rId131"/>
    <sheet name="HoaCucChum" sheetId="87" r:id="rId132"/>
    <sheet name="HoaCucDoa" sheetId="88" r:id="rId133"/>
    <sheet name="HoaCamChuong" sheetId="108" r:id="rId134"/>
    <sheet name="HoaHong" sheetId="106" r:id="rId135"/>
    <sheet name="HoaHongMon" sheetId="112" r:id="rId136"/>
    <sheet name="HoaLayOn" sheetId="111" r:id="rId137"/>
    <sheet name="HoaLyLy" sheetId="89" r:id="rId138"/>
    <sheet name="HoaSaLem" sheetId="110" r:id="rId139"/>
    <sheet name="HoaDiaLan" sheetId="113" r:id="rId140"/>
    <sheet name="HoaDongTien" sheetId="107" r:id="rId141"/>
    <sheet name="HanhLa" sheetId="125" r:id="rId142"/>
    <sheet name="HanhTay" sheetId="124" r:id="rId143"/>
    <sheet name="Lua" sheetId="115" r:id="rId144"/>
    <sheet name="MaiGhep" sheetId="157" r:id="rId145"/>
    <sheet name="Ngo" sheetId="114" r:id="rId146"/>
    <sheet name="SuSu" sheetId="116" r:id="rId147"/>
    <sheet name="SuLo" sheetId="120" r:id="rId148"/>
    <sheet name="XaLach" sheetId="122" r:id="rId149"/>
    <sheet name="OtNgot" sheetId="123" r:id="rId150"/>
    <sheet name="XayNha" sheetId="79" r:id="rId151"/>
    <sheet name="XayNha (2)" sheetId="169" r:id="rId152"/>
  </sheets>
  <definedNames>
    <definedName name="_Fill" hidden="1">#REF!</definedName>
    <definedName name="_Key1" hidden="1">#REF!</definedName>
    <definedName name="_Key2" hidden="1">#REF!</definedName>
    <definedName name="_Order1" hidden="1">255</definedName>
    <definedName name="_Order2" hidden="1">255</definedName>
    <definedName name="_Sort" hidden="1">#REF!</definedName>
    <definedName name="accc" hidden="1">{"'Sheet1'!$L$16"}</definedName>
    <definedName name="acd" hidden="1">{"'Sheet1'!$L$16"}</definedName>
    <definedName name="anscount" hidden="1">4</definedName>
    <definedName name="aq" hidden="1">{"'Sheet1'!$L$16"}</definedName>
    <definedName name="asc" hidden="1">{"'Sheet1'!$L$16"}</definedName>
    <definedName name="ax" hidden="1">{"'Sheet1'!$L$16"}</definedName>
    <definedName name="d" hidden="1">{"'Sheet1'!$L$16"}</definedName>
    <definedName name="ds"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limcount" hidden="1">4</definedName>
    <definedName name="qa" hidden="1">{"'Sheet1'!$L$16"}</definedName>
    <definedName name="qaq" hidden="1">{"'Sheet1'!$L$16"}</definedName>
    <definedName name="qax" hidden="1">{"'Sheet1'!$L$16"}</definedName>
    <definedName name="qcs" hidden="1">{"'Sheet1'!$L$16"}</definedName>
    <definedName name="qf" hidden="1">{"'Sheet1'!$L$16"}</definedName>
    <definedName name="qq" hidden="1">{"'Sheet1'!$L$16"}</definedName>
    <definedName name="qqq" hidden="1">{"'Sheet1'!$L$16"}</definedName>
    <definedName name="seđ" hidden="1">{"'Sheet1'!$L$16"}</definedName>
    <definedName name="sencount" hidden="1">4</definedName>
    <definedName name="w" hidden="1">{"'Sheet1'!$L$16"}</definedName>
  </definedNames>
  <calcPr calcId="144525"/>
</workbook>
</file>

<file path=xl/calcChain.xml><?xml version="1.0" encoding="utf-8"?>
<calcChain xmlns="http://schemas.openxmlformats.org/spreadsheetml/2006/main">
  <c r="F10" i="178" l="1"/>
  <c r="F11" i="178"/>
  <c r="F12" i="178"/>
  <c r="F13" i="178"/>
  <c r="F14" i="178"/>
  <c r="F17" i="178"/>
  <c r="F21" i="178"/>
  <c r="F22" i="178"/>
  <c r="F23" i="178"/>
  <c r="F24" i="178"/>
  <c r="F25" i="178"/>
  <c r="K8" i="177"/>
  <c r="L8" i="177"/>
  <c r="K9" i="177"/>
  <c r="L9" i="177" s="1"/>
  <c r="K10" i="177"/>
  <c r="L10" i="177" s="1"/>
  <c r="K11" i="177"/>
  <c r="L11" i="177"/>
  <c r="C12" i="177"/>
  <c r="D11" i="177" s="1"/>
  <c r="K12" i="177"/>
  <c r="L12" i="177" s="1"/>
  <c r="K13" i="177"/>
  <c r="L13" i="177" s="1"/>
  <c r="D14" i="177"/>
  <c r="L39" i="177" s="1"/>
  <c r="K14" i="177"/>
  <c r="L14" i="177"/>
  <c r="K15" i="177"/>
  <c r="L15" i="177"/>
  <c r="L16" i="177"/>
  <c r="H23" i="177"/>
  <c r="J23" i="177"/>
  <c r="L23" i="177" s="1"/>
  <c r="H24" i="177"/>
  <c r="J24" i="177"/>
  <c r="L24" i="177"/>
  <c r="H25" i="177"/>
  <c r="J25" i="177"/>
  <c r="L25" i="177" s="1"/>
  <c r="H26" i="177"/>
  <c r="J26" i="177"/>
  <c r="L26" i="177" s="1"/>
  <c r="H27" i="177"/>
  <c r="J27" i="177"/>
  <c r="L27" i="177" s="1"/>
  <c r="H28" i="177"/>
  <c r="J28" i="177"/>
  <c r="L28" i="177"/>
  <c r="H29" i="177"/>
  <c r="J29" i="177"/>
  <c r="L29" i="177" s="1"/>
  <c r="H30" i="177"/>
  <c r="J30" i="177"/>
  <c r="L30" i="177" s="1"/>
  <c r="L33" i="177"/>
  <c r="L34" i="177"/>
  <c r="J35" i="177"/>
  <c r="L35" i="177" s="1"/>
  <c r="L37" i="177"/>
  <c r="L38" i="177"/>
  <c r="L36" i="177" s="1"/>
  <c r="G7" i="176"/>
  <c r="G8" i="176"/>
  <c r="G9" i="176"/>
  <c r="G10" i="176"/>
  <c r="G11" i="176"/>
  <c r="G12" i="176"/>
  <c r="G13" i="176"/>
  <c r="G14" i="176"/>
  <c r="G15" i="176"/>
  <c r="G20" i="176"/>
  <c r="G29" i="176"/>
  <c r="G30" i="176"/>
  <c r="G39" i="176" s="1"/>
  <c r="D44" i="176" s="1"/>
  <c r="G31" i="176"/>
  <c r="G32" i="176"/>
  <c r="G33" i="176"/>
  <c r="G34" i="176"/>
  <c r="G35" i="176"/>
  <c r="G36" i="176"/>
  <c r="G37" i="176"/>
  <c r="G38" i="176"/>
  <c r="F9" i="175"/>
  <c r="F7" i="175" s="1"/>
  <c r="F10" i="175"/>
  <c r="F15" i="175"/>
  <c r="F16" i="175"/>
  <c r="F17" i="175"/>
  <c r="F18" i="175"/>
  <c r="F19" i="175"/>
  <c r="F20" i="175"/>
  <c r="F22" i="175"/>
  <c r="F23" i="175"/>
  <c r="E24" i="175"/>
  <c r="F24" i="175" s="1"/>
  <c r="E25" i="175"/>
  <c r="F25" i="175" s="1"/>
  <c r="F27" i="175"/>
  <c r="F30" i="175"/>
  <c r="F29" i="175" s="1"/>
  <c r="F28" i="175" s="1"/>
  <c r="F8" i="174"/>
  <c r="D9" i="174"/>
  <c r="F9" i="174" s="1"/>
  <c r="F13" i="174"/>
  <c r="I13" i="174"/>
  <c r="D14" i="174"/>
  <c r="F14" i="174" s="1"/>
  <c r="D15" i="174"/>
  <c r="F15" i="174" s="1"/>
  <c r="F18" i="174"/>
  <c r="I18" i="174"/>
  <c r="D19" i="174"/>
  <c r="F19" i="174" s="1"/>
  <c r="F20" i="174"/>
  <c r="F22" i="174"/>
  <c r="F21" i="174" s="1"/>
  <c r="I22" i="174"/>
  <c r="F23" i="174"/>
  <c r="F24" i="174"/>
  <c r="F29" i="174"/>
  <c r="D35" i="174"/>
  <c r="F11" i="174" s="1"/>
  <c r="F35" i="174"/>
  <c r="D36" i="174"/>
  <c r="F36" i="174" s="1"/>
  <c r="D37" i="174"/>
  <c r="F37" i="174" s="1"/>
  <c r="D38" i="174"/>
  <c r="F38" i="174" s="1"/>
  <c r="D46" i="174"/>
  <c r="C50" i="174"/>
  <c r="D52" i="174" s="1"/>
  <c r="D53" i="174"/>
  <c r="F4" i="173"/>
  <c r="G4" i="173"/>
  <c r="H4" i="173"/>
  <c r="I4" i="173"/>
  <c r="F5" i="173"/>
  <c r="G5" i="173"/>
  <c r="H5" i="173"/>
  <c r="F6" i="173"/>
  <c r="G6" i="173"/>
  <c r="I6" i="173" s="1"/>
  <c r="H6" i="173"/>
  <c r="F7" i="173"/>
  <c r="G7" i="173"/>
  <c r="I7" i="173" s="1"/>
  <c r="H7" i="173"/>
  <c r="F8" i="173"/>
  <c r="G8" i="173"/>
  <c r="H8" i="173"/>
  <c r="F9" i="173"/>
  <c r="F11" i="173" s="1"/>
  <c r="I12" i="173" s="1"/>
  <c r="F17" i="173" s="1"/>
  <c r="F19" i="173" s="1"/>
  <c r="F12" i="173"/>
  <c r="F13" i="173"/>
  <c r="F22" i="173"/>
  <c r="F10" i="172"/>
  <c r="F11" i="172"/>
  <c r="F12" i="172"/>
  <c r="F13" i="172"/>
  <c r="F14" i="172"/>
  <c r="F15" i="172"/>
  <c r="F16" i="172"/>
  <c r="F17" i="172"/>
  <c r="F18" i="172"/>
  <c r="F19" i="172"/>
  <c r="F20" i="172"/>
  <c r="F21" i="172"/>
  <c r="F22" i="172"/>
  <c r="F23" i="172"/>
  <c r="F24" i="172"/>
  <c r="F25" i="172"/>
  <c r="F26" i="172"/>
  <c r="F29" i="172"/>
  <c r="F33" i="172"/>
  <c r="F34" i="172"/>
  <c r="F35" i="172"/>
  <c r="F36" i="172"/>
  <c r="F37" i="172"/>
  <c r="F38" i="172"/>
  <c r="F39" i="172"/>
  <c r="F40" i="172"/>
  <c r="F41" i="172"/>
  <c r="F42" i="172"/>
  <c r="F43" i="172"/>
  <c r="F44" i="172"/>
  <c r="F45" i="172"/>
  <c r="F46" i="172"/>
  <c r="F47" i="172"/>
  <c r="F48" i="172"/>
  <c r="F49" i="172"/>
  <c r="F7" i="169"/>
  <c r="F8" i="169"/>
  <c r="F9" i="169"/>
  <c r="F10" i="169"/>
  <c r="F11" i="169"/>
  <c r="F12" i="169"/>
  <c r="F13" i="169"/>
  <c r="F14" i="169"/>
  <c r="F15" i="169"/>
  <c r="F16" i="169"/>
  <c r="F17" i="169"/>
  <c r="F18" i="169"/>
  <c r="F19" i="169"/>
  <c r="F20" i="169"/>
  <c r="F21" i="169"/>
  <c r="F22" i="169"/>
  <c r="F23" i="169"/>
  <c r="F24" i="169"/>
  <c r="F25" i="169"/>
  <c r="F26" i="169"/>
  <c r="F30" i="169"/>
  <c r="F32" i="169"/>
  <c r="F9" i="168"/>
  <c r="G9" i="168"/>
  <c r="H9" i="168"/>
  <c r="F10" i="168"/>
  <c r="F11" i="168"/>
  <c r="F12" i="168"/>
  <c r="F13" i="168"/>
  <c r="F14" i="168"/>
  <c r="F16" i="168"/>
  <c r="F17" i="168"/>
  <c r="F18" i="168"/>
  <c r="F19" i="168"/>
  <c r="F20" i="168"/>
  <c r="F21" i="168"/>
  <c r="D24" i="168"/>
  <c r="E24" i="168"/>
  <c r="F24" i="168" s="1"/>
  <c r="D25" i="168"/>
  <c r="E25" i="168"/>
  <c r="D26" i="168"/>
  <c r="E26" i="168"/>
  <c r="F26" i="168" s="1"/>
  <c r="D27" i="168"/>
  <c r="F27" i="168" s="1"/>
  <c r="F39" i="168"/>
  <c r="L49" i="168"/>
  <c r="O49" i="168"/>
  <c r="L50" i="168"/>
  <c r="O50" i="168"/>
  <c r="F9" i="167"/>
  <c r="F10" i="167"/>
  <c r="F11" i="167"/>
  <c r="F12" i="167"/>
  <c r="F13" i="167"/>
  <c r="F14" i="167"/>
  <c r="F15" i="167"/>
  <c r="F16" i="167"/>
  <c r="F17" i="167"/>
  <c r="F20" i="167"/>
  <c r="I10" i="167" s="1"/>
  <c r="F21" i="167"/>
  <c r="I11" i="167" s="1"/>
  <c r="F22" i="167"/>
  <c r="I9" i="167" s="1"/>
  <c r="F23" i="167"/>
  <c r="I12" i="167" s="1"/>
  <c r="F24" i="167"/>
  <c r="F25" i="167"/>
  <c r="F26" i="167"/>
  <c r="F30" i="167"/>
  <c r="F29" i="167" s="1"/>
  <c r="F32" i="167"/>
  <c r="F35" i="167"/>
  <c r="F42" i="167"/>
  <c r="G42" i="167" s="1"/>
  <c r="G44" i="167"/>
  <c r="F46" i="167"/>
  <c r="K54" i="167"/>
  <c r="N54" i="167"/>
  <c r="K55" i="167"/>
  <c r="N55" i="167"/>
  <c r="F8" i="165"/>
  <c r="F9" i="165"/>
  <c r="F10" i="165"/>
  <c r="F11" i="165"/>
  <c r="F14" i="165" s="1"/>
  <c r="B34" i="165" s="1"/>
  <c r="F12" i="165"/>
  <c r="D17" i="165"/>
  <c r="F17" i="165"/>
  <c r="D18" i="165"/>
  <c r="F18" i="165" s="1"/>
  <c r="D19" i="165"/>
  <c r="F19" i="165"/>
  <c r="D20" i="165"/>
  <c r="F20" i="165" s="1"/>
  <c r="D21" i="165"/>
  <c r="F21" i="165"/>
  <c r="D22" i="165"/>
  <c r="F22" i="165" s="1"/>
  <c r="D23" i="165"/>
  <c r="F23" i="165"/>
  <c r="D24" i="165"/>
  <c r="F24" i="165"/>
  <c r="F29" i="165"/>
  <c r="F30" i="165"/>
  <c r="F8" i="164"/>
  <c r="F9" i="164"/>
  <c r="F10" i="164"/>
  <c r="F12" i="164"/>
  <c r="B30" i="164" s="1"/>
  <c r="F15" i="164"/>
  <c r="F16" i="164"/>
  <c r="F17" i="164"/>
  <c r="F18" i="164"/>
  <c r="F19" i="164"/>
  <c r="F20" i="164"/>
  <c r="F25" i="164"/>
  <c r="F26" i="164"/>
  <c r="F7" i="163"/>
  <c r="F6" i="163" s="1"/>
  <c r="F10" i="163"/>
  <c r="F9" i="163" s="1"/>
  <c r="F13" i="163"/>
  <c r="F14" i="163"/>
  <c r="F12" i="163" s="1"/>
  <c r="F8" i="162"/>
  <c r="F9" i="162"/>
  <c r="F10" i="162"/>
  <c r="F11" i="162"/>
  <c r="F12" i="162"/>
  <c r="F13" i="162"/>
  <c r="F14" i="162"/>
  <c r="F15" i="162"/>
  <c r="F16" i="162"/>
  <c r="F17" i="162"/>
  <c r="F18" i="162"/>
  <c r="F19" i="162"/>
  <c r="F20" i="162"/>
  <c r="F21" i="162"/>
  <c r="F22" i="162"/>
  <c r="F23" i="162"/>
  <c r="F24" i="162"/>
  <c r="F25" i="162"/>
  <c r="F26" i="162"/>
  <c r="C29" i="162"/>
  <c r="F29" i="162" s="1"/>
  <c r="C30" i="162"/>
  <c r="F30" i="162" s="1"/>
  <c r="C31" i="162"/>
  <c r="F31" i="162"/>
  <c r="C32" i="162"/>
  <c r="F32" i="162" s="1"/>
  <c r="C33" i="162"/>
  <c r="F33" i="162" s="1"/>
  <c r="C34" i="162"/>
  <c r="F34" i="162" s="1"/>
  <c r="C35" i="162"/>
  <c r="F35" i="162"/>
  <c r="C36" i="162"/>
  <c r="F36" i="162" s="1"/>
  <c r="C37" i="162"/>
  <c r="F37" i="162" s="1"/>
  <c r="C38" i="162"/>
  <c r="F38" i="162" s="1"/>
  <c r="C39" i="162"/>
  <c r="F39" i="162" s="1"/>
  <c r="C40" i="162"/>
  <c r="F40" i="162" s="1"/>
  <c r="C41" i="162"/>
  <c r="F41" i="162" s="1"/>
  <c r="C42" i="162"/>
  <c r="F42" i="162" s="1"/>
  <c r="C43" i="162"/>
  <c r="F43" i="162"/>
  <c r="C44" i="162"/>
  <c r="F44" i="162" s="1"/>
  <c r="C45" i="162"/>
  <c r="F45" i="162" s="1"/>
  <c r="C46" i="162"/>
  <c r="F46" i="162" s="1"/>
  <c r="C47" i="162"/>
  <c r="F47" i="162" s="1"/>
  <c r="F51" i="162"/>
  <c r="F52" i="162"/>
  <c r="F53" i="162"/>
  <c r="F56" i="162"/>
  <c r="F8" i="161"/>
  <c r="F9" i="161"/>
  <c r="F10" i="161"/>
  <c r="F11" i="161"/>
  <c r="F12" i="161"/>
  <c r="F13" i="161"/>
  <c r="F14" i="161"/>
  <c r="F15" i="161"/>
  <c r="F16" i="161"/>
  <c r="F17" i="161"/>
  <c r="F18" i="161"/>
  <c r="D21" i="161"/>
  <c r="F21" i="161" s="1"/>
  <c r="D22" i="161"/>
  <c r="F22" i="161"/>
  <c r="D23" i="161"/>
  <c r="F23" i="161" s="1"/>
  <c r="D24" i="161"/>
  <c r="F24" i="161" s="1"/>
  <c r="D25" i="161"/>
  <c r="F25" i="161" s="1"/>
  <c r="D26" i="161"/>
  <c r="F26" i="161"/>
  <c r="D27" i="161"/>
  <c r="F27" i="161" s="1"/>
  <c r="D28" i="161"/>
  <c r="F28" i="161" s="1"/>
  <c r="D29" i="161"/>
  <c r="F29" i="161" s="1"/>
  <c r="D30" i="161"/>
  <c r="F30" i="161"/>
  <c r="D31" i="161"/>
  <c r="F31" i="161" s="1"/>
  <c r="F35" i="161"/>
  <c r="F36" i="161"/>
  <c r="F34" i="161" s="1"/>
  <c r="F8" i="160"/>
  <c r="F9" i="160"/>
  <c r="F10" i="160"/>
  <c r="F11" i="160"/>
  <c r="F13" i="160"/>
  <c r="B16" i="160"/>
  <c r="C16" i="160"/>
  <c r="D16" i="160"/>
  <c r="F16" i="160"/>
  <c r="B17" i="160"/>
  <c r="C17" i="160"/>
  <c r="D17" i="160"/>
  <c r="F17" i="160"/>
  <c r="B18" i="160"/>
  <c r="C18" i="160"/>
  <c r="D18" i="160"/>
  <c r="F18" i="160"/>
  <c r="B19" i="160"/>
  <c r="C19" i="160"/>
  <c r="D19" i="160"/>
  <c r="F19" i="160"/>
  <c r="B20" i="160"/>
  <c r="F21" i="160"/>
  <c r="C30" i="160" s="1"/>
  <c r="F24" i="160"/>
  <c r="F25" i="160"/>
  <c r="F28" i="160"/>
  <c r="E29" i="160" s="1"/>
  <c r="C29" i="160"/>
  <c r="F8" i="159"/>
  <c r="F9" i="159"/>
  <c r="F10" i="159"/>
  <c r="F11" i="159"/>
  <c r="F12" i="159"/>
  <c r="F13" i="159"/>
  <c r="F14" i="159"/>
  <c r="F15" i="159"/>
  <c r="D20" i="159"/>
  <c r="F20" i="159" s="1"/>
  <c r="D21" i="159"/>
  <c r="F21" i="159" s="1"/>
  <c r="D22" i="159"/>
  <c r="F22" i="159" s="1"/>
  <c r="F24" i="159"/>
  <c r="F27" i="159"/>
  <c r="F28" i="159"/>
  <c r="F29" i="159"/>
  <c r="F31" i="159"/>
  <c r="F32" i="159"/>
  <c r="F33" i="159"/>
  <c r="F8" i="158"/>
  <c r="F9" i="158"/>
  <c r="F10" i="158"/>
  <c r="F11" i="158"/>
  <c r="F12" i="158"/>
  <c r="F13" i="158"/>
  <c r="F14" i="158"/>
  <c r="F15" i="158"/>
  <c r="F16" i="158"/>
  <c r="F17" i="158"/>
  <c r="F18" i="158"/>
  <c r="D22" i="158"/>
  <c r="F22" i="158"/>
  <c r="D23" i="158"/>
  <c r="F23" i="158" s="1"/>
  <c r="D24" i="158"/>
  <c r="F24" i="158" s="1"/>
  <c r="D25" i="158"/>
  <c r="F25" i="158" s="1"/>
  <c r="D26" i="158"/>
  <c r="F26" i="158"/>
  <c r="D27" i="158"/>
  <c r="F27" i="158" s="1"/>
  <c r="D28" i="158"/>
  <c r="F28" i="158" s="1"/>
  <c r="D29" i="158"/>
  <c r="F29" i="158" s="1"/>
  <c r="D30" i="158"/>
  <c r="F30" i="158"/>
  <c r="D31" i="158"/>
  <c r="F31" i="158" s="1"/>
  <c r="D32" i="158"/>
  <c r="F32" i="158" s="1"/>
  <c r="F38" i="158"/>
  <c r="F36" i="158" s="1"/>
  <c r="F37" i="175" l="1"/>
  <c r="F38" i="175" s="1"/>
  <c r="E26" i="175"/>
  <c r="F26" i="175" s="1"/>
  <c r="F18" i="159"/>
  <c r="F7" i="159"/>
  <c r="E38" i="159" s="1"/>
  <c r="E40" i="159" s="1"/>
  <c r="E41" i="159" s="1"/>
  <c r="G41" i="159" s="1"/>
  <c r="F50" i="162"/>
  <c r="F7" i="162"/>
  <c r="F29" i="164"/>
  <c r="D30" i="164" s="1"/>
  <c r="F33" i="165"/>
  <c r="D34" i="165" s="1"/>
  <c r="F34" i="165" s="1"/>
  <c r="F8" i="167"/>
  <c r="G13" i="168"/>
  <c r="L32" i="177"/>
  <c r="F7" i="158"/>
  <c r="F22" i="164"/>
  <c r="B31" i="164" s="1"/>
  <c r="F32" i="172"/>
  <c r="I8" i="173"/>
  <c r="I9" i="173" s="1"/>
  <c r="I11" i="173" s="1"/>
  <c r="I13" i="173" s="1"/>
  <c r="F17" i="174"/>
  <c r="I17" i="174" s="1"/>
  <c r="F26" i="159"/>
  <c r="C20" i="163"/>
  <c r="C22" i="163" s="1"/>
  <c r="C23" i="163" s="1"/>
  <c r="F23" i="163" s="1"/>
  <c r="F25" i="168"/>
  <c r="F8" i="168"/>
  <c r="I5" i="173"/>
  <c r="F16" i="174"/>
  <c r="F12" i="174" s="1"/>
  <c r="F20" i="178"/>
  <c r="F27" i="178" s="1"/>
  <c r="F7" i="161"/>
  <c r="F26" i="165"/>
  <c r="B35" i="165" s="1"/>
  <c r="F9" i="172"/>
  <c r="F10" i="174"/>
  <c r="F7" i="174" s="1"/>
  <c r="F14" i="175"/>
  <c r="I11" i="176"/>
  <c r="F9" i="178"/>
  <c r="F8" i="178" s="1"/>
  <c r="F39" i="174"/>
  <c r="F21" i="175"/>
  <c r="F33" i="175" s="1"/>
  <c r="F35" i="175" s="1"/>
  <c r="F32" i="175" s="1"/>
  <c r="G28" i="175" s="1"/>
  <c r="I21" i="174"/>
  <c r="F7" i="168"/>
  <c r="F39" i="175"/>
  <c r="D38" i="175"/>
  <c r="F6" i="175"/>
  <c r="F43" i="175" s="1"/>
  <c r="F45" i="175" s="1"/>
  <c r="F46" i="175" s="1"/>
  <c r="L17" i="177"/>
  <c r="F23" i="168"/>
  <c r="G9" i="172"/>
  <c r="F8" i="172"/>
  <c r="F51" i="172" s="1"/>
  <c r="F53" i="172"/>
  <c r="F20" i="173"/>
  <c r="G23" i="173"/>
  <c r="L22" i="177"/>
  <c r="G22" i="176"/>
  <c r="H15" i="167"/>
  <c r="F11" i="163"/>
  <c r="F18" i="163" s="1"/>
  <c r="K15" i="163"/>
  <c r="F30" i="164"/>
  <c r="F19" i="167"/>
  <c r="F18" i="167" s="1"/>
  <c r="F39" i="167" s="1"/>
  <c r="F41" i="167" s="1"/>
  <c r="D42" i="167" s="1"/>
  <c r="F20" i="161"/>
  <c r="F33" i="161" s="1"/>
  <c r="F40" i="161" s="1"/>
  <c r="C42" i="161"/>
  <c r="C44" i="161" s="1"/>
  <c r="C45" i="161" s="1"/>
  <c r="F41" i="161"/>
  <c r="I31" i="159"/>
  <c r="C61" i="162"/>
  <c r="C63" i="162" s="1"/>
  <c r="C65" i="162" s="1"/>
  <c r="C67" i="162" s="1"/>
  <c r="G61" i="162"/>
  <c r="F21" i="158"/>
  <c r="F35" i="158" s="1"/>
  <c r="F42" i="158" s="1"/>
  <c r="H42" i="158"/>
  <c r="C44" i="158"/>
  <c r="C46" i="158" s="1"/>
  <c r="C47" i="158" s="1"/>
  <c r="E47" i="158" s="1"/>
  <c r="F28" i="162"/>
  <c r="F49" i="162" s="1"/>
  <c r="F58" i="162" s="1"/>
  <c r="F29" i="160"/>
  <c r="H11" i="157"/>
  <c r="H12" i="157"/>
  <c r="H14" i="157"/>
  <c r="H15" i="157"/>
  <c r="H16" i="157"/>
  <c r="H22" i="157"/>
  <c r="H23" i="157"/>
  <c r="H25" i="157"/>
  <c r="H26" i="157"/>
  <c r="H27" i="157"/>
  <c r="H30" i="157"/>
  <c r="H31" i="157"/>
  <c r="H34" i="157"/>
  <c r="H35" i="157"/>
  <c r="H38" i="157"/>
  <c r="H39" i="157"/>
  <c r="H43" i="157"/>
  <c r="H44" i="157"/>
  <c r="H45" i="157"/>
  <c r="H46" i="157"/>
  <c r="H47" i="157"/>
  <c r="F13" i="156"/>
  <c r="G13" i="156" s="1"/>
  <c r="F14" i="156"/>
  <c r="G14" i="156" s="1"/>
  <c r="F15" i="156"/>
  <c r="G15" i="156" s="1"/>
  <c r="G16" i="156"/>
  <c r="E22" i="156"/>
  <c r="F22" i="156" s="1"/>
  <c r="G22" i="156" s="1"/>
  <c r="E23" i="156"/>
  <c r="F23" i="156" s="1"/>
  <c r="E24" i="156"/>
  <c r="F24" i="156" s="1"/>
  <c r="G24" i="156" s="1"/>
  <c r="G25" i="156"/>
  <c r="F30" i="156"/>
  <c r="I12" i="174" l="1"/>
  <c r="L29" i="174"/>
  <c r="L30" i="174" s="1"/>
  <c r="F28" i="174" s="1"/>
  <c r="H21" i="157"/>
  <c r="F25" i="159"/>
  <c r="F35" i="159" s="1"/>
  <c r="H42" i="157"/>
  <c r="E48" i="157" s="1"/>
  <c r="H10" i="157"/>
  <c r="L21" i="177"/>
  <c r="G14" i="175"/>
  <c r="G20" i="173"/>
  <c r="F21" i="173"/>
  <c r="F28" i="168"/>
  <c r="I7" i="174"/>
  <c r="I7" i="168"/>
  <c r="I8" i="168" s="1"/>
  <c r="F31" i="168"/>
  <c r="F33" i="168" s="1"/>
  <c r="D45" i="176"/>
  <c r="D46" i="176" s="1"/>
  <c r="E46" i="176" s="1"/>
  <c r="G23" i="176"/>
  <c r="G25" i="176" s="1"/>
  <c r="G26" i="176" s="1"/>
  <c r="F25" i="174"/>
  <c r="F31" i="174" s="1"/>
  <c r="D46" i="175"/>
  <c r="F47" i="175"/>
  <c r="L40" i="177"/>
  <c r="D20" i="177" s="1"/>
  <c r="D5" i="177"/>
  <c r="D7" i="177" s="1"/>
  <c r="C37" i="165"/>
  <c r="C39" i="165" s="1"/>
  <c r="C40" i="165" s="1"/>
  <c r="E41" i="165" s="1"/>
  <c r="D35" i="165"/>
  <c r="F35" i="165" s="1"/>
  <c r="H16" i="167"/>
  <c r="H17" i="167" s="1"/>
  <c r="C33" i="164"/>
  <c r="C35" i="164" s="1"/>
  <c r="C36" i="164" s="1"/>
  <c r="C39" i="164" s="1"/>
  <c r="D31" i="164"/>
  <c r="F31" i="164" s="1"/>
  <c r="D45" i="167"/>
  <c r="D47" i="167"/>
  <c r="G41" i="167"/>
  <c r="G39" i="167" s="1"/>
  <c r="G28" i="167" s="1"/>
  <c r="D43" i="167"/>
  <c r="D46" i="167"/>
  <c r="D44" i="167"/>
  <c r="F36" i="167"/>
  <c r="E30" i="160"/>
  <c r="F30" i="160" s="1"/>
  <c r="D32" i="160"/>
  <c r="D34" i="160" s="1"/>
  <c r="D35" i="160" s="1"/>
  <c r="D38" i="160" s="1"/>
  <c r="H37" i="157"/>
  <c r="H29" i="157"/>
  <c r="H20" i="157" s="1"/>
  <c r="H33" i="157"/>
  <c r="E41" i="157"/>
  <c r="H6" i="157"/>
  <c r="H7" i="157" s="1"/>
  <c r="J7" i="157" s="1"/>
  <c r="G18" i="156"/>
  <c r="C5" i="156" s="1"/>
  <c r="C6" i="156" s="1"/>
  <c r="C8" i="156" s="1"/>
  <c r="G23" i="156"/>
  <c r="G26" i="156" s="1"/>
  <c r="F26" i="156"/>
  <c r="F18" i="156"/>
  <c r="G31" i="174" l="1"/>
  <c r="G35" i="174" s="1"/>
  <c r="G36" i="174" s="1"/>
  <c r="H36" i="174" s="1"/>
  <c r="F40" i="174"/>
  <c r="F34" i="168"/>
  <c r="D34" i="168" s="1"/>
  <c r="D35" i="168"/>
  <c r="D8" i="177"/>
  <c r="E8" i="177" s="1"/>
  <c r="E9" i="177"/>
  <c r="F29" i="168"/>
  <c r="F30" i="168" s="1"/>
  <c r="F37" i="167"/>
  <c r="F38" i="167" s="1"/>
  <c r="I20" i="157"/>
  <c r="C41" i="157"/>
  <c r="H41" i="157" s="1"/>
  <c r="C48" i="157" s="1"/>
  <c r="H48" i="157" s="1"/>
  <c r="F29" i="156"/>
  <c r="C28" i="156" s="1"/>
  <c r="F32" i="156" s="1"/>
  <c r="D36" i="168" l="1"/>
  <c r="D21" i="177"/>
  <c r="I40" i="174"/>
  <c r="F41" i="174"/>
  <c r="F42" i="174"/>
  <c r="F6" i="155"/>
  <c r="F7" i="155"/>
  <c r="F8" i="155"/>
  <c r="F9" i="155"/>
  <c r="F10" i="155"/>
  <c r="F11" i="155"/>
  <c r="F13" i="155"/>
  <c r="F14" i="155"/>
  <c r="F15" i="155"/>
  <c r="F16" i="155"/>
  <c r="F17" i="155"/>
  <c r="F18" i="155"/>
  <c r="F19" i="155"/>
  <c r="I20" i="155"/>
  <c r="A25" i="155"/>
  <c r="A26" i="155"/>
  <c r="F7" i="154"/>
  <c r="F8" i="154"/>
  <c r="F9" i="154"/>
  <c r="F10" i="154"/>
  <c r="F11" i="154"/>
  <c r="F12" i="154"/>
  <c r="F13" i="154"/>
  <c r="F14" i="154"/>
  <c r="F15" i="154"/>
  <c r="F16" i="154"/>
  <c r="F17" i="154"/>
  <c r="F18" i="154"/>
  <c r="F19" i="154"/>
  <c r="F21" i="154"/>
  <c r="E22" i="154"/>
  <c r="F22" i="154" s="1"/>
  <c r="F23" i="154"/>
  <c r="F24" i="154"/>
  <c r="F25" i="154"/>
  <c r="F26" i="154"/>
  <c r="A31" i="154"/>
  <c r="A32" i="154"/>
  <c r="I32" i="154"/>
  <c r="J32" i="154"/>
  <c r="F6" i="153"/>
  <c r="F7" i="153"/>
  <c r="F8" i="153"/>
  <c r="F9" i="153"/>
  <c r="F10" i="153"/>
  <c r="F11" i="153"/>
  <c r="F12" i="153"/>
  <c r="F13" i="153"/>
  <c r="F14" i="153"/>
  <c r="F15" i="153"/>
  <c r="F17" i="153"/>
  <c r="F18" i="153"/>
  <c r="F19" i="153"/>
  <c r="F20" i="153"/>
  <c r="F21" i="153"/>
  <c r="F22" i="153"/>
  <c r="A27" i="153"/>
  <c r="A28" i="153"/>
  <c r="F16" i="153" l="1"/>
  <c r="F5" i="153"/>
  <c r="F23" i="153" s="1"/>
  <c r="F12" i="155"/>
  <c r="F20" i="154"/>
  <c r="F6" i="154"/>
  <c r="J22" i="154" s="1"/>
  <c r="F5" i="155"/>
  <c r="A27" i="155" s="1"/>
  <c r="I33" i="153"/>
  <c r="I34" i="153" s="1"/>
  <c r="A29" i="153"/>
  <c r="F7" i="152"/>
  <c r="F8" i="152"/>
  <c r="F9" i="152"/>
  <c r="F10" i="152"/>
  <c r="F11" i="152"/>
  <c r="F12" i="152"/>
  <c r="F13" i="152"/>
  <c r="F14" i="152"/>
  <c r="F15" i="152"/>
  <c r="F16" i="152"/>
  <c r="F17" i="152"/>
  <c r="F18" i="152"/>
  <c r="F19" i="152"/>
  <c r="F20" i="152"/>
  <c r="F21" i="152"/>
  <c r="F22" i="152"/>
  <c r="F23" i="152"/>
  <c r="K23" i="152"/>
  <c r="F24" i="152"/>
  <c r="F25" i="152"/>
  <c r="F26" i="152"/>
  <c r="F28" i="152"/>
  <c r="E29" i="152"/>
  <c r="F29" i="152"/>
  <c r="F30" i="152"/>
  <c r="F31" i="152"/>
  <c r="F32" i="152"/>
  <c r="A37" i="152"/>
  <c r="A38" i="152"/>
  <c r="A40" i="152"/>
  <c r="A41" i="152"/>
  <c r="F9" i="151"/>
  <c r="F10" i="151"/>
  <c r="F11" i="151"/>
  <c r="F12" i="151"/>
  <c r="F13" i="151"/>
  <c r="F14" i="151"/>
  <c r="F15" i="151"/>
  <c r="F16" i="151"/>
  <c r="F18" i="151"/>
  <c r="F19" i="151"/>
  <c r="F20" i="151"/>
  <c r="F24" i="151"/>
  <c r="F25" i="151"/>
  <c r="F23" i="151" s="1"/>
  <c r="B28" i="151"/>
  <c r="B29" i="151"/>
  <c r="C29" i="151"/>
  <c r="D29" i="151"/>
  <c r="F29" i="151" s="1"/>
  <c r="E29" i="151"/>
  <c r="B30" i="151"/>
  <c r="C30" i="151"/>
  <c r="D30" i="151"/>
  <c r="F30" i="151" s="1"/>
  <c r="E30" i="151"/>
  <c r="B31" i="151"/>
  <c r="C31" i="151"/>
  <c r="D31" i="151"/>
  <c r="E31" i="151"/>
  <c r="B32" i="151"/>
  <c r="C32" i="151"/>
  <c r="D32" i="151"/>
  <c r="F32" i="151" s="1"/>
  <c r="E32" i="151"/>
  <c r="B33" i="151"/>
  <c r="C33" i="151"/>
  <c r="D33" i="151"/>
  <c r="F33" i="151" s="1"/>
  <c r="E33" i="151"/>
  <c r="B34" i="151"/>
  <c r="C34" i="151"/>
  <c r="D34" i="151"/>
  <c r="F34" i="151" s="1"/>
  <c r="E34" i="151"/>
  <c r="B35" i="151"/>
  <c r="C35" i="151"/>
  <c r="D35" i="151"/>
  <c r="E35" i="151"/>
  <c r="B36" i="151"/>
  <c r="C36" i="151"/>
  <c r="D36" i="151"/>
  <c r="F36" i="151" s="1"/>
  <c r="E36" i="151"/>
  <c r="A44" i="151"/>
  <c r="A45" i="151"/>
  <c r="F8" i="150"/>
  <c r="F9" i="150"/>
  <c r="F10" i="150"/>
  <c r="F11" i="150"/>
  <c r="F12" i="150"/>
  <c r="F13" i="150"/>
  <c r="F14" i="150"/>
  <c r="F15" i="150"/>
  <c r="F16" i="150"/>
  <c r="F17" i="150"/>
  <c r="F18" i="150"/>
  <c r="F19" i="150"/>
  <c r="F23" i="150"/>
  <c r="F22" i="150" s="1"/>
  <c r="F24" i="150"/>
  <c r="B28" i="150"/>
  <c r="C28" i="150"/>
  <c r="D28" i="150"/>
  <c r="F28" i="150" s="1"/>
  <c r="E28" i="150"/>
  <c r="B29" i="150"/>
  <c r="C29" i="150"/>
  <c r="D29" i="150"/>
  <c r="E29" i="150"/>
  <c r="F29" i="150" s="1"/>
  <c r="B30" i="150"/>
  <c r="C30" i="150"/>
  <c r="D30" i="150"/>
  <c r="E30" i="150"/>
  <c r="B31" i="150"/>
  <c r="C31" i="150"/>
  <c r="D31" i="150"/>
  <c r="E31" i="150"/>
  <c r="B32" i="150"/>
  <c r="C32" i="150"/>
  <c r="D32" i="150"/>
  <c r="E32" i="150"/>
  <c r="B33" i="150"/>
  <c r="C33" i="150"/>
  <c r="D33" i="150"/>
  <c r="E33" i="150"/>
  <c r="B34" i="150"/>
  <c r="C34" i="150"/>
  <c r="D34" i="150"/>
  <c r="E34" i="150"/>
  <c r="B35" i="150"/>
  <c r="C35" i="150"/>
  <c r="D35" i="150"/>
  <c r="E35" i="150"/>
  <c r="B36" i="150"/>
  <c r="C36" i="150"/>
  <c r="D36" i="150"/>
  <c r="E36" i="150"/>
  <c r="F36" i="150"/>
  <c r="A44" i="150"/>
  <c r="A45" i="150"/>
  <c r="I15" i="153" l="1"/>
  <c r="I19" i="153" s="1"/>
  <c r="J26" i="153" s="1"/>
  <c r="I35" i="153"/>
  <c r="K35" i="153" s="1"/>
  <c r="I34" i="155"/>
  <c r="I35" i="155" s="1"/>
  <c r="F35" i="150"/>
  <c r="F33" i="150"/>
  <c r="F32" i="150"/>
  <c r="F31" i="150"/>
  <c r="F30" i="150"/>
  <c r="F27" i="154"/>
  <c r="F8" i="151"/>
  <c r="F20" i="155"/>
  <c r="F34" i="150"/>
  <c r="F35" i="151"/>
  <c r="F28" i="151" s="1"/>
  <c r="F27" i="151" s="1"/>
  <c r="F6" i="152"/>
  <c r="A39" i="152" s="1"/>
  <c r="F7" i="150"/>
  <c r="F6" i="150" s="1"/>
  <c r="F31" i="151"/>
  <c r="F27" i="152"/>
  <c r="A33" i="154"/>
  <c r="I36" i="153"/>
  <c r="A31" i="153" s="1"/>
  <c r="K34" i="153"/>
  <c r="K36" i="153" s="1"/>
  <c r="J25" i="152"/>
  <c r="F7" i="151"/>
  <c r="E43" i="151"/>
  <c r="E46" i="151" s="1"/>
  <c r="F27" i="150"/>
  <c r="F26" i="150" s="1"/>
  <c r="E43" i="150" l="1"/>
  <c r="E46" i="150" s="1"/>
  <c r="F33" i="152"/>
  <c r="J11" i="154"/>
  <c r="J23" i="154"/>
  <c r="J24" i="154" s="1"/>
  <c r="A36" i="154" s="1"/>
  <c r="A25" i="153"/>
  <c r="I15" i="155"/>
  <c r="A22" i="155"/>
  <c r="I36" i="155"/>
  <c r="I37" i="155" s="1"/>
  <c r="A30" i="155" s="1"/>
  <c r="I24" i="153"/>
  <c r="I25" i="153"/>
  <c r="J27" i="152"/>
  <c r="J11" i="152"/>
  <c r="J12" i="152" s="1"/>
  <c r="K12" i="152" s="1"/>
  <c r="A42" i="152"/>
  <c r="J26" i="152"/>
  <c r="E47" i="151"/>
  <c r="G47" i="151" s="1"/>
  <c r="F38" i="151"/>
  <c r="E47" i="150"/>
  <c r="G47" i="150" s="1"/>
  <c r="F38" i="150"/>
  <c r="J12" i="154" l="1"/>
  <c r="A29" i="154"/>
  <c r="J25" i="154"/>
  <c r="I39" i="155"/>
  <c r="E48" i="151"/>
  <c r="G48" i="151" s="1"/>
  <c r="A35" i="152"/>
  <c r="I25" i="155"/>
  <c r="E48" i="150"/>
  <c r="G48" i="150" s="1"/>
  <c r="I19" i="155"/>
  <c r="A23" i="155"/>
  <c r="J28" i="152"/>
  <c r="A45" i="152"/>
  <c r="K12" i="154" l="1"/>
  <c r="K25" i="154"/>
  <c r="J19" i="155"/>
  <c r="I24" i="155"/>
  <c r="I38" i="155"/>
  <c r="J29" i="152"/>
  <c r="J30" i="152"/>
  <c r="D13" i="149" l="1"/>
  <c r="F13" i="149" s="1"/>
  <c r="D14" i="149"/>
  <c r="D15" i="149" s="1"/>
  <c r="F15" i="149" s="1"/>
  <c r="G15" i="149" s="1"/>
  <c r="G16" i="149"/>
  <c r="F22" i="149"/>
  <c r="G22" i="149" s="1"/>
  <c r="F23" i="149"/>
  <c r="G23" i="149" s="1"/>
  <c r="F24" i="149"/>
  <c r="G24" i="149" s="1"/>
  <c r="G25" i="149"/>
  <c r="G26" i="149"/>
  <c r="F32" i="149"/>
  <c r="G32" i="149" s="1"/>
  <c r="F33" i="149"/>
  <c r="G33" i="149" s="1"/>
  <c r="G34" i="149"/>
  <c r="G35" i="149"/>
  <c r="C40" i="149"/>
  <c r="D44" i="149"/>
  <c r="F44" i="149" s="1"/>
  <c r="F45" i="149"/>
  <c r="G45" i="149" s="1"/>
  <c r="F46" i="149"/>
  <c r="G46" i="149" s="1"/>
  <c r="F47" i="149"/>
  <c r="G47" i="149" s="1"/>
  <c r="F52" i="149"/>
  <c r="F13" i="148"/>
  <c r="G13" i="148" s="1"/>
  <c r="F14" i="148"/>
  <c r="G14" i="148" s="1"/>
  <c r="F15" i="148"/>
  <c r="G15" i="148" s="1"/>
  <c r="F16" i="148"/>
  <c r="G16" i="148" s="1"/>
  <c r="E22" i="148"/>
  <c r="F22" i="148" s="1"/>
  <c r="E23" i="148"/>
  <c r="F23" i="148" s="1"/>
  <c r="G23" i="148" s="1"/>
  <c r="E24" i="148"/>
  <c r="F24" i="148" s="1"/>
  <c r="G24" i="148" s="1"/>
  <c r="E25" i="148"/>
  <c r="F25" i="148"/>
  <c r="G25" i="148" s="1"/>
  <c r="F30" i="148"/>
  <c r="C38" i="148"/>
  <c r="F13" i="147"/>
  <c r="G13" i="147" s="1"/>
  <c r="F14" i="147"/>
  <c r="G14" i="147" s="1"/>
  <c r="F15" i="147"/>
  <c r="G15" i="147" s="1"/>
  <c r="F16" i="147"/>
  <c r="G17" i="147"/>
  <c r="D21" i="147"/>
  <c r="F21" i="147" s="1"/>
  <c r="G21" i="147" s="1"/>
  <c r="D22" i="147"/>
  <c r="D23" i="147" s="1"/>
  <c r="F23" i="147" s="1"/>
  <c r="G23" i="147" s="1"/>
  <c r="G24" i="147"/>
  <c r="F29" i="147"/>
  <c r="G29" i="147" s="1"/>
  <c r="F30" i="147"/>
  <c r="G30" i="147" s="1"/>
  <c r="F31" i="147"/>
  <c r="G31" i="147" s="1"/>
  <c r="G32" i="147"/>
  <c r="G33" i="147"/>
  <c r="F34" i="147"/>
  <c r="E37" i="147"/>
  <c r="F37" i="147" s="1"/>
  <c r="G37" i="147" s="1"/>
  <c r="E38" i="147"/>
  <c r="F38" i="147" s="1"/>
  <c r="E39" i="147"/>
  <c r="F39" i="147" s="1"/>
  <c r="G39" i="147" s="1"/>
  <c r="E40" i="147"/>
  <c r="F40" i="147" s="1"/>
  <c r="G40" i="147" s="1"/>
  <c r="F46" i="147"/>
  <c r="G34" i="147" l="1"/>
  <c r="F14" i="149"/>
  <c r="G14" i="149" s="1"/>
  <c r="F18" i="148"/>
  <c r="F18" i="147"/>
  <c r="G27" i="149"/>
  <c r="G13" i="149"/>
  <c r="G18" i="149" s="1"/>
  <c r="F18" i="149"/>
  <c r="G22" i="148"/>
  <c r="G26" i="148" s="1"/>
  <c r="F26" i="148"/>
  <c r="G44" i="149"/>
  <c r="G48" i="149" s="1"/>
  <c r="F48" i="149"/>
  <c r="G38" i="147"/>
  <c r="G18" i="147"/>
  <c r="G18" i="148"/>
  <c r="G36" i="149"/>
  <c r="F36" i="149"/>
  <c r="F27" i="149"/>
  <c r="F22" i="147"/>
  <c r="G22" i="147" s="1"/>
  <c r="G26" i="147" s="1"/>
  <c r="G16" i="147"/>
  <c r="D41" i="147"/>
  <c r="F41" i="147" s="1"/>
  <c r="G41" i="147" s="1"/>
  <c r="F26" i="147"/>
  <c r="F8" i="146"/>
  <c r="F9" i="146"/>
  <c r="F10" i="146"/>
  <c r="F11" i="146"/>
  <c r="F12" i="146"/>
  <c r="F13" i="146"/>
  <c r="F15" i="146"/>
  <c r="H15" i="146"/>
  <c r="K15" i="146"/>
  <c r="F16" i="146"/>
  <c r="K16" i="146"/>
  <c r="K18" i="146" s="1"/>
  <c r="F17" i="146"/>
  <c r="K17" i="146"/>
  <c r="F18" i="146"/>
  <c r="F19" i="146"/>
  <c r="F20" i="146"/>
  <c r="I20" i="146"/>
  <c r="F22" i="146"/>
  <c r="F23" i="146"/>
  <c r="F24" i="146"/>
  <c r="F25" i="146"/>
  <c r="F26" i="146"/>
  <c r="F27" i="146"/>
  <c r="F29" i="146"/>
  <c r="F30" i="146"/>
  <c r="F31" i="146"/>
  <c r="F34" i="146"/>
  <c r="F35" i="146"/>
  <c r="F37" i="146"/>
  <c r="F38" i="146"/>
  <c r="F39" i="146"/>
  <c r="F40" i="146"/>
  <c r="F41" i="146"/>
  <c r="F42" i="146"/>
  <c r="G8" i="145"/>
  <c r="G9" i="145"/>
  <c r="G10" i="145"/>
  <c r="G11" i="145"/>
  <c r="G12" i="145"/>
  <c r="G13" i="145"/>
  <c r="G14" i="145"/>
  <c r="G15" i="145"/>
  <c r="G16" i="145"/>
  <c r="G17" i="145"/>
  <c r="G18" i="145"/>
  <c r="G21" i="145"/>
  <c r="G22" i="145"/>
  <c r="G23" i="145"/>
  <c r="G24" i="145"/>
  <c r="G25" i="145"/>
  <c r="G26" i="145"/>
  <c r="G27" i="145"/>
  <c r="G28" i="145"/>
  <c r="G29" i="145"/>
  <c r="F9" i="144"/>
  <c r="D10" i="144"/>
  <c r="F10" i="144" s="1"/>
  <c r="D11" i="144"/>
  <c r="F11" i="144" s="1"/>
  <c r="F12" i="144"/>
  <c r="F13" i="144"/>
  <c r="F14" i="144"/>
  <c r="F15" i="144"/>
  <c r="M19" i="144"/>
  <c r="B24" i="144"/>
  <c r="D24" i="144"/>
  <c r="E24" i="144"/>
  <c r="F24" i="144" s="1"/>
  <c r="B25" i="144"/>
  <c r="E25" i="144"/>
  <c r="B26" i="144"/>
  <c r="D26" i="144"/>
  <c r="E26" i="144"/>
  <c r="B27" i="144"/>
  <c r="D27" i="144"/>
  <c r="E27" i="144"/>
  <c r="F27" i="144"/>
  <c r="B28" i="144"/>
  <c r="D28" i="144"/>
  <c r="E28" i="144"/>
  <c r="F28" i="144"/>
  <c r="B29" i="144"/>
  <c r="D29" i="144"/>
  <c r="E29" i="144"/>
  <c r="F29" i="144"/>
  <c r="B30" i="144"/>
  <c r="D30" i="144"/>
  <c r="E30" i="144"/>
  <c r="F30" i="144"/>
  <c r="B31" i="144"/>
  <c r="F33" i="144"/>
  <c r="F32" i="144" s="1"/>
  <c r="D36" i="144"/>
  <c r="F36" i="144"/>
  <c r="F34" i="144" s="1"/>
  <c r="E40" i="144"/>
  <c r="E41" i="144" s="1"/>
  <c r="B44" i="144"/>
  <c r="F7" i="143"/>
  <c r="F8" i="143"/>
  <c r="F9" i="143"/>
  <c r="F10" i="143"/>
  <c r="F11" i="143"/>
  <c r="F12" i="143"/>
  <c r="F13" i="143"/>
  <c r="F14" i="143"/>
  <c r="F16" i="143"/>
  <c r="F17" i="143"/>
  <c r="F18" i="143"/>
  <c r="E21" i="143"/>
  <c r="F21" i="143" s="1"/>
  <c r="E22" i="143"/>
  <c r="F22" i="143" s="1"/>
  <c r="E23" i="143"/>
  <c r="F23" i="143" s="1"/>
  <c r="E24" i="143"/>
  <c r="F24" i="143" s="1"/>
  <c r="E25" i="143"/>
  <c r="F25" i="143" s="1"/>
  <c r="E26" i="143"/>
  <c r="F26" i="143" s="1"/>
  <c r="E27" i="143"/>
  <c r="F27" i="143" s="1"/>
  <c r="E28" i="143"/>
  <c r="F28" i="143" s="1"/>
  <c r="F29" i="143"/>
  <c r="C36" i="143"/>
  <c r="F8" i="142"/>
  <c r="F9" i="142"/>
  <c r="F10" i="142"/>
  <c r="F11" i="142"/>
  <c r="F12" i="142"/>
  <c r="F13" i="142"/>
  <c r="F14" i="142"/>
  <c r="F15" i="142"/>
  <c r="F16" i="142"/>
  <c r="F18" i="142"/>
  <c r="F21" i="142"/>
  <c r="F26" i="142"/>
  <c r="F31" i="142" s="1"/>
  <c r="G26" i="142"/>
  <c r="F27" i="142"/>
  <c r="G27" i="142"/>
  <c r="F28" i="142"/>
  <c r="G28" i="142"/>
  <c r="F29" i="142"/>
  <c r="G29" i="142"/>
  <c r="F30" i="142"/>
  <c r="G30" i="142"/>
  <c r="H5" i="141"/>
  <c r="C6" i="141"/>
  <c r="H6" i="141" s="1"/>
  <c r="H10" i="141"/>
  <c r="H11" i="141"/>
  <c r="H12" i="141"/>
  <c r="G12" i="141" s="1"/>
  <c r="C15" i="141"/>
  <c r="H15" i="141" s="1"/>
  <c r="H14" i="141" s="1"/>
  <c r="H17" i="141"/>
  <c r="H6" i="140"/>
  <c r="C7" i="140"/>
  <c r="D7" i="140"/>
  <c r="D8" i="140" s="1"/>
  <c r="H10" i="140"/>
  <c r="C20" i="140"/>
  <c r="D20" i="140"/>
  <c r="H20" i="140"/>
  <c r="H19" i="140" s="1"/>
  <c r="H22" i="140"/>
  <c r="D15" i="139"/>
  <c r="F15" i="139"/>
  <c r="G15" i="139"/>
  <c r="H15" i="139" s="1"/>
  <c r="I15" i="139" s="1"/>
  <c r="J15" i="139" s="1"/>
  <c r="D16" i="139"/>
  <c r="F16" i="139" s="1"/>
  <c r="F17" i="139"/>
  <c r="G17" i="139"/>
  <c r="H17" i="139" s="1"/>
  <c r="D18" i="139"/>
  <c r="F18" i="139" s="1"/>
  <c r="G18" i="139" s="1"/>
  <c r="H18" i="139" s="1"/>
  <c r="I18" i="139" s="1"/>
  <c r="J18" i="139" s="1"/>
  <c r="D19" i="139"/>
  <c r="F19" i="139" s="1"/>
  <c r="D20" i="139"/>
  <c r="F20" i="139"/>
  <c r="G20" i="139" s="1"/>
  <c r="H20" i="139" s="1"/>
  <c r="I20" i="139" s="1"/>
  <c r="J20" i="139" s="1"/>
  <c r="D21" i="139"/>
  <c r="F21" i="139" s="1"/>
  <c r="G21" i="139" s="1"/>
  <c r="H21" i="139" s="1"/>
  <c r="E22" i="139"/>
  <c r="F22" i="139" s="1"/>
  <c r="G22" i="139" s="1"/>
  <c r="H22" i="139" s="1"/>
  <c r="I22" i="139" s="1"/>
  <c r="J22" i="139" s="1"/>
  <c r="E23" i="139"/>
  <c r="F23" i="139" s="1"/>
  <c r="F24" i="139"/>
  <c r="G24" i="139" s="1"/>
  <c r="H24" i="139" s="1"/>
  <c r="E25" i="139"/>
  <c r="F25" i="139" s="1"/>
  <c r="G25" i="139" s="1"/>
  <c r="H25" i="139" s="1"/>
  <c r="I25" i="139" s="1"/>
  <c r="J25" i="139" s="1"/>
  <c r="E26" i="139"/>
  <c r="F26" i="139" s="1"/>
  <c r="D28" i="139"/>
  <c r="F28" i="139"/>
  <c r="G28" i="139" s="1"/>
  <c r="H28" i="139" s="1"/>
  <c r="I28" i="139" s="1"/>
  <c r="J28" i="139" s="1"/>
  <c r="D29" i="139"/>
  <c r="F29" i="139" s="1"/>
  <c r="F30" i="139"/>
  <c r="G30" i="139" s="1"/>
  <c r="H30" i="139" s="1"/>
  <c r="D31" i="139"/>
  <c r="F31" i="139"/>
  <c r="G31" i="139"/>
  <c r="H31" i="139" s="1"/>
  <c r="I31" i="139" s="1"/>
  <c r="J31" i="139" s="1"/>
  <c r="D32" i="139"/>
  <c r="F32" i="139" s="1"/>
  <c r="D33" i="139"/>
  <c r="F33" i="139"/>
  <c r="G33" i="139" s="1"/>
  <c r="H33" i="139" s="1"/>
  <c r="I33" i="139" s="1"/>
  <c r="J33" i="139" s="1"/>
  <c r="D34" i="139"/>
  <c r="F34" i="139"/>
  <c r="G34" i="139" s="1"/>
  <c r="H34" i="139" s="1"/>
  <c r="I34" i="139" s="1"/>
  <c r="J34" i="139" s="1"/>
  <c r="E35" i="139"/>
  <c r="F35" i="139" s="1"/>
  <c r="G35" i="139" s="1"/>
  <c r="H35" i="139" s="1"/>
  <c r="E36" i="139"/>
  <c r="F36" i="139" s="1"/>
  <c r="F37" i="139"/>
  <c r="G37" i="139" s="1"/>
  <c r="H37" i="139" s="1"/>
  <c r="I37" i="139" s="1"/>
  <c r="J37" i="139" s="1"/>
  <c r="F38" i="139"/>
  <c r="G38" i="139" s="1"/>
  <c r="H38" i="139" s="1"/>
  <c r="I38" i="139" s="1"/>
  <c r="E39" i="139"/>
  <c r="F39" i="139" s="1"/>
  <c r="D41" i="139"/>
  <c r="F41" i="139" s="1"/>
  <c r="D42" i="139"/>
  <c r="F42" i="139" s="1"/>
  <c r="F43" i="139"/>
  <c r="G43" i="139" s="1"/>
  <c r="H43" i="139" s="1"/>
  <c r="D44" i="139"/>
  <c r="F44" i="139" s="1"/>
  <c r="D45" i="139"/>
  <c r="F45" i="139" s="1"/>
  <c r="D46" i="139"/>
  <c r="F46" i="139" s="1"/>
  <c r="D47" i="139"/>
  <c r="F47" i="139" s="1"/>
  <c r="G47" i="139" s="1"/>
  <c r="H47" i="139" s="1"/>
  <c r="I47" i="139" s="1"/>
  <c r="J47" i="139" s="1"/>
  <c r="E48" i="139"/>
  <c r="F48" i="139" s="1"/>
  <c r="E49" i="139"/>
  <c r="F49" i="139"/>
  <c r="F50" i="139"/>
  <c r="G50" i="139" s="1"/>
  <c r="H50" i="139" s="1"/>
  <c r="I50" i="139" s="1"/>
  <c r="J50" i="139" s="1"/>
  <c r="F51" i="139"/>
  <c r="E52" i="139"/>
  <c r="F52" i="139" s="1"/>
  <c r="G52" i="139" s="1"/>
  <c r="H52" i="139" s="1"/>
  <c r="I52" i="139" s="1"/>
  <c r="J52" i="139" s="1"/>
  <c r="F54" i="139"/>
  <c r="G54" i="139"/>
  <c r="H54" i="139" s="1"/>
  <c r="I54" i="139" s="1"/>
  <c r="J54" i="139" s="1"/>
  <c r="F55" i="139"/>
  <c r="G55" i="139" s="1"/>
  <c r="F56" i="139"/>
  <c r="G56" i="139" s="1"/>
  <c r="H56" i="139" s="1"/>
  <c r="I56" i="139" s="1"/>
  <c r="J56" i="139" s="1"/>
  <c r="E57" i="139"/>
  <c r="F57" i="139" s="1"/>
  <c r="G57" i="139" s="1"/>
  <c r="H57" i="139" s="1"/>
  <c r="E60" i="139"/>
  <c r="F60" i="139"/>
  <c r="E61" i="139"/>
  <c r="F61" i="139" s="1"/>
  <c r="D62" i="139"/>
  <c r="E62" i="139"/>
  <c r="D63" i="139"/>
  <c r="F63" i="139" s="1"/>
  <c r="G63" i="139" s="1"/>
  <c r="H63" i="139" s="1"/>
  <c r="I63" i="139" s="1"/>
  <c r="J63" i="139" s="1"/>
  <c r="D64" i="139"/>
  <c r="F64" i="139" s="1"/>
  <c r="D65" i="139"/>
  <c r="F65" i="139"/>
  <c r="G65" i="139" s="1"/>
  <c r="H65" i="139" s="1"/>
  <c r="I65" i="139" s="1"/>
  <c r="J65" i="139" s="1"/>
  <c r="D66" i="139"/>
  <c r="F66" i="139" s="1"/>
  <c r="E67" i="139"/>
  <c r="F67" i="139" s="1"/>
  <c r="G67" i="139" s="1"/>
  <c r="H67" i="139" s="1"/>
  <c r="I67" i="139" s="1"/>
  <c r="J67" i="139" s="1"/>
  <c r="E69" i="139"/>
  <c r="F69" i="139" s="1"/>
  <c r="E70" i="139"/>
  <c r="F70" i="139" s="1"/>
  <c r="G70" i="139" s="1"/>
  <c r="H70" i="139" s="1"/>
  <c r="I70" i="139" s="1"/>
  <c r="J70" i="139" s="1"/>
  <c r="D71" i="139"/>
  <c r="E71" i="139"/>
  <c r="D72" i="139"/>
  <c r="F72" i="139" s="1"/>
  <c r="D73" i="139"/>
  <c r="F73" i="139" s="1"/>
  <c r="G73" i="139" s="1"/>
  <c r="H73" i="139" s="1"/>
  <c r="I73" i="139" s="1"/>
  <c r="J73" i="139" s="1"/>
  <c r="D74" i="139"/>
  <c r="F74" i="139" s="1"/>
  <c r="D75" i="139"/>
  <c r="F75" i="139"/>
  <c r="G75" i="139" s="1"/>
  <c r="H75" i="139" s="1"/>
  <c r="I75" i="139" s="1"/>
  <c r="J75" i="139" s="1"/>
  <c r="E76" i="139"/>
  <c r="F76" i="139"/>
  <c r="G76" i="139" s="1"/>
  <c r="H76" i="139" s="1"/>
  <c r="E78" i="139"/>
  <c r="F78" i="139"/>
  <c r="E79" i="139"/>
  <c r="F79" i="139" s="1"/>
  <c r="D80" i="139"/>
  <c r="E80" i="139"/>
  <c r="F80" i="139" s="1"/>
  <c r="D81" i="139"/>
  <c r="F81" i="139" s="1"/>
  <c r="G81" i="139" s="1"/>
  <c r="H81" i="139" s="1"/>
  <c r="I81" i="139" s="1"/>
  <c r="J81" i="139" s="1"/>
  <c r="D82" i="139"/>
  <c r="F82" i="139" s="1"/>
  <c r="D83" i="139"/>
  <c r="F83" i="139"/>
  <c r="G83" i="139" s="1"/>
  <c r="H83" i="139" s="1"/>
  <c r="I83" i="139" s="1"/>
  <c r="J83" i="139" s="1"/>
  <c r="D84" i="139"/>
  <c r="F84" i="139" s="1"/>
  <c r="E85" i="139"/>
  <c r="F85" i="139" s="1"/>
  <c r="G85" i="139" s="1"/>
  <c r="H85" i="139" s="1"/>
  <c r="I85" i="139" s="1"/>
  <c r="J85" i="139" s="1"/>
  <c r="F87" i="139"/>
  <c r="G87" i="139"/>
  <c r="H87" i="139"/>
  <c r="I87" i="139"/>
  <c r="J87" i="139"/>
  <c r="K88" i="139"/>
  <c r="K89" i="139"/>
  <c r="F10" i="138"/>
  <c r="F11" i="138"/>
  <c r="F12" i="138"/>
  <c r="F13" i="138"/>
  <c r="F14" i="138"/>
  <c r="F15" i="138"/>
  <c r="F16" i="138"/>
  <c r="F17" i="138"/>
  <c r="F18" i="138"/>
  <c r="F19" i="138"/>
  <c r="D21" i="138"/>
  <c r="F22" i="138"/>
  <c r="G22" i="138" s="1"/>
  <c r="F23" i="138"/>
  <c r="F24" i="138"/>
  <c r="G24" i="138" s="1"/>
  <c r="H24" i="138" s="1"/>
  <c r="F25" i="138"/>
  <c r="G25" i="138" s="1"/>
  <c r="F26" i="138"/>
  <c r="F27" i="138"/>
  <c r="G27" i="138" s="1"/>
  <c r="H27" i="138" s="1"/>
  <c r="F28" i="138"/>
  <c r="G28" i="138"/>
  <c r="H28" i="138" s="1"/>
  <c r="F29" i="138"/>
  <c r="G29" i="138" s="1"/>
  <c r="F30" i="138"/>
  <c r="G30" i="138" s="1"/>
  <c r="D31" i="138"/>
  <c r="F31" i="138" s="1"/>
  <c r="D32" i="138"/>
  <c r="F33" i="138"/>
  <c r="G33" i="138" s="1"/>
  <c r="F34" i="138"/>
  <c r="G34" i="138" s="1"/>
  <c r="H34" i="138" s="1"/>
  <c r="F35" i="138"/>
  <c r="G35" i="138" s="1"/>
  <c r="H35" i="138" s="1"/>
  <c r="F36" i="138"/>
  <c r="G36" i="138" s="1"/>
  <c r="F37" i="138"/>
  <c r="F38" i="138"/>
  <c r="G38" i="138" s="1"/>
  <c r="H38" i="138" s="1"/>
  <c r="F39" i="138"/>
  <c r="G39" i="138" s="1"/>
  <c r="H39" i="138" s="1"/>
  <c r="F40" i="138"/>
  <c r="G40" i="138" s="1"/>
  <c r="F41" i="138"/>
  <c r="G41" i="138" s="1"/>
  <c r="F42" i="138"/>
  <c r="G42" i="138" s="1"/>
  <c r="H42" i="138" s="1"/>
  <c r="D43" i="138"/>
  <c r="F43" i="138" s="1"/>
  <c r="G43" i="138" s="1"/>
  <c r="H43" i="138" s="1"/>
  <c r="D47" i="138"/>
  <c r="F47" i="138" s="1"/>
  <c r="D49" i="138"/>
  <c r="F49" i="138" s="1"/>
  <c r="G52" i="138"/>
  <c r="G51" i="138" s="1"/>
  <c r="F53" i="138"/>
  <c r="F51" i="138" s="1"/>
  <c r="G53" i="138"/>
  <c r="H53" i="138"/>
  <c r="C8" i="136"/>
  <c r="F8" i="136" s="1"/>
  <c r="C9" i="136"/>
  <c r="F9" i="136" s="1"/>
  <c r="C10" i="136"/>
  <c r="F10" i="136" s="1"/>
  <c r="C11" i="136"/>
  <c r="F11" i="136" s="1"/>
  <c r="C12" i="136"/>
  <c r="F12" i="136" s="1"/>
  <c r="F14" i="136"/>
  <c r="C18" i="136"/>
  <c r="F18" i="136" s="1"/>
  <c r="F20" i="136" s="1"/>
  <c r="B22" i="136" s="1"/>
  <c r="C7" i="135"/>
  <c r="F7" i="135" s="1"/>
  <c r="C8" i="135"/>
  <c r="F8" i="135" s="1"/>
  <c r="C9" i="135"/>
  <c r="F9" i="135" s="1"/>
  <c r="C10" i="135"/>
  <c r="F10" i="135" s="1"/>
  <c r="C11" i="135"/>
  <c r="F11" i="135" s="1"/>
  <c r="F13" i="135"/>
  <c r="C17" i="135"/>
  <c r="F17" i="135" s="1"/>
  <c r="F19" i="135" s="1"/>
  <c r="B21" i="135" s="1"/>
  <c r="C8" i="134"/>
  <c r="F8" i="134" s="1"/>
  <c r="C9" i="134"/>
  <c r="F9" i="134" s="1"/>
  <c r="C10" i="134"/>
  <c r="F10" i="134" s="1"/>
  <c r="C11" i="134"/>
  <c r="F11" i="134"/>
  <c r="C12" i="134"/>
  <c r="F12" i="134" s="1"/>
  <c r="F14" i="134"/>
  <c r="C18" i="134"/>
  <c r="F18" i="134" s="1"/>
  <c r="F20" i="134" s="1"/>
  <c r="B22" i="134" s="1"/>
  <c r="F7" i="133"/>
  <c r="F8" i="133"/>
  <c r="F9" i="133"/>
  <c r="F10" i="133"/>
  <c r="F11" i="133"/>
  <c r="F12" i="133"/>
  <c r="F13" i="133"/>
  <c r="F14" i="133"/>
  <c r="F18" i="133"/>
  <c r="F22" i="133"/>
  <c r="F23" i="133"/>
  <c r="F24" i="133"/>
  <c r="F25" i="133"/>
  <c r="F26" i="133"/>
  <c r="F27" i="133"/>
  <c r="F28" i="133"/>
  <c r="F29" i="133"/>
  <c r="G9" i="132"/>
  <c r="E10" i="132"/>
  <c r="E11" i="132" s="1"/>
  <c r="G11" i="132" s="1"/>
  <c r="E12" i="132"/>
  <c r="G12" i="132" s="1"/>
  <c r="G17" i="132"/>
  <c r="F22" i="132"/>
  <c r="D35" i="132"/>
  <c r="G8" i="131"/>
  <c r="F8" i="131" s="1"/>
  <c r="G9" i="131"/>
  <c r="F9" i="131" s="1"/>
  <c r="G10" i="131"/>
  <c r="F10" i="131" s="1"/>
  <c r="G11" i="131"/>
  <c r="F11" i="131" s="1"/>
  <c r="F12" i="131"/>
  <c r="G14" i="131"/>
  <c r="F14" i="131" s="1"/>
  <c r="F13" i="131" s="1"/>
  <c r="F15" i="131"/>
  <c r="G15" i="131" s="1"/>
  <c r="F16" i="131"/>
  <c r="G16" i="131"/>
  <c r="F8" i="130"/>
  <c r="H8" i="130"/>
  <c r="J8" i="130"/>
  <c r="K8" i="130"/>
  <c r="F9" i="130"/>
  <c r="H9" i="130"/>
  <c r="J9" i="130"/>
  <c r="K9" i="130"/>
  <c r="F10" i="130"/>
  <c r="H10" i="130"/>
  <c r="J10" i="130"/>
  <c r="K10" i="130"/>
  <c r="F11" i="130"/>
  <c r="H11" i="130"/>
  <c r="J11" i="130"/>
  <c r="K11" i="130"/>
  <c r="F12" i="130"/>
  <c r="H12" i="130"/>
  <c r="J12" i="130"/>
  <c r="K12" i="130"/>
  <c r="F13" i="130"/>
  <c r="H13" i="130"/>
  <c r="J13" i="130"/>
  <c r="K13" i="130"/>
  <c r="F14" i="130"/>
  <c r="J14" i="130"/>
  <c r="F15" i="130"/>
  <c r="J15" i="130"/>
  <c r="F16" i="130"/>
  <c r="J16" i="130"/>
  <c r="F17" i="130"/>
  <c r="J17" i="130"/>
  <c r="F18" i="130"/>
  <c r="J18" i="130"/>
  <c r="F19" i="130"/>
  <c r="J19" i="130"/>
  <c r="F20" i="130"/>
  <c r="J20" i="130"/>
  <c r="F21" i="130"/>
  <c r="J21" i="130"/>
  <c r="F22" i="130"/>
  <c r="J22" i="130"/>
  <c r="F23" i="130"/>
  <c r="J23" i="130"/>
  <c r="F24" i="130"/>
  <c r="J24" i="130"/>
  <c r="F25" i="130"/>
  <c r="J25" i="130"/>
  <c r="F27" i="130"/>
  <c r="F28" i="130"/>
  <c r="F29" i="130"/>
  <c r="F30" i="130"/>
  <c r="F31" i="130"/>
  <c r="F32" i="130"/>
  <c r="F33" i="130"/>
  <c r="F34" i="130"/>
  <c r="F35" i="130"/>
  <c r="F36" i="130"/>
  <c r="F37" i="130"/>
  <c r="F38" i="130"/>
  <c r="F39" i="130"/>
  <c r="F40" i="130"/>
  <c r="F41" i="130"/>
  <c r="F42" i="130"/>
  <c r="F43" i="130"/>
  <c r="F44" i="130"/>
  <c r="F45" i="130"/>
  <c r="F47" i="130"/>
  <c r="F48" i="130"/>
  <c r="F49" i="130"/>
  <c r="F50" i="130"/>
  <c r="F51" i="130"/>
  <c r="F52" i="130"/>
  <c r="F53" i="130"/>
  <c r="F54" i="130"/>
  <c r="F55" i="130"/>
  <c r="F56" i="130"/>
  <c r="F57" i="130"/>
  <c r="F58" i="130"/>
  <c r="F59" i="130"/>
  <c r="F60" i="130"/>
  <c r="F61" i="130"/>
  <c r="F62" i="130"/>
  <c r="F63" i="130"/>
  <c r="F64" i="130"/>
  <c r="F65" i="130"/>
  <c r="F66" i="130"/>
  <c r="F67" i="130"/>
  <c r="F72" i="130"/>
  <c r="F73" i="130"/>
  <c r="F75" i="130"/>
  <c r="F76" i="130"/>
  <c r="F77" i="130"/>
  <c r="E80" i="130"/>
  <c r="F80" i="130" s="1"/>
  <c r="E81" i="130"/>
  <c r="F81" i="130"/>
  <c r="E82" i="130"/>
  <c r="F82" i="130" s="1"/>
  <c r="E83" i="130"/>
  <c r="F83" i="130" s="1"/>
  <c r="E84" i="130"/>
  <c r="F84" i="130" s="1"/>
  <c r="E85" i="130"/>
  <c r="F85" i="130"/>
  <c r="E86" i="130"/>
  <c r="F86" i="130" s="1"/>
  <c r="E87" i="130"/>
  <c r="F87" i="130" s="1"/>
  <c r="E88" i="130"/>
  <c r="F88" i="130" s="1"/>
  <c r="E89" i="130"/>
  <c r="F89" i="130"/>
  <c r="E90" i="130"/>
  <c r="F90" i="130" s="1"/>
  <c r="E91" i="130"/>
  <c r="F91" i="130" s="1"/>
  <c r="E92" i="130"/>
  <c r="F92" i="130" s="1"/>
  <c r="E93" i="130"/>
  <c r="F93" i="130"/>
  <c r="E94" i="130"/>
  <c r="F94" i="130" s="1"/>
  <c r="E95" i="130"/>
  <c r="F95" i="130" s="1"/>
  <c r="E96" i="130"/>
  <c r="F96" i="130" s="1"/>
  <c r="E97" i="130"/>
  <c r="F97" i="130"/>
  <c r="E98" i="130"/>
  <c r="E99" i="130"/>
  <c r="F99" i="130" s="1"/>
  <c r="E100" i="130"/>
  <c r="F100" i="130" s="1"/>
  <c r="E101" i="130"/>
  <c r="F101" i="130" s="1"/>
  <c r="E102" i="130"/>
  <c r="F102" i="130" s="1"/>
  <c r="E103" i="130"/>
  <c r="F103" i="130" s="1"/>
  <c r="E104" i="130"/>
  <c r="F104" i="130" s="1"/>
  <c r="E105" i="130"/>
  <c r="F105" i="130" s="1"/>
  <c r="E106" i="130"/>
  <c r="F106" i="130" s="1"/>
  <c r="E107" i="130"/>
  <c r="F107" i="130" s="1"/>
  <c r="E108" i="130"/>
  <c r="F108" i="130" s="1"/>
  <c r="D109" i="130"/>
  <c r="E109" i="130"/>
  <c r="F109" i="130" s="1"/>
  <c r="E110" i="130"/>
  <c r="F110" i="130" s="1"/>
  <c r="E111" i="130"/>
  <c r="F111" i="130" s="1"/>
  <c r="E112" i="130"/>
  <c r="F112" i="130" s="1"/>
  <c r="E113" i="130"/>
  <c r="F113" i="130" s="1"/>
  <c r="E114" i="130"/>
  <c r="F114" i="130" s="1"/>
  <c r="E115" i="130"/>
  <c r="F115" i="130" s="1"/>
  <c r="E116" i="130"/>
  <c r="F116" i="130" s="1"/>
  <c r="E117" i="130"/>
  <c r="F117" i="130" s="1"/>
  <c r="E118" i="130"/>
  <c r="E119" i="130"/>
  <c r="F119" i="130" s="1"/>
  <c r="E120" i="130"/>
  <c r="F120" i="130" s="1"/>
  <c r="E121" i="130"/>
  <c r="F121" i="130" s="1"/>
  <c r="D122" i="130"/>
  <c r="E122" i="130"/>
  <c r="E123" i="130"/>
  <c r="F123" i="130"/>
  <c r="D124" i="130"/>
  <c r="E124" i="130"/>
  <c r="F124" i="130" s="1"/>
  <c r="E125" i="130"/>
  <c r="F125" i="130" s="1"/>
  <c r="E126" i="130"/>
  <c r="F126" i="130" s="1"/>
  <c r="E127" i="130"/>
  <c r="F127" i="130" s="1"/>
  <c r="E128" i="130"/>
  <c r="F128" i="130" s="1"/>
  <c r="E129" i="130"/>
  <c r="F129" i="130" s="1"/>
  <c r="E130" i="130"/>
  <c r="F130" i="130" s="1"/>
  <c r="E131" i="130"/>
  <c r="F131" i="130" s="1"/>
  <c r="D132" i="130"/>
  <c r="F132" i="130" s="1"/>
  <c r="E132" i="130"/>
  <c r="E133" i="130"/>
  <c r="F133" i="130" s="1"/>
  <c r="E134" i="130"/>
  <c r="F134" i="130" s="1"/>
  <c r="D135" i="130"/>
  <c r="E135" i="130"/>
  <c r="F135" i="130" s="1"/>
  <c r="E136" i="130"/>
  <c r="F136" i="130" s="1"/>
  <c r="E137" i="130"/>
  <c r="F137" i="130" s="1"/>
  <c r="E138" i="130"/>
  <c r="F138" i="130" s="1"/>
  <c r="E139" i="130"/>
  <c r="F139" i="130" s="1"/>
  <c r="E14" i="132" l="1"/>
  <c r="G14" i="132" s="1"/>
  <c r="F6" i="133"/>
  <c r="F5" i="133" s="1"/>
  <c r="K87" i="139"/>
  <c r="H7" i="140"/>
  <c r="F71" i="139"/>
  <c r="G71" i="139" s="1"/>
  <c r="H71" i="139" s="1"/>
  <c r="I71" i="139" s="1"/>
  <c r="J71" i="139" s="1"/>
  <c r="F21" i="146"/>
  <c r="F7" i="131"/>
  <c r="G46" i="139"/>
  <c r="H46" i="139" s="1"/>
  <c r="I46" i="139" s="1"/>
  <c r="J46" i="139" s="1"/>
  <c r="F122" i="130"/>
  <c r="F118" i="130" s="1"/>
  <c r="F71" i="130"/>
  <c r="F26" i="130"/>
  <c r="G10" i="132"/>
  <c r="G6" i="145"/>
  <c r="F28" i="146"/>
  <c r="G42" i="147"/>
  <c r="F45" i="147" s="1"/>
  <c r="C44" i="147" s="1"/>
  <c r="F48" i="147" s="1"/>
  <c r="F79" i="130"/>
  <c r="F46" i="130"/>
  <c r="E13" i="132"/>
  <c r="H41" i="138"/>
  <c r="H33" i="138"/>
  <c r="H30" i="138"/>
  <c r="H22" i="138"/>
  <c r="F62" i="139"/>
  <c r="F53" i="139"/>
  <c r="G53" i="139" s="1"/>
  <c r="F22" i="142"/>
  <c r="F26" i="144"/>
  <c r="G19" i="145"/>
  <c r="F36" i="146"/>
  <c r="F14" i="146"/>
  <c r="F7" i="146"/>
  <c r="F9" i="138"/>
  <c r="F55" i="138" s="1"/>
  <c r="F56" i="138" s="1"/>
  <c r="G56" i="138" s="1"/>
  <c r="F8" i="144"/>
  <c r="F16" i="144" s="1"/>
  <c r="F7" i="130"/>
  <c r="F21" i="133"/>
  <c r="F32" i="133" s="1"/>
  <c r="G37" i="138"/>
  <c r="H37" i="138" s="1"/>
  <c r="G26" i="138"/>
  <c r="H26" i="138" s="1"/>
  <c r="K34" i="139"/>
  <c r="F33" i="142"/>
  <c r="G33" i="142" s="1"/>
  <c r="F6" i="143"/>
  <c r="C31" i="143" s="1"/>
  <c r="C32" i="143" s="1"/>
  <c r="C33" i="143" s="1"/>
  <c r="E33" i="143" s="1"/>
  <c r="C5" i="149"/>
  <c r="C6" i="149" s="1"/>
  <c r="C8" i="149" s="1"/>
  <c r="C5" i="147"/>
  <c r="C6" i="147" s="1"/>
  <c r="C8" i="147" s="1"/>
  <c r="F42" i="147"/>
  <c r="F29" i="148"/>
  <c r="C28" i="148" s="1"/>
  <c r="F32" i="148" s="1"/>
  <c r="C44" i="148"/>
  <c r="C36" i="148"/>
  <c r="C37" i="148" s="1"/>
  <c r="C5" i="148"/>
  <c r="C6" i="148" s="1"/>
  <c r="C8" i="148" s="1"/>
  <c r="G31" i="138"/>
  <c r="H31" i="138" s="1"/>
  <c r="G57" i="138"/>
  <c r="F77" i="139"/>
  <c r="F68" i="139"/>
  <c r="G69" i="139"/>
  <c r="H69" i="139" s="1"/>
  <c r="I69" i="139" s="1"/>
  <c r="J69" i="139" s="1"/>
  <c r="F59" i="139"/>
  <c r="F45" i="138"/>
  <c r="G32" i="138"/>
  <c r="G80" i="139"/>
  <c r="H80" i="139" s="1"/>
  <c r="I80" i="139" s="1"/>
  <c r="J80" i="139" s="1"/>
  <c r="G82" i="139"/>
  <c r="H82" i="139" s="1"/>
  <c r="I82" i="139" s="1"/>
  <c r="J82" i="139" s="1"/>
  <c r="I76" i="139"/>
  <c r="J76" i="139" s="1"/>
  <c r="G72" i="139"/>
  <c r="H72" i="139" s="1"/>
  <c r="I72" i="139" s="1"/>
  <c r="J72" i="139" s="1"/>
  <c r="G64" i="139"/>
  <c r="H64" i="139" s="1"/>
  <c r="I64" i="139" s="1"/>
  <c r="J64" i="139" s="1"/>
  <c r="G62" i="139"/>
  <c r="H62" i="139" s="1"/>
  <c r="I62" i="139" s="1"/>
  <c r="J62" i="139" s="1"/>
  <c r="I57" i="139"/>
  <c r="J57" i="139" s="1"/>
  <c r="G84" i="139"/>
  <c r="H84" i="139" s="1"/>
  <c r="I84" i="139" s="1"/>
  <c r="J84" i="139" s="1"/>
  <c r="G79" i="139"/>
  <c r="H79" i="139" s="1"/>
  <c r="I79" i="139" s="1"/>
  <c r="J79" i="139" s="1"/>
  <c r="G74" i="139"/>
  <c r="H74" i="139" s="1"/>
  <c r="I74" i="139" s="1"/>
  <c r="J74" i="139" s="1"/>
  <c r="G66" i="139"/>
  <c r="H66" i="139" s="1"/>
  <c r="I66" i="139" s="1"/>
  <c r="J66" i="139" s="1"/>
  <c r="G61" i="139"/>
  <c r="H61" i="139" s="1"/>
  <c r="I61" i="139" s="1"/>
  <c r="J61" i="139" s="1"/>
  <c r="H52" i="138"/>
  <c r="H51" i="138" s="1"/>
  <c r="F32" i="138"/>
  <c r="G23" i="138"/>
  <c r="H23" i="138" s="1"/>
  <c r="F21" i="138"/>
  <c r="K83" i="139"/>
  <c r="G78" i="139"/>
  <c r="H78" i="139" s="1"/>
  <c r="I78" i="139" s="1"/>
  <c r="J78" i="139" s="1"/>
  <c r="K75" i="139"/>
  <c r="K71" i="139"/>
  <c r="K70" i="139"/>
  <c r="K67" i="139"/>
  <c r="K63" i="139"/>
  <c r="K56" i="139"/>
  <c r="K50" i="139"/>
  <c r="G39" i="139"/>
  <c r="H39" i="139" s="1"/>
  <c r="I39" i="139" s="1"/>
  <c r="J39" i="139" s="1"/>
  <c r="I17" i="139"/>
  <c r="J17" i="139" s="1"/>
  <c r="F17" i="144"/>
  <c r="M17" i="144" s="1"/>
  <c r="F31" i="144"/>
  <c r="F22" i="144" s="1"/>
  <c r="M25" i="144" s="1"/>
  <c r="M26" i="144" s="1"/>
  <c r="G49" i="138"/>
  <c r="H49" i="138" s="1"/>
  <c r="G47" i="138"/>
  <c r="H40" i="138"/>
  <c r="H36" i="138"/>
  <c r="H29" i="138"/>
  <c r="H25" i="138"/>
  <c r="H55" i="139"/>
  <c r="I55" i="139" s="1"/>
  <c r="J55" i="139" s="1"/>
  <c r="G48" i="139"/>
  <c r="H48" i="139" s="1"/>
  <c r="I48" i="139" s="1"/>
  <c r="J48" i="139" s="1"/>
  <c r="G44" i="139"/>
  <c r="H44" i="139" s="1"/>
  <c r="I44" i="139" s="1"/>
  <c r="J44" i="139" s="1"/>
  <c r="F40" i="139"/>
  <c r="G41" i="139"/>
  <c r="H41" i="139" s="1"/>
  <c r="I41" i="139" s="1"/>
  <c r="J41" i="139" s="1"/>
  <c r="G29" i="139"/>
  <c r="H29" i="139" s="1"/>
  <c r="I29" i="139" s="1"/>
  <c r="J29" i="139" s="1"/>
  <c r="K29" i="139"/>
  <c r="F27" i="139"/>
  <c r="G23" i="139"/>
  <c r="H23" i="139" s="1"/>
  <c r="I23" i="139" s="1"/>
  <c r="J23" i="139" s="1"/>
  <c r="F20" i="143"/>
  <c r="F30" i="143" s="1"/>
  <c r="G30" i="143" s="1"/>
  <c r="K85" i="139"/>
  <c r="K81" i="139"/>
  <c r="K73" i="139"/>
  <c r="K65" i="139"/>
  <c r="G60" i="139"/>
  <c r="H60" i="139" s="1"/>
  <c r="I60" i="139" s="1"/>
  <c r="J60" i="139" s="1"/>
  <c r="K54" i="139"/>
  <c r="K52" i="139"/>
  <c r="G51" i="139"/>
  <c r="H51" i="139" s="1"/>
  <c r="I51" i="139" s="1"/>
  <c r="J51" i="139" s="1"/>
  <c r="G49" i="139"/>
  <c r="H49" i="139" s="1"/>
  <c r="I49" i="139" s="1"/>
  <c r="J49" i="139" s="1"/>
  <c r="G45" i="139"/>
  <c r="H45" i="139" s="1"/>
  <c r="I45" i="139" s="1"/>
  <c r="J45" i="139" s="1"/>
  <c r="I43" i="139"/>
  <c r="J43" i="139" s="1"/>
  <c r="G42" i="139"/>
  <c r="H42" i="139" s="1"/>
  <c r="I42" i="139" s="1"/>
  <c r="J42" i="139" s="1"/>
  <c r="J38" i="139"/>
  <c r="K38" i="139" s="1"/>
  <c r="K37" i="139"/>
  <c r="G36" i="139"/>
  <c r="H36" i="139" s="1"/>
  <c r="I36" i="139" s="1"/>
  <c r="J36" i="139" s="1"/>
  <c r="K36" i="139"/>
  <c r="G32" i="139"/>
  <c r="H32" i="139" s="1"/>
  <c r="I32" i="139" s="1"/>
  <c r="J32" i="139" s="1"/>
  <c r="G26" i="139"/>
  <c r="H26" i="139" s="1"/>
  <c r="I26" i="139" s="1"/>
  <c r="J26" i="139" s="1"/>
  <c r="I21" i="139"/>
  <c r="J21" i="139" s="1"/>
  <c r="K21" i="139" s="1"/>
  <c r="G16" i="139"/>
  <c r="H16" i="139" s="1"/>
  <c r="I16" i="139" s="1"/>
  <c r="J16" i="139" s="1"/>
  <c r="F14" i="139"/>
  <c r="F6" i="146"/>
  <c r="I6" i="146" s="1"/>
  <c r="I7" i="146" s="1"/>
  <c r="K47" i="139"/>
  <c r="I35" i="139"/>
  <c r="J35" i="139" s="1"/>
  <c r="I30" i="139"/>
  <c r="J30" i="139" s="1"/>
  <c r="I24" i="139"/>
  <c r="J24" i="139" s="1"/>
  <c r="G19" i="139"/>
  <c r="H19" i="139" s="1"/>
  <c r="I19" i="139" s="1"/>
  <c r="J19" i="139" s="1"/>
  <c r="K31" i="139"/>
  <c r="K28" i="139"/>
  <c r="K25" i="139"/>
  <c r="K22" i="139"/>
  <c r="K18" i="139"/>
  <c r="K15" i="139"/>
  <c r="C8" i="140"/>
  <c r="C13" i="140" s="1"/>
  <c r="C14" i="140" s="1"/>
  <c r="C9" i="140" s="1"/>
  <c r="C15" i="140" s="1"/>
  <c r="C12" i="140" s="1"/>
  <c r="C11" i="140" s="1"/>
  <c r="C16" i="140" s="1"/>
  <c r="C17" i="140" s="1"/>
  <c r="F35" i="142"/>
  <c r="F36" i="142" s="1"/>
  <c r="F38" i="142" s="1"/>
  <c r="F39" i="142" s="1"/>
  <c r="D25" i="144"/>
  <c r="F25" i="144" s="1"/>
  <c r="F23" i="144" s="1"/>
  <c r="H16" i="146"/>
  <c r="H17" i="146" s="1"/>
  <c r="C7" i="141"/>
  <c r="K33" i="139"/>
  <c r="K20" i="139"/>
  <c r="D13" i="140"/>
  <c r="F7" i="136"/>
  <c r="H9" i="134"/>
  <c r="F7" i="134"/>
  <c r="F6" i="135"/>
  <c r="F17" i="131"/>
  <c r="G17" i="131" s="1"/>
  <c r="G13" i="131"/>
  <c r="G7" i="131"/>
  <c r="D19" i="131"/>
  <c r="D21" i="131" s="1"/>
  <c r="E21" i="131" s="1"/>
  <c r="F98" i="130"/>
  <c r="F6" i="130"/>
  <c r="F142" i="130" s="1"/>
  <c r="F143" i="130" s="1"/>
  <c r="F144" i="130" s="1"/>
  <c r="F145" i="130" s="1"/>
  <c r="F68" i="130"/>
  <c r="F70" i="130" s="1"/>
  <c r="K60" i="139" l="1"/>
  <c r="K55" i="139"/>
  <c r="K26" i="139"/>
  <c r="K16" i="139"/>
  <c r="K41" i="139"/>
  <c r="G30" i="145"/>
  <c r="K46" i="139"/>
  <c r="H53" i="139"/>
  <c r="I53" i="139" s="1"/>
  <c r="J53" i="139" s="1"/>
  <c r="F78" i="130"/>
  <c r="F141" i="130" s="1"/>
  <c r="G141" i="130" s="1"/>
  <c r="K32" i="139"/>
  <c r="F51" i="149"/>
  <c r="C50" i="149" s="1"/>
  <c r="F54" i="149" s="1"/>
  <c r="E29" i="132"/>
  <c r="G29" i="132" s="1"/>
  <c r="E28" i="132"/>
  <c r="G13" i="132"/>
  <c r="G8" i="132" s="1"/>
  <c r="H13" i="140"/>
  <c r="D14" i="140"/>
  <c r="K19" i="139"/>
  <c r="K30" i="139"/>
  <c r="F13" i="139"/>
  <c r="G14" i="139"/>
  <c r="H14" i="139" s="1"/>
  <c r="I14" i="139" s="1"/>
  <c r="J14" i="139" s="1"/>
  <c r="K14" i="139"/>
  <c r="K43" i="139"/>
  <c r="K49" i="139"/>
  <c r="F37" i="144"/>
  <c r="K23" i="139"/>
  <c r="K44" i="139"/>
  <c r="K17" i="139"/>
  <c r="K21" i="138"/>
  <c r="F20" i="138"/>
  <c r="K61" i="139"/>
  <c r="K74" i="139"/>
  <c r="K84" i="139"/>
  <c r="K62" i="139"/>
  <c r="K72" i="139"/>
  <c r="K82" i="139"/>
  <c r="G21" i="138"/>
  <c r="G20" i="138" s="1"/>
  <c r="G59" i="139"/>
  <c r="H59" i="139" s="1"/>
  <c r="I59" i="139" s="1"/>
  <c r="J59" i="139" s="1"/>
  <c r="F58" i="139"/>
  <c r="G77" i="139"/>
  <c r="H77" i="139" s="1"/>
  <c r="I77" i="139" s="1"/>
  <c r="J77" i="139" s="1"/>
  <c r="J9" i="146"/>
  <c r="I8" i="146"/>
  <c r="J8" i="146" s="1"/>
  <c r="K69" i="139"/>
  <c r="K24" i="139"/>
  <c r="K35" i="139"/>
  <c r="F43" i="146"/>
  <c r="F44" i="146" s="1"/>
  <c r="K42" i="139"/>
  <c r="K45" i="139"/>
  <c r="K51" i="139"/>
  <c r="G27" i="139"/>
  <c r="H27" i="139" s="1"/>
  <c r="I27" i="139" s="1"/>
  <c r="J27" i="139" s="1"/>
  <c r="K48" i="139"/>
  <c r="G45" i="138"/>
  <c r="K39" i="139"/>
  <c r="K78" i="139"/>
  <c r="H32" i="138"/>
  <c r="K32" i="138"/>
  <c r="K66" i="139"/>
  <c r="K79" i="139"/>
  <c r="K57" i="139"/>
  <c r="K64" i="139"/>
  <c r="K76" i="139"/>
  <c r="K80" i="139"/>
  <c r="H47" i="138"/>
  <c r="H45" i="138" s="1"/>
  <c r="H7" i="141"/>
  <c r="C8" i="141"/>
  <c r="H8" i="140"/>
  <c r="G40" i="139"/>
  <c r="H40" i="139" s="1"/>
  <c r="I40" i="139" s="1"/>
  <c r="J40" i="139" s="1"/>
  <c r="F50" i="138"/>
  <c r="G68" i="139"/>
  <c r="H68" i="139" s="1"/>
  <c r="I68" i="139" s="1"/>
  <c r="J68" i="139" s="1"/>
  <c r="H7" i="136"/>
  <c r="F15" i="136"/>
  <c r="D22" i="136" s="1"/>
  <c r="F22" i="136" s="1"/>
  <c r="F15" i="134"/>
  <c r="D22" i="134" s="1"/>
  <c r="F22" i="134" s="1"/>
  <c r="H7" i="134"/>
  <c r="H6" i="135"/>
  <c r="F14" i="135"/>
  <c r="D21" i="135" s="1"/>
  <c r="F21" i="135" s="1"/>
  <c r="F146" i="130"/>
  <c r="F151" i="130"/>
  <c r="F153" i="130"/>
  <c r="G50" i="138" l="1"/>
  <c r="G28" i="132"/>
  <c r="G30" i="132" s="1"/>
  <c r="E30" i="132"/>
  <c r="D34" i="132"/>
  <c r="D23" i="132"/>
  <c r="K53" i="139"/>
  <c r="K40" i="139"/>
  <c r="K68" i="139"/>
  <c r="K77" i="139"/>
  <c r="K27" i="139"/>
  <c r="H8" i="141"/>
  <c r="C9" i="141"/>
  <c r="H9" i="141" s="1"/>
  <c r="H13" i="141" s="1"/>
  <c r="H16" i="141" s="1"/>
  <c r="H18" i="141" s="1"/>
  <c r="G58" i="139"/>
  <c r="H58" i="139" s="1"/>
  <c r="I58" i="139" s="1"/>
  <c r="J58" i="139" s="1"/>
  <c r="H21" i="138"/>
  <c r="H20" i="138" s="1"/>
  <c r="H50" i="138" s="1"/>
  <c r="M29" i="144"/>
  <c r="B41" i="144"/>
  <c r="H14" i="140"/>
  <c r="D9" i="140"/>
  <c r="K59" i="139"/>
  <c r="G13" i="139"/>
  <c r="H13" i="139" s="1"/>
  <c r="I13" i="139" s="1"/>
  <c r="J13" i="139" s="1"/>
  <c r="F12" i="139"/>
  <c r="H8" i="136"/>
  <c r="I7" i="136"/>
  <c r="H8" i="134"/>
  <c r="I7" i="134" s="1"/>
  <c r="H7" i="135"/>
  <c r="I6" i="135" s="1"/>
  <c r="F148" i="130"/>
  <c r="F147" i="130"/>
  <c r="D24" i="132" l="1"/>
  <c r="D43" i="132" s="1"/>
  <c r="D42" i="132"/>
  <c r="G16" i="132"/>
  <c r="G18" i="132"/>
  <c r="D37" i="132" s="1"/>
  <c r="D32" i="132"/>
  <c r="G12" i="139"/>
  <c r="H12" i="139" s="1"/>
  <c r="I12" i="139" s="1"/>
  <c r="J12" i="139" s="1"/>
  <c r="K13" i="139"/>
  <c r="D15" i="140"/>
  <c r="H9" i="140"/>
  <c r="F86" i="139"/>
  <c r="K58" i="139"/>
  <c r="G148" i="130"/>
  <c r="F149" i="130"/>
  <c r="K12" i="139" l="1"/>
  <c r="D36" i="132"/>
  <c r="D33" i="132" s="1"/>
  <c r="G15" i="132"/>
  <c r="G19" i="132" s="1"/>
  <c r="D38" i="132"/>
  <c r="D12" i="140"/>
  <c r="H15" i="140"/>
  <c r="G86" i="139"/>
  <c r="H86" i="139" s="1"/>
  <c r="I86" i="139" s="1"/>
  <c r="J86" i="139" s="1"/>
  <c r="D39" i="132" l="1"/>
  <c r="D40" i="132" s="1"/>
  <c r="K86" i="139"/>
  <c r="D11" i="140"/>
  <c r="H12" i="140"/>
  <c r="D16" i="140" l="1"/>
  <c r="H11" i="140"/>
  <c r="D17" i="140" l="1"/>
  <c r="H17" i="140" s="1"/>
  <c r="H18" i="140" s="1"/>
  <c r="H21" i="140" s="1"/>
  <c r="H23" i="140" s="1"/>
  <c r="H16" i="140"/>
  <c r="F8" i="129" l="1"/>
  <c r="H8" i="129"/>
  <c r="F9" i="129"/>
  <c r="F10" i="129"/>
  <c r="F11" i="129"/>
  <c r="F12" i="129"/>
  <c r="F13" i="129"/>
  <c r="F14" i="129"/>
  <c r="F15" i="129"/>
  <c r="F16" i="129"/>
  <c r="F17" i="129"/>
  <c r="F18" i="129"/>
  <c r="F19" i="129"/>
  <c r="F20" i="129"/>
  <c r="F21" i="129"/>
  <c r="F22" i="129"/>
  <c r="F23" i="129"/>
  <c r="F24" i="129"/>
  <c r="F25" i="129"/>
  <c r="F26" i="129"/>
  <c r="F27" i="129"/>
  <c r="F28" i="129"/>
  <c r="F29" i="129"/>
  <c r="F30" i="129"/>
  <c r="F31" i="129"/>
  <c r="F32" i="129"/>
  <c r="F33" i="129"/>
  <c r="F34" i="129"/>
  <c r="F35" i="129"/>
  <c r="F36" i="129"/>
  <c r="F37" i="129"/>
  <c r="F38" i="129"/>
  <c r="F39" i="129"/>
  <c r="F40" i="129"/>
  <c r="F41" i="129"/>
  <c r="F42" i="129"/>
  <c r="F43" i="129"/>
  <c r="F44" i="129"/>
  <c r="F45" i="129"/>
  <c r="F46" i="129"/>
  <c r="F47" i="129"/>
  <c r="F51" i="129"/>
  <c r="F53" i="129"/>
  <c r="F54" i="129"/>
  <c r="F55" i="129"/>
  <c r="F56" i="129"/>
  <c r="F57" i="129"/>
  <c r="F58" i="129"/>
  <c r="F59" i="129"/>
  <c r="F60" i="129"/>
  <c r="F61" i="129"/>
  <c r="F62" i="129"/>
  <c r="F63" i="129"/>
  <c r="F64" i="129"/>
  <c r="F65" i="129"/>
  <c r="F66" i="129"/>
  <c r="F67" i="129"/>
  <c r="F68" i="129"/>
  <c r="F69" i="129"/>
  <c r="F70" i="129"/>
  <c r="F71" i="129"/>
  <c r="F72" i="129"/>
  <c r="F73" i="129"/>
  <c r="F74" i="129"/>
  <c r="F75" i="129"/>
  <c r="F76" i="129"/>
  <c r="F77" i="129"/>
  <c r="F78" i="129"/>
  <c r="F79" i="129"/>
  <c r="F80" i="129"/>
  <c r="F81" i="129"/>
  <c r="F82" i="129"/>
  <c r="F83" i="129"/>
  <c r="F84" i="129"/>
  <c r="F85" i="129"/>
  <c r="F86" i="129"/>
  <c r="F87" i="129"/>
  <c r="F88" i="129"/>
  <c r="F89" i="129"/>
  <c r="F90" i="129"/>
  <c r="F91" i="129"/>
  <c r="H105" i="129"/>
  <c r="H109" i="129"/>
  <c r="E12" i="128"/>
  <c r="E13" i="128"/>
  <c r="E14" i="128"/>
  <c r="E16" i="128"/>
  <c r="E17" i="128"/>
  <c r="E18" i="128"/>
  <c r="E19" i="128"/>
  <c r="E20" i="128"/>
  <c r="E21" i="128"/>
  <c r="E22" i="128"/>
  <c r="E24" i="128"/>
  <c r="D27" i="128"/>
  <c r="E27" i="128" s="1"/>
  <c r="E25" i="128" s="1"/>
  <c r="E11" i="127"/>
  <c r="E12" i="127"/>
  <c r="E13" i="127"/>
  <c r="E14" i="127"/>
  <c r="E15" i="127"/>
  <c r="E16" i="127"/>
  <c r="E17" i="127"/>
  <c r="E18" i="127"/>
  <c r="E19" i="127"/>
  <c r="E20" i="127"/>
  <c r="E21" i="127"/>
  <c r="E22" i="127"/>
  <c r="E24" i="127"/>
  <c r="D27" i="127"/>
  <c r="E27" i="127"/>
  <c r="E25" i="127" s="1"/>
  <c r="E10" i="126"/>
  <c r="E11" i="126"/>
  <c r="E12" i="126"/>
  <c r="E14" i="126"/>
  <c r="E15" i="126"/>
  <c r="E16" i="126"/>
  <c r="E17" i="126"/>
  <c r="E18" i="126"/>
  <c r="E19" i="126"/>
  <c r="E20" i="126"/>
  <c r="E21" i="126"/>
  <c r="E23" i="126"/>
  <c r="E26" i="126"/>
  <c r="E24" i="126" s="1"/>
  <c r="E10" i="125"/>
  <c r="E11" i="125"/>
  <c r="E12" i="125"/>
  <c r="E13" i="125"/>
  <c r="E14" i="125"/>
  <c r="E15" i="125"/>
  <c r="E16" i="125"/>
  <c r="E17" i="125"/>
  <c r="E18" i="125"/>
  <c r="E19" i="125"/>
  <c r="E21" i="125"/>
  <c r="E24" i="125"/>
  <c r="E22" i="125" s="1"/>
  <c r="E11" i="124"/>
  <c r="E12" i="124"/>
  <c r="E13" i="124"/>
  <c r="E14" i="124"/>
  <c r="E15" i="124"/>
  <c r="E16" i="124"/>
  <c r="E17" i="124"/>
  <c r="E18" i="124"/>
  <c r="E19" i="124"/>
  <c r="E20" i="124"/>
  <c r="E21" i="124"/>
  <c r="E24" i="124"/>
  <c r="D27" i="124"/>
  <c r="E27" i="124"/>
  <c r="E25" i="124" s="1"/>
  <c r="E11" i="123"/>
  <c r="E12" i="123"/>
  <c r="E14" i="123"/>
  <c r="E15" i="123"/>
  <c r="E16" i="123"/>
  <c r="E17" i="123"/>
  <c r="E18" i="123"/>
  <c r="E19" i="123"/>
  <c r="E20" i="123"/>
  <c r="E21" i="123"/>
  <c r="E24" i="123"/>
  <c r="E26" i="123"/>
  <c r="E25" i="123" s="1"/>
  <c r="E10" i="122"/>
  <c r="E11" i="122"/>
  <c r="E12" i="122"/>
  <c r="E13" i="122"/>
  <c r="E14" i="122"/>
  <c r="E15" i="122"/>
  <c r="E16" i="122"/>
  <c r="E17" i="122"/>
  <c r="E18" i="122"/>
  <c r="E19" i="122"/>
  <c r="E20" i="122"/>
  <c r="E23" i="122"/>
  <c r="D26" i="122"/>
  <c r="E26" i="122"/>
  <c r="E24" i="122" s="1"/>
  <c r="E11" i="121"/>
  <c r="E12" i="121"/>
  <c r="E13" i="121"/>
  <c r="E14" i="121"/>
  <c r="E15" i="121"/>
  <c r="E16" i="121"/>
  <c r="E17" i="121"/>
  <c r="E18" i="121"/>
  <c r="E19" i="121"/>
  <c r="E20" i="121"/>
  <c r="E21" i="121"/>
  <c r="E24" i="121"/>
  <c r="E27" i="121"/>
  <c r="E25" i="121" s="1"/>
  <c r="E9" i="120"/>
  <c r="E10" i="120"/>
  <c r="E11" i="120"/>
  <c r="E12" i="120"/>
  <c r="E13" i="120"/>
  <c r="E14" i="120"/>
  <c r="E15" i="120"/>
  <c r="E16" i="120"/>
  <c r="E17" i="120"/>
  <c r="E18" i="120"/>
  <c r="E19" i="120"/>
  <c r="E22" i="120"/>
  <c r="D25" i="120"/>
  <c r="E25" i="120"/>
  <c r="E23" i="120" s="1"/>
  <c r="E11" i="119"/>
  <c r="E12" i="119"/>
  <c r="E13" i="119"/>
  <c r="E14" i="119"/>
  <c r="E15" i="119"/>
  <c r="E16" i="119"/>
  <c r="E17" i="119"/>
  <c r="E18" i="119"/>
  <c r="E19" i="119"/>
  <c r="E20" i="119"/>
  <c r="E23" i="119"/>
  <c r="E26" i="119"/>
  <c r="E24" i="119" s="1"/>
  <c r="E11" i="118"/>
  <c r="E22" i="118" s="1"/>
  <c r="E10" i="118" s="1"/>
  <c r="E12" i="118"/>
  <c r="E13" i="118"/>
  <c r="E14" i="118"/>
  <c r="E15" i="118"/>
  <c r="E16" i="118"/>
  <c r="E17" i="118"/>
  <c r="E18" i="118"/>
  <c r="E19" i="118"/>
  <c r="E20" i="118"/>
  <c r="E23" i="118"/>
  <c r="D26" i="118"/>
  <c r="E26" i="118" s="1"/>
  <c r="E24" i="118" s="1"/>
  <c r="E9" i="117"/>
  <c r="E10" i="117"/>
  <c r="E11" i="117"/>
  <c r="E12" i="117"/>
  <c r="E13" i="117"/>
  <c r="E14" i="117"/>
  <c r="E15" i="117"/>
  <c r="E16" i="117"/>
  <c r="E17" i="117"/>
  <c r="E18" i="117"/>
  <c r="E19" i="117"/>
  <c r="E22" i="117"/>
  <c r="E25" i="117"/>
  <c r="E23" i="117" s="1"/>
  <c r="E12" i="116"/>
  <c r="E13" i="116"/>
  <c r="G13" i="116"/>
  <c r="E14" i="116"/>
  <c r="E23" i="116" s="1"/>
  <c r="E10" i="116" s="1"/>
  <c r="G14" i="116"/>
  <c r="E15" i="116"/>
  <c r="G15" i="116"/>
  <c r="E16" i="116"/>
  <c r="G16" i="116"/>
  <c r="E17" i="116"/>
  <c r="G17" i="116"/>
  <c r="E18" i="116"/>
  <c r="G18" i="116"/>
  <c r="E19" i="116"/>
  <c r="G19" i="116"/>
  <c r="E20" i="116"/>
  <c r="G20" i="116"/>
  <c r="E21" i="116"/>
  <c r="G21" i="116"/>
  <c r="E22" i="116"/>
  <c r="G22" i="116"/>
  <c r="G23" i="116"/>
  <c r="E24" i="116"/>
  <c r="G24" i="116"/>
  <c r="E25" i="116"/>
  <c r="G25" i="116" s="1"/>
  <c r="G10" i="116" s="1"/>
  <c r="E29" i="116"/>
  <c r="E26" i="116" s="1"/>
  <c r="G29" i="116"/>
  <c r="G26" i="116" s="1"/>
  <c r="E10" i="115"/>
  <c r="E11" i="115"/>
  <c r="E12" i="115"/>
  <c r="E13" i="115"/>
  <c r="E14" i="115"/>
  <c r="E15" i="115"/>
  <c r="E16" i="115"/>
  <c r="E18" i="115"/>
  <c r="D21" i="115"/>
  <c r="E21" i="115"/>
  <c r="E19" i="115" s="1"/>
  <c r="E9" i="114"/>
  <c r="E10" i="114"/>
  <c r="E11" i="114"/>
  <c r="E12" i="114"/>
  <c r="E13" i="114"/>
  <c r="E14" i="114"/>
  <c r="E17" i="114"/>
  <c r="E19" i="114"/>
  <c r="D22" i="114"/>
  <c r="E22" i="114" s="1"/>
  <c r="E20" i="114" s="1"/>
  <c r="E11" i="113"/>
  <c r="G11" i="113"/>
  <c r="I11" i="113"/>
  <c r="E12" i="113"/>
  <c r="N12" i="113" s="1"/>
  <c r="E13" i="113"/>
  <c r="G13" i="113"/>
  <c r="I13" i="113"/>
  <c r="K13" i="113"/>
  <c r="M13" i="113"/>
  <c r="E14" i="113"/>
  <c r="G14" i="113"/>
  <c r="I14" i="113"/>
  <c r="K14" i="113"/>
  <c r="M14" i="113"/>
  <c r="E16" i="113"/>
  <c r="G16" i="113"/>
  <c r="I16" i="113"/>
  <c r="K16" i="113"/>
  <c r="M16" i="113"/>
  <c r="E17" i="113"/>
  <c r="G17" i="113"/>
  <c r="I17" i="113"/>
  <c r="K17" i="113"/>
  <c r="M17" i="113"/>
  <c r="E18" i="113"/>
  <c r="G18" i="113"/>
  <c r="I18" i="113"/>
  <c r="K18" i="113"/>
  <c r="M18" i="113"/>
  <c r="E19" i="113"/>
  <c r="G19" i="113"/>
  <c r="I19" i="113"/>
  <c r="K19" i="113"/>
  <c r="M19" i="113"/>
  <c r="E20" i="113"/>
  <c r="G20" i="113"/>
  <c r="I20" i="113"/>
  <c r="K20" i="113"/>
  <c r="M20" i="113"/>
  <c r="E22" i="113"/>
  <c r="G22" i="113"/>
  <c r="I22" i="113"/>
  <c r="K22" i="113"/>
  <c r="M22" i="113"/>
  <c r="E23" i="113"/>
  <c r="G23" i="113"/>
  <c r="I23" i="113"/>
  <c r="J26" i="113"/>
  <c r="K26" i="113" s="1"/>
  <c r="L26" i="113"/>
  <c r="M26" i="113" s="1"/>
  <c r="M23" i="113" s="1"/>
  <c r="E22" i="126" l="1"/>
  <c r="E9" i="126" s="1"/>
  <c r="N20" i="113"/>
  <c r="M15" i="113"/>
  <c r="M21" i="113" s="1"/>
  <c r="M10" i="113" s="1"/>
  <c r="M27" i="113" s="1"/>
  <c r="E15" i="113"/>
  <c r="E21" i="113" s="1"/>
  <c r="E10" i="113" s="1"/>
  <c r="E17" i="115"/>
  <c r="E9" i="115" s="1"/>
  <c r="E22" i="122"/>
  <c r="E9" i="122" s="1"/>
  <c r="E27" i="118"/>
  <c r="E28" i="118" s="1"/>
  <c r="E27" i="126"/>
  <c r="E28" i="126" s="1"/>
  <c r="N19" i="113"/>
  <c r="K15" i="113"/>
  <c r="K21" i="113" s="1"/>
  <c r="K10" i="113" s="1"/>
  <c r="N14" i="113"/>
  <c r="E13" i="123"/>
  <c r="E23" i="123" s="1"/>
  <c r="E9" i="123" s="1"/>
  <c r="E23" i="124"/>
  <c r="E10" i="124" s="1"/>
  <c r="E22" i="115"/>
  <c r="E23" i="115" s="1"/>
  <c r="E20" i="125"/>
  <c r="E9" i="125" s="1"/>
  <c r="N18" i="113"/>
  <c r="I15" i="113"/>
  <c r="N13" i="113"/>
  <c r="N11" i="113"/>
  <c r="E21" i="117"/>
  <c r="E8" i="117" s="1"/>
  <c r="E26" i="117" s="1"/>
  <c r="E27" i="117" s="1"/>
  <c r="F52" i="129"/>
  <c r="N22" i="113"/>
  <c r="N17" i="113"/>
  <c r="G15" i="113"/>
  <c r="G21" i="113" s="1"/>
  <c r="G10" i="113" s="1"/>
  <c r="G27" i="113" s="1"/>
  <c r="E18" i="114"/>
  <c r="E8" i="114" s="1"/>
  <c r="E23" i="114" s="1"/>
  <c r="E24" i="114" s="1"/>
  <c r="E30" i="116"/>
  <c r="E31" i="116" s="1"/>
  <c r="E22" i="119"/>
  <c r="E10" i="119" s="1"/>
  <c r="E27" i="119" s="1"/>
  <c r="E28" i="119" s="1"/>
  <c r="E23" i="121"/>
  <c r="E10" i="121" s="1"/>
  <c r="E28" i="121" s="1"/>
  <c r="E29" i="121" s="1"/>
  <c r="E23" i="127"/>
  <c r="E10" i="127" s="1"/>
  <c r="E28" i="127" s="1"/>
  <c r="E29" i="127" s="1"/>
  <c r="E23" i="128"/>
  <c r="E11" i="128" s="1"/>
  <c r="E28" i="128" s="1"/>
  <c r="E29" i="128" s="1"/>
  <c r="F7" i="129"/>
  <c r="F6" i="129" s="1"/>
  <c r="F93" i="129" s="1"/>
  <c r="E21" i="120"/>
  <c r="E8" i="120" s="1"/>
  <c r="E26" i="120" s="1"/>
  <c r="E27" i="120" s="1"/>
  <c r="E27" i="122"/>
  <c r="E28" i="122" s="1"/>
  <c r="E27" i="123"/>
  <c r="E28" i="123" s="1"/>
  <c r="E28" i="124"/>
  <c r="E29" i="124" s="1"/>
  <c r="N26" i="113"/>
  <c r="N23" i="113" s="1"/>
  <c r="K23" i="113"/>
  <c r="G30" i="116"/>
  <c r="G31" i="116" s="1"/>
  <c r="E25" i="125"/>
  <c r="E26" i="125" s="1"/>
  <c r="N16" i="113"/>
  <c r="E11" i="112"/>
  <c r="I11" i="112"/>
  <c r="E12" i="112"/>
  <c r="J12" i="112" s="1"/>
  <c r="E13" i="112"/>
  <c r="G13" i="112"/>
  <c r="I13" i="112"/>
  <c r="E14" i="112"/>
  <c r="G14" i="112"/>
  <c r="I14" i="112"/>
  <c r="E15" i="112"/>
  <c r="G15" i="112"/>
  <c r="I15" i="112"/>
  <c r="E16" i="112"/>
  <c r="G16" i="112"/>
  <c r="I16" i="112"/>
  <c r="E17" i="112"/>
  <c r="G17" i="112"/>
  <c r="I17" i="112"/>
  <c r="E18" i="112"/>
  <c r="G18" i="112"/>
  <c r="I18" i="112"/>
  <c r="E20" i="112"/>
  <c r="G20" i="112"/>
  <c r="I20" i="112"/>
  <c r="E22" i="112"/>
  <c r="G22" i="112"/>
  <c r="G21" i="112" s="1"/>
  <c r="I22" i="112"/>
  <c r="I21" i="112" s="1"/>
  <c r="E12" i="111"/>
  <c r="E13" i="111"/>
  <c r="E15" i="111"/>
  <c r="E16" i="111"/>
  <c r="E17" i="111"/>
  <c r="E18" i="111"/>
  <c r="E19" i="111"/>
  <c r="E20" i="111"/>
  <c r="E21" i="111"/>
  <c r="E23" i="111"/>
  <c r="D25" i="111"/>
  <c r="D26" i="111" s="1"/>
  <c r="E27" i="111" s="1"/>
  <c r="E12" i="110"/>
  <c r="E13" i="110"/>
  <c r="E15" i="110"/>
  <c r="E16" i="110"/>
  <c r="E17" i="110"/>
  <c r="E18" i="110"/>
  <c r="E19" i="110"/>
  <c r="E20" i="110"/>
  <c r="E21" i="110"/>
  <c r="E23" i="110"/>
  <c r="E27" i="110"/>
  <c r="E24" i="110" s="1"/>
  <c r="E13" i="109"/>
  <c r="E14" i="109"/>
  <c r="E15" i="109"/>
  <c r="E17" i="109"/>
  <c r="E18" i="109"/>
  <c r="E19" i="109"/>
  <c r="E20" i="109"/>
  <c r="E21" i="109"/>
  <c r="E22" i="109"/>
  <c r="E23" i="109"/>
  <c r="E25" i="109"/>
  <c r="E28" i="109"/>
  <c r="E26" i="109" s="1"/>
  <c r="E13" i="108"/>
  <c r="E14" i="108"/>
  <c r="E15" i="108"/>
  <c r="E17" i="108"/>
  <c r="E18" i="108"/>
  <c r="E19" i="108"/>
  <c r="E20" i="108"/>
  <c r="E21" i="108"/>
  <c r="E22" i="108"/>
  <c r="E23" i="108"/>
  <c r="E25" i="108"/>
  <c r="E28" i="108"/>
  <c r="E26" i="108" s="1"/>
  <c r="E13" i="107"/>
  <c r="E14" i="107"/>
  <c r="E15" i="107"/>
  <c r="G15" i="107"/>
  <c r="E17" i="107"/>
  <c r="G17" i="107"/>
  <c r="E18" i="107"/>
  <c r="G18" i="107"/>
  <c r="E19" i="107"/>
  <c r="G19" i="107"/>
  <c r="E20" i="107"/>
  <c r="G20" i="107"/>
  <c r="E21" i="107"/>
  <c r="G21" i="107"/>
  <c r="E22" i="107"/>
  <c r="G22" i="107"/>
  <c r="E23" i="107"/>
  <c r="G23" i="107"/>
  <c r="E25" i="107"/>
  <c r="G25" i="107"/>
  <c r="F28" i="107"/>
  <c r="G26" i="107" s="1"/>
  <c r="E29" i="107"/>
  <c r="E26" i="107" s="1"/>
  <c r="E12" i="106"/>
  <c r="E13" i="106"/>
  <c r="E14" i="106"/>
  <c r="G14" i="106"/>
  <c r="E16" i="106"/>
  <c r="G16" i="106"/>
  <c r="E17" i="106"/>
  <c r="G17" i="106"/>
  <c r="E18" i="106"/>
  <c r="G18" i="106"/>
  <c r="E19" i="106"/>
  <c r="G19" i="106"/>
  <c r="E20" i="106"/>
  <c r="G20" i="106"/>
  <c r="E21" i="106"/>
  <c r="G21" i="106"/>
  <c r="E22" i="106"/>
  <c r="G22" i="106"/>
  <c r="E24" i="106"/>
  <c r="G24" i="106"/>
  <c r="G25" i="106"/>
  <c r="G28" i="106" s="1"/>
  <c r="E28" i="106"/>
  <c r="E25" i="106" s="1"/>
  <c r="E13" i="105"/>
  <c r="E14" i="105"/>
  <c r="G14" i="105"/>
  <c r="E15" i="105"/>
  <c r="G15" i="105"/>
  <c r="G19" i="105" s="1"/>
  <c r="E17" i="105"/>
  <c r="G17" i="105"/>
  <c r="E20" i="105"/>
  <c r="G20" i="105"/>
  <c r="E24" i="105"/>
  <c r="G24" i="105"/>
  <c r="E25" i="105"/>
  <c r="G25" i="105"/>
  <c r="E12" i="104"/>
  <c r="E13" i="104"/>
  <c r="E14" i="104"/>
  <c r="G14" i="104"/>
  <c r="E15" i="104"/>
  <c r="F15" i="104"/>
  <c r="G15" i="104"/>
  <c r="E16" i="104"/>
  <c r="G16" i="104"/>
  <c r="E17" i="104"/>
  <c r="F17" i="104"/>
  <c r="G17" i="104" s="1"/>
  <c r="G18" i="104"/>
  <c r="E20" i="104"/>
  <c r="G20" i="104"/>
  <c r="E23" i="104"/>
  <c r="F23" i="104"/>
  <c r="G23" i="104" s="1"/>
  <c r="E24" i="104"/>
  <c r="G24" i="104"/>
  <c r="C25" i="104"/>
  <c r="E25" i="104" s="1"/>
  <c r="C6" i="103"/>
  <c r="E13" i="103"/>
  <c r="I16" i="103" s="1"/>
  <c r="J16" i="103" s="1"/>
  <c r="D25" i="103"/>
  <c r="E25" i="103"/>
  <c r="G25" i="103" s="1"/>
  <c r="I25" i="103" s="1"/>
  <c r="I29" i="103"/>
  <c r="J29" i="103" s="1"/>
  <c r="H31" i="103"/>
  <c r="C42" i="103"/>
  <c r="C52" i="103"/>
  <c r="F52" i="103"/>
  <c r="E55" i="103" s="1"/>
  <c r="A53" i="103"/>
  <c r="A54" i="103" s="1"/>
  <c r="F53" i="103"/>
  <c r="F54" i="103"/>
  <c r="C55" i="103"/>
  <c r="C6" i="102"/>
  <c r="E23" i="102" s="1"/>
  <c r="E14" i="102"/>
  <c r="E19" i="102" s="1"/>
  <c r="H14" i="102"/>
  <c r="H17" i="102"/>
  <c r="J17" i="102" s="1"/>
  <c r="L17" i="102" s="1"/>
  <c r="I17" i="102"/>
  <c r="K17" i="102" s="1"/>
  <c r="H18" i="102"/>
  <c r="J18" i="102" s="1"/>
  <c r="L18" i="102" s="1"/>
  <c r="I18" i="102"/>
  <c r="K18" i="102" s="1"/>
  <c r="G21" i="102"/>
  <c r="I21" i="102" s="1"/>
  <c r="K21" i="102" s="1"/>
  <c r="D23" i="102"/>
  <c r="G23" i="102" s="1"/>
  <c r="C40" i="102"/>
  <c r="E57" i="102"/>
  <c r="F57" i="102"/>
  <c r="A58" i="102"/>
  <c r="F58" i="102"/>
  <c r="A59" i="102"/>
  <c r="A60" i="102" s="1"/>
  <c r="F59" i="102"/>
  <c r="F60" i="102"/>
  <c r="C61" i="102"/>
  <c r="E11" i="101"/>
  <c r="D12" i="101"/>
  <c r="E12" i="101" s="1"/>
  <c r="D13" i="101"/>
  <c r="E13" i="101" s="1"/>
  <c r="D14" i="101"/>
  <c r="E14" i="101" s="1"/>
  <c r="D15" i="101"/>
  <c r="E18" i="101"/>
  <c r="D20" i="101"/>
  <c r="E20" i="101" s="1"/>
  <c r="D21" i="101"/>
  <c r="E21" i="101" s="1"/>
  <c r="E12" i="100"/>
  <c r="C13" i="100"/>
  <c r="E13" i="100" s="1"/>
  <c r="C14" i="100"/>
  <c r="E14" i="100" s="1"/>
  <c r="C15" i="100"/>
  <c r="E15" i="100" s="1"/>
  <c r="C16" i="100"/>
  <c r="E16" i="100" s="1"/>
  <c r="C17" i="100"/>
  <c r="E17" i="100" s="1"/>
  <c r="C18" i="100"/>
  <c r="C19" i="100"/>
  <c r="E19" i="100"/>
  <c r="C20" i="100"/>
  <c r="C21" i="100"/>
  <c r="E21" i="100" s="1"/>
  <c r="E20" i="100" s="1"/>
  <c r="C22" i="100"/>
  <c r="E22" i="100" s="1"/>
  <c r="E13" i="99"/>
  <c r="G13" i="99"/>
  <c r="J13" i="99"/>
  <c r="E14" i="99"/>
  <c r="G14" i="99"/>
  <c r="H14" i="99" s="1"/>
  <c r="J14" i="99"/>
  <c r="E15" i="99"/>
  <c r="G15" i="99"/>
  <c r="H15" i="99" s="1"/>
  <c r="J15" i="99"/>
  <c r="E16" i="99"/>
  <c r="G16" i="99"/>
  <c r="J16" i="99"/>
  <c r="E17" i="99"/>
  <c r="G17" i="99"/>
  <c r="J17" i="99"/>
  <c r="E18" i="99"/>
  <c r="G18" i="99"/>
  <c r="H18" i="99" s="1"/>
  <c r="J18" i="99"/>
  <c r="E19" i="99"/>
  <c r="G19" i="99"/>
  <c r="H19" i="99" s="1"/>
  <c r="J19" i="99"/>
  <c r="E20" i="99"/>
  <c r="G20" i="99"/>
  <c r="J20" i="99"/>
  <c r="E21" i="99"/>
  <c r="G21" i="99"/>
  <c r="J21" i="99"/>
  <c r="E22" i="99"/>
  <c r="G22" i="99"/>
  <c r="H22" i="99" s="1"/>
  <c r="J22" i="99"/>
  <c r="J23" i="99"/>
  <c r="E26" i="99"/>
  <c r="G26" i="99"/>
  <c r="J26" i="99" s="1"/>
  <c r="I29" i="99"/>
  <c r="J29" i="99" s="1"/>
  <c r="J27" i="99" s="1"/>
  <c r="E13" i="98"/>
  <c r="G13" i="98"/>
  <c r="H13" i="98" s="1"/>
  <c r="J13" i="98"/>
  <c r="E14" i="98"/>
  <c r="G14" i="98"/>
  <c r="H14" i="98" s="1"/>
  <c r="J14" i="98"/>
  <c r="E15" i="98"/>
  <c r="G15" i="98"/>
  <c r="J15" i="98"/>
  <c r="E16" i="98"/>
  <c r="G16" i="98"/>
  <c r="J16" i="98"/>
  <c r="E17" i="98"/>
  <c r="G17" i="98"/>
  <c r="H17" i="98" s="1"/>
  <c r="J17" i="98"/>
  <c r="E18" i="98"/>
  <c r="H18" i="98" s="1"/>
  <c r="E19" i="98"/>
  <c r="G19" i="98"/>
  <c r="J19" i="98"/>
  <c r="H21" i="98"/>
  <c r="J22" i="98"/>
  <c r="I25" i="98"/>
  <c r="J25" i="98" s="1"/>
  <c r="J23" i="98" s="1"/>
  <c r="E13" i="97"/>
  <c r="G13" i="97"/>
  <c r="J13" i="97"/>
  <c r="E14" i="97"/>
  <c r="G14" i="97"/>
  <c r="J14" i="97"/>
  <c r="E15" i="97"/>
  <c r="G15" i="97"/>
  <c r="J15" i="97"/>
  <c r="E16" i="97"/>
  <c r="G16" i="97"/>
  <c r="J16" i="97"/>
  <c r="E17" i="97"/>
  <c r="G17" i="97"/>
  <c r="J17" i="97"/>
  <c r="E18" i="97"/>
  <c r="H18" i="97" s="1"/>
  <c r="E19" i="97"/>
  <c r="G19" i="97"/>
  <c r="J19" i="97"/>
  <c r="H21" i="97"/>
  <c r="J22" i="97"/>
  <c r="I25" i="97"/>
  <c r="J25" i="97" s="1"/>
  <c r="J23" i="97" s="1"/>
  <c r="E10" i="96"/>
  <c r="G10" i="96"/>
  <c r="J10" i="96"/>
  <c r="E11" i="96"/>
  <c r="G11" i="96"/>
  <c r="J11" i="96"/>
  <c r="E12" i="96"/>
  <c r="G12" i="96"/>
  <c r="J12" i="96"/>
  <c r="E13" i="96"/>
  <c r="G13" i="96"/>
  <c r="J13" i="96"/>
  <c r="E14" i="96"/>
  <c r="G14" i="96"/>
  <c r="J14" i="96"/>
  <c r="E15" i="96"/>
  <c r="H15" i="96" s="1"/>
  <c r="G15" i="96"/>
  <c r="J15" i="96"/>
  <c r="E16" i="96"/>
  <c r="G16" i="96"/>
  <c r="J16" i="96"/>
  <c r="E17" i="96"/>
  <c r="G17" i="96"/>
  <c r="J17" i="96"/>
  <c r="E18" i="96"/>
  <c r="G18" i="96"/>
  <c r="J18" i="96"/>
  <c r="E19" i="96"/>
  <c r="H19" i="96" s="1"/>
  <c r="G19" i="96"/>
  <c r="J19" i="96"/>
  <c r="E20" i="96"/>
  <c r="G20" i="96"/>
  <c r="J20" i="96"/>
  <c r="H22" i="96"/>
  <c r="J23" i="96"/>
  <c r="I26" i="96"/>
  <c r="J26" i="96" s="1"/>
  <c r="J24" i="96" s="1"/>
  <c r="E10" i="95"/>
  <c r="G10" i="95"/>
  <c r="J10" i="95"/>
  <c r="E11" i="95"/>
  <c r="G11" i="95"/>
  <c r="J11" i="95"/>
  <c r="E12" i="95"/>
  <c r="G12" i="95"/>
  <c r="J12" i="95"/>
  <c r="E13" i="95"/>
  <c r="H13" i="95" s="1"/>
  <c r="G13" i="95"/>
  <c r="J13" i="95"/>
  <c r="E14" i="95"/>
  <c r="G14" i="95"/>
  <c r="J14" i="95"/>
  <c r="E15" i="95"/>
  <c r="G15" i="95"/>
  <c r="J15" i="95"/>
  <c r="E16" i="95"/>
  <c r="G16" i="95"/>
  <c r="J16" i="95"/>
  <c r="E17" i="95"/>
  <c r="H17" i="95" s="1"/>
  <c r="G17" i="95"/>
  <c r="J17" i="95"/>
  <c r="E18" i="95"/>
  <c r="G18" i="95"/>
  <c r="J18" i="95"/>
  <c r="E19" i="95"/>
  <c r="G19" i="95"/>
  <c r="J19" i="95"/>
  <c r="E20" i="95"/>
  <c r="G20" i="95"/>
  <c r="J20" i="95"/>
  <c r="H22" i="95"/>
  <c r="J23" i="95"/>
  <c r="I26" i="95"/>
  <c r="J26" i="95" s="1"/>
  <c r="J24" i="95" s="1"/>
  <c r="E11" i="94"/>
  <c r="G11" i="94"/>
  <c r="I11" i="94"/>
  <c r="L11" i="94"/>
  <c r="E12" i="94"/>
  <c r="J12" i="94" s="1"/>
  <c r="G12" i="94"/>
  <c r="I12" i="94"/>
  <c r="L12" i="94"/>
  <c r="E13" i="94"/>
  <c r="G13" i="94"/>
  <c r="I13" i="94"/>
  <c r="L13" i="94"/>
  <c r="E14" i="94"/>
  <c r="G14" i="94"/>
  <c r="I14" i="94"/>
  <c r="L14" i="94"/>
  <c r="E15" i="94"/>
  <c r="J15" i="94" s="1"/>
  <c r="G15" i="94"/>
  <c r="I15" i="94"/>
  <c r="L15" i="94"/>
  <c r="E16" i="94"/>
  <c r="G16" i="94"/>
  <c r="I16" i="94"/>
  <c r="L16" i="94"/>
  <c r="E17" i="94"/>
  <c r="G17" i="94"/>
  <c r="I17" i="94"/>
  <c r="L17" i="94"/>
  <c r="E18" i="94"/>
  <c r="G18" i="94"/>
  <c r="I18" i="94"/>
  <c r="L18" i="94"/>
  <c r="E19" i="94"/>
  <c r="G19" i="94"/>
  <c r="I19" i="94"/>
  <c r="L19" i="94"/>
  <c r="E20" i="94"/>
  <c r="G20" i="94"/>
  <c r="I20" i="94"/>
  <c r="L20" i="94"/>
  <c r="E21" i="94"/>
  <c r="G21" i="94"/>
  <c r="I21" i="94"/>
  <c r="L21" i="94"/>
  <c r="G22" i="94"/>
  <c r="I23" i="94"/>
  <c r="I24" i="94" s="1"/>
  <c r="E24" i="94"/>
  <c r="G24" i="94"/>
  <c r="L24" i="94"/>
  <c r="K27" i="94"/>
  <c r="L27" i="94" s="1"/>
  <c r="L25" i="94" s="1"/>
  <c r="L9" i="93"/>
  <c r="E10" i="93"/>
  <c r="G10" i="93"/>
  <c r="I10" i="93"/>
  <c r="E11" i="93"/>
  <c r="G11" i="93"/>
  <c r="G20" i="93" s="1"/>
  <c r="G8" i="93" s="1"/>
  <c r="I11" i="93"/>
  <c r="K11" i="93"/>
  <c r="N11" i="93"/>
  <c r="E12" i="93"/>
  <c r="G12" i="93"/>
  <c r="I12" i="93"/>
  <c r="K12" i="93"/>
  <c r="N12" i="93"/>
  <c r="E13" i="93"/>
  <c r="G13" i="93"/>
  <c r="I13" i="93"/>
  <c r="K13" i="93"/>
  <c r="L13" i="93" s="1"/>
  <c r="N13" i="93"/>
  <c r="E14" i="93"/>
  <c r="G14" i="93"/>
  <c r="I14" i="93"/>
  <c r="K14" i="93"/>
  <c r="N14" i="93"/>
  <c r="E15" i="93"/>
  <c r="L15" i="93" s="1"/>
  <c r="G15" i="93"/>
  <c r="I15" i="93"/>
  <c r="K15" i="93"/>
  <c r="N15" i="93"/>
  <c r="E16" i="93"/>
  <c r="G16" i="93"/>
  <c r="I16" i="93"/>
  <c r="K16" i="93"/>
  <c r="N16" i="93"/>
  <c r="E17" i="93"/>
  <c r="G17" i="93"/>
  <c r="I17" i="93"/>
  <c r="K17" i="93"/>
  <c r="N17" i="93"/>
  <c r="E18" i="93"/>
  <c r="G18" i="93"/>
  <c r="I18" i="93"/>
  <c r="K18" i="93"/>
  <c r="N18" i="93"/>
  <c r="E19" i="93"/>
  <c r="G19" i="93"/>
  <c r="I19" i="93"/>
  <c r="K19" i="93"/>
  <c r="N19" i="93"/>
  <c r="E21" i="93"/>
  <c r="G21" i="93"/>
  <c r="I21" i="93"/>
  <c r="L21" i="93" s="1"/>
  <c r="K21" i="93"/>
  <c r="N21" i="93"/>
  <c r="K24" i="93"/>
  <c r="M24" i="93"/>
  <c r="N24" i="93" s="1"/>
  <c r="N22" i="93" s="1"/>
  <c r="J8" i="92"/>
  <c r="E9" i="92"/>
  <c r="J9" i="92" s="1"/>
  <c r="L23" i="92" s="1"/>
  <c r="E10" i="92"/>
  <c r="G10" i="92"/>
  <c r="J10" i="92" s="1"/>
  <c r="E11" i="92"/>
  <c r="G11" i="92"/>
  <c r="I11" i="92"/>
  <c r="L11" i="92"/>
  <c r="E13" i="92"/>
  <c r="G13" i="92"/>
  <c r="I13" i="92"/>
  <c r="L13" i="92"/>
  <c r="E14" i="92"/>
  <c r="G14" i="92"/>
  <c r="I14" i="92"/>
  <c r="L14" i="92"/>
  <c r="E15" i="92"/>
  <c r="G15" i="92"/>
  <c r="I15" i="92"/>
  <c r="L15" i="92"/>
  <c r="E16" i="92"/>
  <c r="G16" i="92"/>
  <c r="I16" i="92"/>
  <c r="J16" i="92" s="1"/>
  <c r="L16" i="92"/>
  <c r="E17" i="92"/>
  <c r="G17" i="92"/>
  <c r="I17" i="92"/>
  <c r="L17" i="92"/>
  <c r="J18" i="92"/>
  <c r="E19" i="92"/>
  <c r="G19" i="92"/>
  <c r="I19" i="92"/>
  <c r="L19" i="92"/>
  <c r="E20" i="92"/>
  <c r="G20" i="92"/>
  <c r="I20" i="92"/>
  <c r="L20" i="92"/>
  <c r="E22" i="92"/>
  <c r="G22" i="92"/>
  <c r="I22" i="92"/>
  <c r="L22" i="92"/>
  <c r="E23" i="92"/>
  <c r="G23" i="92" s="1"/>
  <c r="I26" i="92"/>
  <c r="I24" i="92" s="1"/>
  <c r="L26" i="92"/>
  <c r="L24" i="92" s="1"/>
  <c r="E10" i="91"/>
  <c r="G10" i="91"/>
  <c r="I10" i="91"/>
  <c r="J10" i="91"/>
  <c r="L10" i="91"/>
  <c r="E11" i="91"/>
  <c r="G11" i="91"/>
  <c r="I11" i="91"/>
  <c r="J11" i="91" s="1"/>
  <c r="L11" i="91"/>
  <c r="E12" i="91"/>
  <c r="G12" i="91"/>
  <c r="I12" i="91"/>
  <c r="L12" i="91"/>
  <c r="E13" i="91"/>
  <c r="G13" i="91"/>
  <c r="I13" i="91"/>
  <c r="L13" i="91"/>
  <c r="E14" i="91"/>
  <c r="G14" i="91"/>
  <c r="I14" i="91"/>
  <c r="L14" i="91"/>
  <c r="E15" i="91"/>
  <c r="G15" i="91"/>
  <c r="I15" i="91"/>
  <c r="L15" i="91"/>
  <c r="E16" i="91"/>
  <c r="G16" i="91"/>
  <c r="I16" i="91"/>
  <c r="L16" i="91"/>
  <c r="E17" i="91"/>
  <c r="G17" i="91"/>
  <c r="I17" i="91"/>
  <c r="L17" i="91"/>
  <c r="E18" i="91"/>
  <c r="G18" i="91"/>
  <c r="I18" i="91"/>
  <c r="L18" i="91"/>
  <c r="E19" i="91"/>
  <c r="G19" i="91"/>
  <c r="I19" i="91"/>
  <c r="L19" i="91"/>
  <c r="E20" i="91"/>
  <c r="G20" i="91"/>
  <c r="I20" i="91"/>
  <c r="L20" i="91"/>
  <c r="E21" i="91"/>
  <c r="E9" i="91" s="1"/>
  <c r="L21" i="91"/>
  <c r="I22" i="91"/>
  <c r="I23" i="91" s="1"/>
  <c r="E23" i="91"/>
  <c r="G23" i="91"/>
  <c r="L23" i="91"/>
  <c r="K26" i="91"/>
  <c r="L26" i="91" s="1"/>
  <c r="L24" i="91" s="1"/>
  <c r="D13" i="90"/>
  <c r="E13" i="90" s="1"/>
  <c r="D14" i="90"/>
  <c r="E14" i="90"/>
  <c r="D15" i="90"/>
  <c r="E15" i="90" s="1"/>
  <c r="D16" i="90"/>
  <c r="E16" i="90" s="1"/>
  <c r="D17" i="90"/>
  <c r="E17" i="90" s="1"/>
  <c r="D18" i="90"/>
  <c r="E18" i="90" s="1"/>
  <c r="D19" i="90"/>
  <c r="E19" i="90" s="1"/>
  <c r="D20" i="90"/>
  <c r="E20" i="90" s="1"/>
  <c r="D21" i="90"/>
  <c r="E21" i="90" s="1"/>
  <c r="D22" i="90"/>
  <c r="E22" i="90" s="1"/>
  <c r="E24" i="90"/>
  <c r="D27" i="90"/>
  <c r="E27" i="90"/>
  <c r="E25" i="90" s="1"/>
  <c r="E13" i="89"/>
  <c r="E14" i="89"/>
  <c r="E15" i="89"/>
  <c r="E17" i="89"/>
  <c r="E18" i="89"/>
  <c r="E19" i="89"/>
  <c r="E20" i="89"/>
  <c r="E21" i="89"/>
  <c r="E22" i="89"/>
  <c r="E23" i="89"/>
  <c r="E25" i="89"/>
  <c r="D28" i="89"/>
  <c r="E28" i="89"/>
  <c r="E26" i="89" s="1"/>
  <c r="E13" i="88"/>
  <c r="E14" i="88"/>
  <c r="E16" i="88"/>
  <c r="E17" i="88"/>
  <c r="E18" i="88"/>
  <c r="E19" i="88"/>
  <c r="E20" i="88"/>
  <c r="E21" i="88"/>
  <c r="E22" i="88"/>
  <c r="E24" i="88"/>
  <c r="D27" i="88"/>
  <c r="E27" i="88"/>
  <c r="E25" i="88" s="1"/>
  <c r="E13" i="87"/>
  <c r="E14" i="87"/>
  <c r="E16" i="87"/>
  <c r="E17" i="87"/>
  <c r="E18" i="87"/>
  <c r="E19" i="87"/>
  <c r="E20" i="87"/>
  <c r="E21" i="87"/>
  <c r="E22" i="87"/>
  <c r="E24" i="87"/>
  <c r="D27" i="87"/>
  <c r="E27" i="87"/>
  <c r="E25" i="87" s="1"/>
  <c r="F11" i="86"/>
  <c r="F12" i="86"/>
  <c r="G12" i="86" s="1"/>
  <c r="F13" i="86"/>
  <c r="F43" i="86" s="1"/>
  <c r="G43" i="86" s="1"/>
  <c r="F14" i="86"/>
  <c r="G14" i="86" s="1"/>
  <c r="F15" i="86"/>
  <c r="G15" i="86"/>
  <c r="G16" i="86"/>
  <c r="G17" i="86"/>
  <c r="F21" i="86"/>
  <c r="G21" i="86" s="1"/>
  <c r="D22" i="86"/>
  <c r="F22" i="86" s="1"/>
  <c r="G22" i="86" s="1"/>
  <c r="D23" i="86"/>
  <c r="F23" i="86" s="1"/>
  <c r="G23" i="86" s="1"/>
  <c r="F25" i="86"/>
  <c r="F26" i="86"/>
  <c r="G26" i="86" s="1"/>
  <c r="F27" i="86"/>
  <c r="G27" i="86"/>
  <c r="D30" i="86"/>
  <c r="F30" i="86" s="1"/>
  <c r="D31" i="86"/>
  <c r="F31" i="86" s="1"/>
  <c r="G31" i="86" s="1"/>
  <c r="D32" i="86"/>
  <c r="F32" i="86"/>
  <c r="G32" i="86" s="1"/>
  <c r="D33" i="86"/>
  <c r="F33" i="86"/>
  <c r="G33" i="86" s="1"/>
  <c r="D36" i="86"/>
  <c r="E36" i="86"/>
  <c r="D37" i="86"/>
  <c r="F37" i="86" s="1"/>
  <c r="G37" i="86" s="1"/>
  <c r="E37" i="86"/>
  <c r="F38" i="86"/>
  <c r="G38" i="86" s="1"/>
  <c r="F42" i="86"/>
  <c r="G42" i="86" s="1"/>
  <c r="F44" i="86"/>
  <c r="G44" i="86" s="1"/>
  <c r="F45" i="86"/>
  <c r="G45" i="86" s="1"/>
  <c r="F47" i="86"/>
  <c r="G47" i="86"/>
  <c r="F48" i="86"/>
  <c r="G48" i="86" s="1"/>
  <c r="F49" i="86"/>
  <c r="G49" i="86"/>
  <c r="E50" i="86"/>
  <c r="F50" i="86" s="1"/>
  <c r="G50" i="86" s="1"/>
  <c r="E51" i="86"/>
  <c r="F51" i="86" s="1"/>
  <c r="G51" i="86" s="1"/>
  <c r="E6" i="85"/>
  <c r="F6" i="85"/>
  <c r="G6" i="85" s="1"/>
  <c r="E7" i="85"/>
  <c r="F7" i="85"/>
  <c r="G7" i="85" s="1"/>
  <c r="E8" i="85"/>
  <c r="F8" i="85"/>
  <c r="G8" i="85" s="1"/>
  <c r="E9" i="85"/>
  <c r="F9" i="85"/>
  <c r="G9" i="85" s="1"/>
  <c r="E10" i="85"/>
  <c r="F10" i="85"/>
  <c r="G10" i="85" s="1"/>
  <c r="E11" i="85"/>
  <c r="F11" i="85"/>
  <c r="G11" i="85" s="1"/>
  <c r="E12" i="85"/>
  <c r="F12" i="85"/>
  <c r="G12" i="85" s="1"/>
  <c r="E13" i="85"/>
  <c r="F13" i="85"/>
  <c r="G13" i="85"/>
  <c r="E14" i="85"/>
  <c r="F14" i="85"/>
  <c r="G14" i="85" s="1"/>
  <c r="E15" i="85"/>
  <c r="F15" i="85"/>
  <c r="G15" i="85" s="1"/>
  <c r="E16" i="85"/>
  <c r="F16" i="85"/>
  <c r="G16" i="85" s="1"/>
  <c r="E17" i="85"/>
  <c r="F17" i="85"/>
  <c r="G17" i="85" s="1"/>
  <c r="E18" i="85"/>
  <c r="F18" i="85"/>
  <c r="G18" i="85" s="1"/>
  <c r="E19" i="85"/>
  <c r="F19" i="85"/>
  <c r="G19" i="85" s="1"/>
  <c r="E20" i="85"/>
  <c r="F20" i="85"/>
  <c r="G20" i="85" s="1"/>
  <c r="E21" i="85"/>
  <c r="F21" i="85"/>
  <c r="G21" i="85"/>
  <c r="E22" i="85"/>
  <c r="F22" i="85"/>
  <c r="G22" i="85" s="1"/>
  <c r="E23" i="85"/>
  <c r="F23" i="85"/>
  <c r="G23" i="85"/>
  <c r="E24" i="85"/>
  <c r="F24" i="85"/>
  <c r="G24" i="85"/>
  <c r="F25" i="85"/>
  <c r="E37" i="85"/>
  <c r="E38" i="85" s="1"/>
  <c r="G13" i="84"/>
  <c r="G14" i="84"/>
  <c r="D15" i="84"/>
  <c r="G15" i="84" s="1"/>
  <c r="G11" i="84" s="1"/>
  <c r="D18" i="84"/>
  <c r="G18" i="84" s="1"/>
  <c r="G19" i="84" s="1"/>
  <c r="G20" i="84"/>
  <c r="G21" i="84"/>
  <c r="D24" i="84"/>
  <c r="G24" i="84" s="1"/>
  <c r="C31" i="84"/>
  <c r="G31" i="84"/>
  <c r="C32" i="84"/>
  <c r="G32" i="84"/>
  <c r="G33" i="84"/>
  <c r="D8" i="83"/>
  <c r="B11" i="83" s="1"/>
  <c r="F13" i="83"/>
  <c r="E17" i="83"/>
  <c r="E22" i="83"/>
  <c r="F22" i="83" s="1"/>
  <c r="G8" i="82"/>
  <c r="G18" i="82"/>
  <c r="G19" i="82"/>
  <c r="G20" i="82"/>
  <c r="G21" i="82"/>
  <c r="G22" i="82"/>
  <c r="G23" i="82"/>
  <c r="G24" i="82"/>
  <c r="G25" i="82"/>
  <c r="G26" i="82"/>
  <c r="G28" i="82"/>
  <c r="D31" i="82"/>
  <c r="G31" i="82"/>
  <c r="G30" i="82" s="1"/>
  <c r="E40" i="82" s="1"/>
  <c r="G32" i="82"/>
  <c r="G34" i="82"/>
  <c r="G33" i="82" s="1"/>
  <c r="D38" i="82"/>
  <c r="G38" i="82" s="1"/>
  <c r="G36" i="82" s="1"/>
  <c r="G35" i="82" s="1"/>
  <c r="F6" i="81"/>
  <c r="H6" i="81"/>
  <c r="I6" i="81" s="1"/>
  <c r="F7" i="81"/>
  <c r="H7" i="81"/>
  <c r="F8" i="81"/>
  <c r="H8" i="81"/>
  <c r="F9" i="81"/>
  <c r="I9" i="81" s="1"/>
  <c r="H9" i="81"/>
  <c r="F10" i="81"/>
  <c r="H10" i="81"/>
  <c r="F11" i="81"/>
  <c r="H11" i="81"/>
  <c r="I11" i="81" s="1"/>
  <c r="F12" i="81"/>
  <c r="H12" i="81"/>
  <c r="F13" i="81"/>
  <c r="H13" i="81"/>
  <c r="G8" i="80"/>
  <c r="G14" i="80"/>
  <c r="G13" i="80" s="1"/>
  <c r="G26" i="80"/>
  <c r="G27" i="80"/>
  <c r="G28" i="80"/>
  <c r="G29" i="80"/>
  <c r="G30" i="80"/>
  <c r="G31" i="80"/>
  <c r="G32" i="80"/>
  <c r="G33" i="80"/>
  <c r="G34" i="80"/>
  <c r="G36" i="80"/>
  <c r="D39" i="80"/>
  <c r="G39" i="80"/>
  <c r="D40" i="80"/>
  <c r="G40" i="80"/>
  <c r="D41" i="80"/>
  <c r="G41" i="80"/>
  <c r="G42" i="80"/>
  <c r="G43" i="80"/>
  <c r="E44" i="80"/>
  <c r="D51" i="80"/>
  <c r="G51" i="80" s="1"/>
  <c r="G49" i="80" s="1"/>
  <c r="I21" i="91" l="1"/>
  <c r="I9" i="91" s="1"/>
  <c r="J19" i="92"/>
  <c r="N20" i="93"/>
  <c r="N8" i="93" s="1"/>
  <c r="N25" i="93" s="1"/>
  <c r="N26" i="93" s="1"/>
  <c r="H14" i="81"/>
  <c r="F36" i="86"/>
  <c r="E16" i="89"/>
  <c r="E24" i="89" s="1"/>
  <c r="E12" i="89" s="1"/>
  <c r="J18" i="91"/>
  <c r="J21" i="91" s="1"/>
  <c r="J9" i="91" s="1"/>
  <c r="J14" i="91"/>
  <c r="J16" i="94"/>
  <c r="H18" i="95"/>
  <c r="H14" i="95"/>
  <c r="H10" i="96"/>
  <c r="H26" i="99"/>
  <c r="C57" i="102"/>
  <c r="F24" i="102"/>
  <c r="F23" i="102" s="1"/>
  <c r="K23" i="102" s="1"/>
  <c r="E20" i="103"/>
  <c r="F20" i="103" s="1"/>
  <c r="E19" i="105"/>
  <c r="E16" i="109"/>
  <c r="E14" i="110"/>
  <c r="E22" i="110" s="1"/>
  <c r="E11" i="110" s="1"/>
  <c r="E28" i="110" s="1"/>
  <c r="E29" i="110" s="1"/>
  <c r="E14" i="111"/>
  <c r="J20" i="112"/>
  <c r="J16" i="91"/>
  <c r="G21" i="92"/>
  <c r="G7" i="92" s="1"/>
  <c r="I7" i="81"/>
  <c r="G16" i="82"/>
  <c r="G15" i="82" s="1"/>
  <c r="G13" i="86"/>
  <c r="J15" i="92"/>
  <c r="J14" i="92"/>
  <c r="J21" i="96"/>
  <c r="J9" i="96" s="1"/>
  <c r="J20" i="97"/>
  <c r="J12" i="97" s="1"/>
  <c r="G20" i="97"/>
  <c r="G12" i="97" s="1"/>
  <c r="G49" i="102"/>
  <c r="E22" i="105"/>
  <c r="G16" i="107"/>
  <c r="G24" i="107" s="1"/>
  <c r="G12" i="107" s="1"/>
  <c r="L14" i="93"/>
  <c r="L11" i="93"/>
  <c r="G10" i="94"/>
  <c r="H16" i="98"/>
  <c r="E20" i="98"/>
  <c r="E12" i="98" s="1"/>
  <c r="H21" i="99"/>
  <c r="H17" i="99"/>
  <c r="H13" i="99"/>
  <c r="E49" i="102"/>
  <c r="E58" i="102" s="1"/>
  <c r="G21" i="105"/>
  <c r="G12" i="105" s="1"/>
  <c r="J17" i="112"/>
  <c r="I19" i="112"/>
  <c r="I10" i="112" s="1"/>
  <c r="J13" i="112"/>
  <c r="J19" i="112" s="1"/>
  <c r="H16" i="97"/>
  <c r="E20" i="97"/>
  <c r="E12" i="97" s="1"/>
  <c r="G17" i="103"/>
  <c r="H17" i="103" s="1"/>
  <c r="E19" i="104"/>
  <c r="L17" i="93"/>
  <c r="L22" i="94"/>
  <c r="L10" i="94" s="1"/>
  <c r="J21" i="95"/>
  <c r="J9" i="95" s="1"/>
  <c r="J27" i="95" s="1"/>
  <c r="J28" i="95" s="1"/>
  <c r="G21" i="95"/>
  <c r="G9" i="95" s="1"/>
  <c r="H10" i="95"/>
  <c r="E21" i="95"/>
  <c r="E9" i="95" s="1"/>
  <c r="H19" i="97"/>
  <c r="J20" i="98"/>
  <c r="J12" i="98" s="1"/>
  <c r="J26" i="98" s="1"/>
  <c r="J27" i="98" s="1"/>
  <c r="J24" i="99"/>
  <c r="J12" i="99" s="1"/>
  <c r="J30" i="99" s="1"/>
  <c r="J31" i="99" s="1"/>
  <c r="F26" i="103"/>
  <c r="F25" i="103" s="1"/>
  <c r="C38" i="103" s="1"/>
  <c r="G52" i="103"/>
  <c r="C53" i="103" s="1"/>
  <c r="E53" i="103" s="1"/>
  <c r="E46" i="103" s="1"/>
  <c r="E29" i="103"/>
  <c r="F29" i="103" s="1"/>
  <c r="G19" i="103"/>
  <c r="H19" i="103" s="1"/>
  <c r="E15" i="106"/>
  <c r="G19" i="112"/>
  <c r="G10" i="112" s="1"/>
  <c r="G23" i="112" s="1"/>
  <c r="I21" i="113"/>
  <c r="I10" i="113" s="1"/>
  <c r="I27" i="113" s="1"/>
  <c r="N15" i="113"/>
  <c r="F10" i="86"/>
  <c r="G10" i="86" s="1"/>
  <c r="G11" i="86"/>
  <c r="F41" i="86"/>
  <c r="J11" i="94"/>
  <c r="E22" i="94"/>
  <c r="E10" i="94" s="1"/>
  <c r="C36" i="102"/>
  <c r="F13" i="103"/>
  <c r="E23" i="103" s="1"/>
  <c r="E15" i="103"/>
  <c r="F15" i="103" s="1"/>
  <c r="I15" i="103"/>
  <c r="J15" i="103" s="1"/>
  <c r="G16" i="103"/>
  <c r="H16" i="103" s="1"/>
  <c r="E17" i="103"/>
  <c r="F17" i="103" s="1"/>
  <c r="I17" i="103"/>
  <c r="J17" i="103" s="1"/>
  <c r="G18" i="103"/>
  <c r="H18" i="103" s="1"/>
  <c r="E19" i="103"/>
  <c r="F19" i="103" s="1"/>
  <c r="I19" i="103"/>
  <c r="J19" i="103" s="1"/>
  <c r="G20" i="103"/>
  <c r="H20" i="103" s="1"/>
  <c r="E21" i="103"/>
  <c r="F21" i="103" s="1"/>
  <c r="I21" i="103"/>
  <c r="J21" i="103" s="1"/>
  <c r="E24" i="103"/>
  <c r="G24" i="103" s="1"/>
  <c r="E28" i="103"/>
  <c r="F28" i="103" s="1"/>
  <c r="I28" i="103"/>
  <c r="J28" i="103" s="1"/>
  <c r="J27" i="103" s="1"/>
  <c r="G35" i="103" s="1"/>
  <c r="G29" i="103"/>
  <c r="H29" i="103" s="1"/>
  <c r="I10" i="81"/>
  <c r="I8" i="81"/>
  <c r="I14" i="81" s="1"/>
  <c r="F8" i="83"/>
  <c r="D11" i="83"/>
  <c r="F11" i="83" s="1"/>
  <c r="D17" i="83"/>
  <c r="F17" i="83" s="1"/>
  <c r="D9" i="83"/>
  <c r="F9" i="83" s="1"/>
  <c r="D12" i="83"/>
  <c r="F12" i="83" s="1"/>
  <c r="H12" i="83" s="1"/>
  <c r="B10" i="83"/>
  <c r="B20" i="83"/>
  <c r="E21" i="92"/>
  <c r="E7" i="92" s="1"/>
  <c r="L19" i="93"/>
  <c r="K20" i="93"/>
  <c r="K8" i="93" s="1"/>
  <c r="I20" i="93"/>
  <c r="I8" i="93" s="1"/>
  <c r="L28" i="94"/>
  <c r="L29" i="94" s="1"/>
  <c r="J24" i="94"/>
  <c r="J19" i="94"/>
  <c r="I22" i="94"/>
  <c r="I10" i="94" s="1"/>
  <c r="E24" i="99"/>
  <c r="E12" i="99" s="1"/>
  <c r="G28" i="103"/>
  <c r="H28" i="103" s="1"/>
  <c r="H27" i="103" s="1"/>
  <c r="E35" i="103" s="1"/>
  <c r="G21" i="103"/>
  <c r="H21" i="103" s="1"/>
  <c r="I18" i="103"/>
  <c r="J18" i="103" s="1"/>
  <c r="E16" i="103"/>
  <c r="F16" i="103" s="1"/>
  <c r="F35" i="86"/>
  <c r="F34" i="86" s="1"/>
  <c r="G34" i="86" s="1"/>
  <c r="G36" i="86"/>
  <c r="G24" i="80"/>
  <c r="G23" i="80" s="1"/>
  <c r="G9" i="80" s="1"/>
  <c r="E26" i="85"/>
  <c r="E29" i="85" s="1"/>
  <c r="E28" i="85" s="1"/>
  <c r="E39" i="85" s="1"/>
  <c r="F24" i="86"/>
  <c r="G24" i="86" s="1"/>
  <c r="G25" i="86"/>
  <c r="G21" i="91"/>
  <c r="G9" i="91" s="1"/>
  <c r="L21" i="92"/>
  <c r="L7" i="92" s="1"/>
  <c r="E20" i="93"/>
  <c r="E8" i="93" s="1"/>
  <c r="G21" i="96"/>
  <c r="G9" i="96" s="1"/>
  <c r="H11" i="96"/>
  <c r="E21" i="96"/>
  <c r="E9" i="96" s="1"/>
  <c r="I20" i="103"/>
  <c r="J20" i="103" s="1"/>
  <c r="E18" i="103"/>
  <c r="F18" i="103" s="1"/>
  <c r="G15" i="103"/>
  <c r="H15" i="103" s="1"/>
  <c r="N21" i="113"/>
  <c r="J12" i="91"/>
  <c r="H13" i="97"/>
  <c r="G15" i="106"/>
  <c r="G23" i="106" s="1"/>
  <c r="G11" i="106" s="1"/>
  <c r="G29" i="106" s="1"/>
  <c r="G30" i="106" s="1"/>
  <c r="E16" i="107"/>
  <c r="E24" i="107" s="1"/>
  <c r="E12" i="107" s="1"/>
  <c r="J22" i="112"/>
  <c r="J21" i="112" s="1"/>
  <c r="J18" i="112"/>
  <c r="J14" i="112"/>
  <c r="L9" i="91"/>
  <c r="L16" i="93"/>
  <c r="J21" i="94"/>
  <c r="H19" i="95"/>
  <c r="H15" i="95"/>
  <c r="H11" i="95"/>
  <c r="H17" i="97"/>
  <c r="G38" i="80"/>
  <c r="E54" i="80" s="1"/>
  <c r="I13" i="81"/>
  <c r="G17" i="84"/>
  <c r="G16" i="84" s="1"/>
  <c r="E15" i="87"/>
  <c r="E23" i="87" s="1"/>
  <c r="E12" i="87" s="1"/>
  <c r="E28" i="87" s="1"/>
  <c r="E29" i="87" s="1"/>
  <c r="E15" i="88"/>
  <c r="E23" i="88" s="1"/>
  <c r="E12" i="88" s="1"/>
  <c r="E28" i="88" s="1"/>
  <c r="E29" i="88" s="1"/>
  <c r="J19" i="91"/>
  <c r="J13" i="91"/>
  <c r="J22" i="92"/>
  <c r="J17" i="92"/>
  <c r="J11" i="92"/>
  <c r="L18" i="93"/>
  <c r="J18" i="94"/>
  <c r="J17" i="94"/>
  <c r="H20" i="95"/>
  <c r="H16" i="95"/>
  <c r="H12" i="95"/>
  <c r="H17" i="96"/>
  <c r="H13" i="96"/>
  <c r="H14" i="97"/>
  <c r="G20" i="98"/>
  <c r="G12" i="98" s="1"/>
  <c r="H19" i="98"/>
  <c r="G19" i="104"/>
  <c r="E21" i="105"/>
  <c r="E12" i="105" s="1"/>
  <c r="E16" i="108"/>
  <c r="E24" i="108" s="1"/>
  <c r="E12" i="108" s="1"/>
  <c r="E29" i="108" s="1"/>
  <c r="E30" i="108" s="1"/>
  <c r="E24" i="109"/>
  <c r="E12" i="109" s="1"/>
  <c r="E29" i="109" s="1"/>
  <c r="E30" i="109" s="1"/>
  <c r="J15" i="112"/>
  <c r="K27" i="113"/>
  <c r="H104" i="129"/>
  <c r="H103" i="129" s="1"/>
  <c r="H107" i="129" s="1"/>
  <c r="H108" i="129" s="1"/>
  <c r="H93" i="129" s="1"/>
  <c r="J17" i="91"/>
  <c r="H20" i="96"/>
  <c r="H16" i="96"/>
  <c r="H12" i="96"/>
  <c r="I12" i="81"/>
  <c r="L27" i="91"/>
  <c r="L28" i="91" s="1"/>
  <c r="J23" i="91"/>
  <c r="J20" i="91"/>
  <c r="J15" i="91"/>
  <c r="J20" i="92"/>
  <c r="J13" i="92"/>
  <c r="L12" i="93"/>
  <c r="J20" i="94"/>
  <c r="J14" i="94"/>
  <c r="J13" i="94"/>
  <c r="H18" i="96"/>
  <c r="H14" i="96"/>
  <c r="H15" i="97"/>
  <c r="H15" i="98"/>
  <c r="H20" i="98" s="1"/>
  <c r="H12" i="98" s="1"/>
  <c r="H20" i="99"/>
  <c r="H16" i="99"/>
  <c r="H24" i="99" s="1"/>
  <c r="H12" i="99" s="1"/>
  <c r="G22" i="105"/>
  <c r="J16" i="112"/>
  <c r="J11" i="112"/>
  <c r="E16" i="101"/>
  <c r="E10" i="101" s="1"/>
  <c r="H100" i="129"/>
  <c r="H96" i="129" s="1"/>
  <c r="E27" i="113"/>
  <c r="E22" i="111"/>
  <c r="E11" i="111" s="1"/>
  <c r="I23" i="112"/>
  <c r="E26" i="111"/>
  <c r="E24" i="111" s="1"/>
  <c r="E21" i="112"/>
  <c r="E19" i="112"/>
  <c r="E10" i="112" s="1"/>
  <c r="H26" i="103"/>
  <c r="H25" i="103" s="1"/>
  <c r="E38" i="103" s="1"/>
  <c r="E22" i="104"/>
  <c r="F19" i="102"/>
  <c r="G19" i="102"/>
  <c r="H24" i="103"/>
  <c r="I24" i="103"/>
  <c r="J24" i="103" s="1"/>
  <c r="G29" i="107"/>
  <c r="G30" i="107"/>
  <c r="G31" i="107" s="1"/>
  <c r="E18" i="100"/>
  <c r="E11" i="100" s="1"/>
  <c r="E23" i="100" s="1"/>
  <c r="E24" i="100" s="1"/>
  <c r="E19" i="101"/>
  <c r="E23" i="106"/>
  <c r="E11" i="106" s="1"/>
  <c r="E30" i="107"/>
  <c r="E31" i="107" s="1"/>
  <c r="G57" i="102"/>
  <c r="C58" i="102" s="1"/>
  <c r="C49" i="102"/>
  <c r="E27" i="102"/>
  <c r="E26" i="102"/>
  <c r="I23" i="102"/>
  <c r="E16" i="102"/>
  <c r="E15" i="102"/>
  <c r="F14" i="102"/>
  <c r="F24" i="103"/>
  <c r="E21" i="104"/>
  <c r="G21" i="104" s="1"/>
  <c r="G11" i="104" s="1"/>
  <c r="E59" i="102"/>
  <c r="L14" i="102"/>
  <c r="G25" i="104"/>
  <c r="G22" i="104" s="1"/>
  <c r="E21" i="102"/>
  <c r="E23" i="90"/>
  <c r="E12" i="90" s="1"/>
  <c r="E28" i="90" s="1"/>
  <c r="E29" i="90" s="1"/>
  <c r="I23" i="92"/>
  <c r="J23" i="92" s="1"/>
  <c r="L27" i="92"/>
  <c r="L28" i="92" s="1"/>
  <c r="J26" i="97"/>
  <c r="J27" i="97" s="1"/>
  <c r="E29" i="89"/>
  <c r="E30" i="89" s="1"/>
  <c r="J27" i="96"/>
  <c r="J28" i="96" s="1"/>
  <c r="I21" i="92"/>
  <c r="I7" i="92" s="1"/>
  <c r="G24" i="99"/>
  <c r="G12" i="99" s="1"/>
  <c r="F6" i="83"/>
  <c r="G34" i="84"/>
  <c r="G22" i="84"/>
  <c r="G26" i="85"/>
  <c r="E27" i="85" s="1"/>
  <c r="E40" i="85" s="1"/>
  <c r="F46" i="86"/>
  <c r="E55" i="80"/>
  <c r="G4" i="80"/>
  <c r="G6" i="80" s="1"/>
  <c r="F29" i="86"/>
  <c r="G30" i="86"/>
  <c r="G9" i="82"/>
  <c r="G14" i="82"/>
  <c r="D40" i="82"/>
  <c r="G40" i="82" s="1"/>
  <c r="D41" i="82"/>
  <c r="G35" i="84"/>
  <c r="G10" i="84"/>
  <c r="G4" i="84" s="1"/>
  <c r="G6" i="84" s="1"/>
  <c r="G7" i="84" s="1"/>
  <c r="F14" i="81"/>
  <c r="D19" i="83"/>
  <c r="F19" i="83" s="1"/>
  <c r="F16" i="83" s="1"/>
  <c r="D25" i="84"/>
  <c r="F20" i="86"/>
  <c r="G48" i="80"/>
  <c r="G36" i="84"/>
  <c r="G22" i="80"/>
  <c r="H18" i="79"/>
  <c r="F18" i="79"/>
  <c r="F16" i="79"/>
  <c r="F15" i="79"/>
  <c r="F14" i="79"/>
  <c r="F13" i="79"/>
  <c r="F12" i="79"/>
  <c r="F11" i="79"/>
  <c r="F10" i="79"/>
  <c r="F9" i="79"/>
  <c r="F8" i="79"/>
  <c r="F7" i="79"/>
  <c r="F6" i="79"/>
  <c r="F5" i="79"/>
  <c r="C50" i="102" l="1"/>
  <c r="J22" i="94"/>
  <c r="J10" i="94" s="1"/>
  <c r="E33" i="85"/>
  <c r="H31" i="85" s="1"/>
  <c r="G35" i="86"/>
  <c r="H14" i="103"/>
  <c r="H12" i="103" s="1"/>
  <c r="E37" i="103" s="1"/>
  <c r="H21" i="96"/>
  <c r="H9" i="96" s="1"/>
  <c r="F27" i="103"/>
  <c r="C35" i="103" s="1"/>
  <c r="E26" i="105"/>
  <c r="E27" i="105" s="1"/>
  <c r="G26" i="105"/>
  <c r="G27" i="105" s="1"/>
  <c r="H21" i="95"/>
  <c r="H9" i="95" s="1"/>
  <c r="H20" i="97"/>
  <c r="H12" i="97" s="1"/>
  <c r="L20" i="93"/>
  <c r="L8" i="93" s="1"/>
  <c r="N10" i="113"/>
  <c r="N27" i="113" s="1"/>
  <c r="N28" i="113" s="1"/>
  <c r="J14" i="103"/>
  <c r="J12" i="103" s="1"/>
  <c r="G37" i="103" s="1"/>
  <c r="G21" i="80"/>
  <c r="I21" i="80" s="1"/>
  <c r="J10" i="112"/>
  <c r="J23" i="112" s="1"/>
  <c r="J24" i="112" s="1"/>
  <c r="F14" i="103"/>
  <c r="F12" i="103" s="1"/>
  <c r="G26" i="104"/>
  <c r="G27" i="104" s="1"/>
  <c r="E29" i="106"/>
  <c r="E30" i="106" s="1"/>
  <c r="F23" i="103"/>
  <c r="F22" i="103" s="1"/>
  <c r="G23" i="103"/>
  <c r="F19" i="79"/>
  <c r="F40" i="86"/>
  <c r="G41" i="86"/>
  <c r="E22" i="101"/>
  <c r="E23" i="101" s="1"/>
  <c r="E23" i="112"/>
  <c r="E28" i="111"/>
  <c r="E29" i="111" s="1"/>
  <c r="F16" i="102"/>
  <c r="G16" i="102"/>
  <c r="H24" i="102"/>
  <c r="H23" i="102" s="1"/>
  <c r="G58" i="102"/>
  <c r="E11" i="104"/>
  <c r="H19" i="102"/>
  <c r="J19" i="102" s="1"/>
  <c r="L19" i="102" s="1"/>
  <c r="I19" i="102"/>
  <c r="K19" i="102" s="1"/>
  <c r="G53" i="103"/>
  <c r="C54" i="103" s="1"/>
  <c r="J14" i="102"/>
  <c r="E22" i="102"/>
  <c r="F22" i="102" s="1"/>
  <c r="G26" i="102"/>
  <c r="F26" i="102"/>
  <c r="H21" i="102"/>
  <c r="F21" i="102"/>
  <c r="F15" i="102"/>
  <c r="G15" i="102"/>
  <c r="G27" i="102"/>
  <c r="F27" i="102"/>
  <c r="C48" i="102"/>
  <c r="E26" i="104"/>
  <c r="E27" i="104" s="1"/>
  <c r="I49" i="102"/>
  <c r="J21" i="92"/>
  <c r="J7" i="92" s="1"/>
  <c r="I34" i="83"/>
  <c r="F21" i="83"/>
  <c r="F23" i="83" s="1"/>
  <c r="H16" i="83"/>
  <c r="G7" i="80"/>
  <c r="I10" i="80"/>
  <c r="J40" i="85"/>
  <c r="D40" i="84"/>
  <c r="G20" i="86"/>
  <c r="D39" i="84"/>
  <c r="D38" i="84"/>
  <c r="G13" i="82"/>
  <c r="E41" i="82" s="1"/>
  <c r="G41" i="82" s="1"/>
  <c r="G4" i="82"/>
  <c r="G6" i="82" s="1"/>
  <c r="G7" i="82" s="1"/>
  <c r="H6" i="83"/>
  <c r="C26" i="83"/>
  <c r="I35" i="83"/>
  <c r="D26" i="84"/>
  <c r="F38" i="84"/>
  <c r="G25" i="84"/>
  <c r="I48" i="80"/>
  <c r="I53" i="80"/>
  <c r="D55" i="80"/>
  <c r="G55" i="80" s="1"/>
  <c r="I55" i="80" s="1"/>
  <c r="G56" i="80"/>
  <c r="I56" i="80" s="1"/>
  <c r="G58" i="80"/>
  <c r="D54" i="80"/>
  <c r="G54" i="80" s="1"/>
  <c r="G57" i="80"/>
  <c r="E21" i="81"/>
  <c r="E22" i="81" s="1"/>
  <c r="E16" i="81"/>
  <c r="E15" i="81" s="1"/>
  <c r="E24" i="81" s="1"/>
  <c r="F28" i="86"/>
  <c r="G28" i="86" s="1"/>
  <c r="G29" i="86"/>
  <c r="G46" i="86"/>
  <c r="F22" i="79"/>
  <c r="G22" i="79" s="1"/>
  <c r="G19" i="79"/>
  <c r="F39" i="84" l="1"/>
  <c r="E34" i="85"/>
  <c r="H40" i="85" s="1"/>
  <c r="F13" i="102"/>
  <c r="G40" i="86"/>
  <c r="F39" i="86"/>
  <c r="G39" i="86" s="1"/>
  <c r="F11" i="103"/>
  <c r="C37" i="103"/>
  <c r="C4" i="103"/>
  <c r="C39" i="103"/>
  <c r="E39" i="103" s="1"/>
  <c r="G39" i="103" s="1"/>
  <c r="I23" i="103"/>
  <c r="J23" i="103" s="1"/>
  <c r="H23" i="103"/>
  <c r="F19" i="86"/>
  <c r="C35" i="102"/>
  <c r="C4" i="102"/>
  <c r="F20" i="102"/>
  <c r="F12" i="102" s="1"/>
  <c r="C34" i="102" s="1"/>
  <c r="C37" i="102"/>
  <c r="E37" i="102" s="1"/>
  <c r="G37" i="102" s="1"/>
  <c r="I37" i="102" s="1"/>
  <c r="E36" i="102"/>
  <c r="E50" i="102"/>
  <c r="E48" i="102" s="1"/>
  <c r="J21" i="102"/>
  <c r="E54" i="103"/>
  <c r="G46" i="103" s="1"/>
  <c r="J26" i="103"/>
  <c r="J25" i="103" s="1"/>
  <c r="G54" i="103"/>
  <c r="H16" i="102"/>
  <c r="J16" i="102" s="1"/>
  <c r="L16" i="102" s="1"/>
  <c r="I16" i="102"/>
  <c r="K16" i="102" s="1"/>
  <c r="H27" i="102"/>
  <c r="J27" i="102" s="1"/>
  <c r="L27" i="102" s="1"/>
  <c r="I27" i="102"/>
  <c r="K27" i="102" s="1"/>
  <c r="J22" i="102"/>
  <c r="L22" i="102" s="1"/>
  <c r="H22" i="102"/>
  <c r="L29" i="102" s="1"/>
  <c r="H15" i="102"/>
  <c r="I15" i="102"/>
  <c r="K15" i="102" s="1"/>
  <c r="F25" i="102"/>
  <c r="H26" i="102"/>
  <c r="I26" i="102"/>
  <c r="K26" i="102" s="1"/>
  <c r="J24" i="102"/>
  <c r="J23" i="102" s="1"/>
  <c r="C59" i="102"/>
  <c r="G59" i="102" s="1"/>
  <c r="I29" i="83"/>
  <c r="C27" i="83"/>
  <c r="G38" i="84"/>
  <c r="I36" i="83"/>
  <c r="G19" i="86"/>
  <c r="F18" i="86"/>
  <c r="G39" i="84"/>
  <c r="G26" i="84"/>
  <c r="F40" i="84" s="1"/>
  <c r="G40" i="84" s="1"/>
  <c r="J34" i="85"/>
  <c r="E36" i="85"/>
  <c r="H33" i="85"/>
  <c r="D41" i="78"/>
  <c r="D40" i="78"/>
  <c r="F40" i="78" s="1"/>
  <c r="D39" i="78"/>
  <c r="F39" i="78" s="1"/>
  <c r="D38" i="78"/>
  <c r="F38" i="78" s="1"/>
  <c r="D37" i="78"/>
  <c r="F37" i="78" s="1"/>
  <c r="F34" i="78"/>
  <c r="F30" i="78"/>
  <c r="F29" i="78"/>
  <c r="F28" i="78"/>
  <c r="F27" i="78"/>
  <c r="D21" i="78"/>
  <c r="F21" i="78" s="1"/>
  <c r="D20" i="78"/>
  <c r="F20" i="78" s="1"/>
  <c r="D19" i="78"/>
  <c r="F19" i="78" s="1"/>
  <c r="D18" i="78"/>
  <c r="F18" i="78" s="1"/>
  <c r="D17" i="78"/>
  <c r="F17" i="78" s="1"/>
  <c r="D16" i="78"/>
  <c r="F16" i="78" s="1"/>
  <c r="F13" i="78"/>
  <c r="F11" i="78"/>
  <c r="F10" i="78"/>
  <c r="F9" i="78"/>
  <c r="F8" i="78"/>
  <c r="F7" i="78"/>
  <c r="F6" i="78"/>
  <c r="E29" i="77"/>
  <c r="G29" i="77" s="1"/>
  <c r="E28" i="77"/>
  <c r="G28" i="77" s="1"/>
  <c r="E27" i="77"/>
  <c r="G27" i="77" s="1"/>
  <c r="E26" i="77"/>
  <c r="G26" i="77" s="1"/>
  <c r="E25" i="77"/>
  <c r="G25" i="77" s="1"/>
  <c r="G21" i="77"/>
  <c r="E18" i="77"/>
  <c r="G18" i="77" s="1"/>
  <c r="E17" i="77"/>
  <c r="G17" i="77" s="1"/>
  <c r="E16" i="77"/>
  <c r="G16" i="77" s="1"/>
  <c r="E15" i="77"/>
  <c r="G15" i="77" s="1"/>
  <c r="E14" i="77"/>
  <c r="G14" i="77" s="1"/>
  <c r="E13" i="77"/>
  <c r="G13" i="77" s="1"/>
  <c r="E12" i="77"/>
  <c r="G12" i="77" s="1"/>
  <c r="E11" i="77"/>
  <c r="G11" i="77" s="1"/>
  <c r="E10" i="77"/>
  <c r="G10" i="77" s="1"/>
  <c r="E9" i="77"/>
  <c r="G9" i="77" s="1"/>
  <c r="E8" i="77"/>
  <c r="G8" i="77" s="1"/>
  <c r="E7" i="77"/>
  <c r="G7" i="77" s="1"/>
  <c r="E6" i="77"/>
  <c r="G6" i="77" s="1"/>
  <c r="E49" i="76"/>
  <c r="D49" i="76"/>
  <c r="C49" i="76"/>
  <c r="E48" i="76"/>
  <c r="D48" i="76"/>
  <c r="C48" i="76"/>
  <c r="E47" i="76"/>
  <c r="F47" i="76" s="1"/>
  <c r="D47" i="76"/>
  <c r="C47" i="76"/>
  <c r="E46" i="76"/>
  <c r="D46" i="76"/>
  <c r="C46" i="76"/>
  <c r="E45" i="76"/>
  <c r="D45" i="76"/>
  <c r="C45" i="76"/>
  <c r="E44" i="76"/>
  <c r="D44" i="76"/>
  <c r="C44" i="76"/>
  <c r="E43" i="76"/>
  <c r="F43" i="76" s="1"/>
  <c r="D43" i="76"/>
  <c r="C43" i="76"/>
  <c r="E42" i="76"/>
  <c r="D42" i="76"/>
  <c r="C42" i="76"/>
  <c r="E41" i="76"/>
  <c r="D41" i="76"/>
  <c r="C41" i="76"/>
  <c r="E40" i="76"/>
  <c r="D40" i="76"/>
  <c r="C40" i="76"/>
  <c r="E39" i="76"/>
  <c r="F39" i="76" s="1"/>
  <c r="D39" i="76"/>
  <c r="C39" i="76"/>
  <c r="E38" i="76"/>
  <c r="D38" i="76"/>
  <c r="C38" i="76"/>
  <c r="E37" i="76"/>
  <c r="D37" i="76"/>
  <c r="C37" i="76"/>
  <c r="E36" i="76"/>
  <c r="F36" i="76" s="1"/>
  <c r="D36" i="76"/>
  <c r="C36" i="76"/>
  <c r="E35" i="76"/>
  <c r="F35" i="76" s="1"/>
  <c r="D35" i="76"/>
  <c r="C35" i="76"/>
  <c r="E34" i="76"/>
  <c r="D34" i="76"/>
  <c r="C34" i="76"/>
  <c r="E33" i="76"/>
  <c r="D33" i="76"/>
  <c r="C33" i="76"/>
  <c r="E32" i="76"/>
  <c r="F32" i="76" s="1"/>
  <c r="D32" i="76"/>
  <c r="C32" i="76"/>
  <c r="F28" i="76"/>
  <c r="F24" i="76"/>
  <c r="F23" i="76"/>
  <c r="F22" i="76"/>
  <c r="F21" i="76"/>
  <c r="F20" i="76"/>
  <c r="F19" i="76"/>
  <c r="F18" i="76"/>
  <c r="F17" i="76"/>
  <c r="F16" i="76"/>
  <c r="F15" i="76"/>
  <c r="F14" i="76"/>
  <c r="F13" i="76"/>
  <c r="F12" i="76"/>
  <c r="F11" i="76"/>
  <c r="F10" i="76"/>
  <c r="F9" i="76"/>
  <c r="F8" i="76"/>
  <c r="F7" i="76"/>
  <c r="F6" i="76"/>
  <c r="J7" i="76" s="1"/>
  <c r="J9" i="76" s="1"/>
  <c r="J10" i="76" s="1"/>
  <c r="M57" i="75"/>
  <c r="D57" i="75"/>
  <c r="M56" i="75"/>
  <c r="O56" i="75" s="1"/>
  <c r="D56" i="75"/>
  <c r="F56" i="75" s="1"/>
  <c r="M55" i="75"/>
  <c r="O55" i="75" s="1"/>
  <c r="D55" i="75"/>
  <c r="F55" i="75" s="1"/>
  <c r="M54" i="75"/>
  <c r="O54" i="75" s="1"/>
  <c r="D54" i="75"/>
  <c r="F54" i="75" s="1"/>
  <c r="M53" i="75"/>
  <c r="O53" i="75" s="1"/>
  <c r="D53" i="75"/>
  <c r="F53" i="75" s="1"/>
  <c r="O50" i="75"/>
  <c r="F50" i="75"/>
  <c r="O46" i="75"/>
  <c r="F46" i="75"/>
  <c r="O45" i="75"/>
  <c r="F45" i="75"/>
  <c r="O44" i="75"/>
  <c r="F44" i="75"/>
  <c r="O43" i="75"/>
  <c r="F43" i="75"/>
  <c r="N37" i="75"/>
  <c r="O37" i="75" s="1"/>
  <c r="M37" i="75"/>
  <c r="E37" i="75"/>
  <c r="F37" i="75" s="1"/>
  <c r="N36" i="75"/>
  <c r="O36" i="75" s="1"/>
  <c r="M36" i="75"/>
  <c r="E36" i="75"/>
  <c r="F36" i="75" s="1"/>
  <c r="N35" i="75"/>
  <c r="M35" i="75"/>
  <c r="E35" i="75"/>
  <c r="F35" i="75" s="1"/>
  <c r="N34" i="75"/>
  <c r="O34" i="75" s="1"/>
  <c r="M34" i="75"/>
  <c r="E34" i="75"/>
  <c r="F34" i="75" s="1"/>
  <c r="N33" i="75"/>
  <c r="O33" i="75" s="1"/>
  <c r="M33" i="75"/>
  <c r="E33" i="75"/>
  <c r="F33" i="75" s="1"/>
  <c r="M32" i="75"/>
  <c r="O32" i="75" s="1"/>
  <c r="D32" i="75"/>
  <c r="F32" i="75" s="1"/>
  <c r="M31" i="75"/>
  <c r="O31" i="75" s="1"/>
  <c r="D31" i="75"/>
  <c r="F31" i="75" s="1"/>
  <c r="M30" i="75"/>
  <c r="O30" i="75" s="1"/>
  <c r="D30" i="75"/>
  <c r="F30" i="75" s="1"/>
  <c r="M29" i="75"/>
  <c r="O29" i="75" s="1"/>
  <c r="D29" i="75"/>
  <c r="F29" i="75" s="1"/>
  <c r="M28" i="75"/>
  <c r="O28" i="75" s="1"/>
  <c r="D28" i="75"/>
  <c r="F28" i="75" s="1"/>
  <c r="M27" i="75"/>
  <c r="O27" i="75" s="1"/>
  <c r="D27" i="75"/>
  <c r="F27" i="75" s="1"/>
  <c r="M26" i="75"/>
  <c r="O26" i="75" s="1"/>
  <c r="D26" i="75"/>
  <c r="F26" i="75" s="1"/>
  <c r="M25" i="75"/>
  <c r="O25" i="75" s="1"/>
  <c r="D25" i="75"/>
  <c r="F25" i="75" s="1"/>
  <c r="M24" i="75"/>
  <c r="O24" i="75" s="1"/>
  <c r="D24" i="75"/>
  <c r="F24" i="75" s="1"/>
  <c r="O21" i="75"/>
  <c r="F21" i="75"/>
  <c r="O19" i="75"/>
  <c r="F19" i="75"/>
  <c r="O18" i="75"/>
  <c r="F18" i="75"/>
  <c r="O17" i="75"/>
  <c r="F17" i="75"/>
  <c r="O16" i="75"/>
  <c r="F16" i="75"/>
  <c r="O15" i="75"/>
  <c r="F15" i="75"/>
  <c r="O14" i="75"/>
  <c r="F14" i="75"/>
  <c r="O13" i="75"/>
  <c r="F13" i="75"/>
  <c r="O12" i="75"/>
  <c r="F12" i="75"/>
  <c r="O11" i="75"/>
  <c r="F11" i="75"/>
  <c r="O10" i="75"/>
  <c r="F10" i="75"/>
  <c r="O9" i="75"/>
  <c r="F9" i="75"/>
  <c r="O8" i="75"/>
  <c r="F8" i="75"/>
  <c r="O7" i="75"/>
  <c r="F7" i="75"/>
  <c r="O6" i="75"/>
  <c r="F6" i="75"/>
  <c r="F40" i="74"/>
  <c r="F39" i="74"/>
  <c r="E38" i="74"/>
  <c r="F36" i="74"/>
  <c r="F35" i="74"/>
  <c r="F34" i="74"/>
  <c r="F33" i="74"/>
  <c r="F32" i="74"/>
  <c r="F31" i="74"/>
  <c r="E30" i="74"/>
  <c r="H19" i="74"/>
  <c r="F17" i="74"/>
  <c r="G17" i="74" s="1"/>
  <c r="F16" i="74"/>
  <c r="G16" i="74" s="1"/>
  <c r="G15" i="74" s="1"/>
  <c r="E15" i="74"/>
  <c r="G13" i="74"/>
  <c r="E12" i="74"/>
  <c r="F11" i="74"/>
  <c r="G11" i="74" s="1"/>
  <c r="H10" i="74"/>
  <c r="F10" i="74"/>
  <c r="G10" i="74" s="1"/>
  <c r="F9" i="74"/>
  <c r="G9" i="74" s="1"/>
  <c r="F8" i="74"/>
  <c r="G8" i="74" s="1"/>
  <c r="F7" i="74"/>
  <c r="G7" i="74" s="1"/>
  <c r="F6" i="74"/>
  <c r="G6" i="74" s="1"/>
  <c r="E5" i="74"/>
  <c r="F38" i="76" l="1"/>
  <c r="F46" i="76"/>
  <c r="C36" i="103"/>
  <c r="C40" i="103" s="1"/>
  <c r="C41" i="103" s="1"/>
  <c r="F30" i="103"/>
  <c r="C5" i="103"/>
  <c r="K12" i="103" s="1"/>
  <c r="K13" i="103"/>
  <c r="G23" i="84"/>
  <c r="G9" i="84" s="1"/>
  <c r="E18" i="74"/>
  <c r="F38" i="74"/>
  <c r="H22" i="103"/>
  <c r="H11" i="103" s="1"/>
  <c r="J31" i="103"/>
  <c r="G50" i="102"/>
  <c r="G48" i="102" s="1"/>
  <c r="G36" i="102"/>
  <c r="F28" i="102"/>
  <c r="C33" i="102"/>
  <c r="G38" i="103"/>
  <c r="J22" i="103"/>
  <c r="J11" i="103" s="1"/>
  <c r="L24" i="102"/>
  <c r="L23" i="102" s="1"/>
  <c r="C60" i="102"/>
  <c r="H20" i="102"/>
  <c r="M13" i="102"/>
  <c r="C5" i="102"/>
  <c r="M12" i="102" s="1"/>
  <c r="J26" i="102"/>
  <c r="H25" i="102"/>
  <c r="J15" i="102"/>
  <c r="H13" i="102"/>
  <c r="L21" i="102"/>
  <c r="L20" i="102" s="1"/>
  <c r="J20" i="102"/>
  <c r="G18" i="86"/>
  <c r="F52" i="86"/>
  <c r="I30" i="83"/>
  <c r="I31" i="83"/>
  <c r="F30" i="74"/>
  <c r="F41" i="74" s="1"/>
  <c r="E42" i="74" s="1"/>
  <c r="F34" i="76"/>
  <c r="F42" i="76"/>
  <c r="F15" i="74"/>
  <c r="O35" i="75"/>
  <c r="O23" i="75" s="1"/>
  <c r="E41" i="74"/>
  <c r="F42" i="75"/>
  <c r="F52" i="75"/>
  <c r="F33" i="76"/>
  <c r="F37" i="76"/>
  <c r="F41" i="76"/>
  <c r="F45" i="76"/>
  <c r="F49" i="76"/>
  <c r="G24" i="77"/>
  <c r="F5" i="74"/>
  <c r="Q6" i="75"/>
  <c r="O5" i="75"/>
  <c r="O42" i="75"/>
  <c r="O52" i="75"/>
  <c r="F40" i="76"/>
  <c r="F44" i="76"/>
  <c r="F48" i="76"/>
  <c r="F26" i="78"/>
  <c r="F36" i="78"/>
  <c r="F43" i="78" s="1"/>
  <c r="G5" i="74"/>
  <c r="G18" i="74" s="1"/>
  <c r="H6" i="75"/>
  <c r="F5" i="76"/>
  <c r="F5" i="78"/>
  <c r="H5" i="78" s="1"/>
  <c r="H7" i="78" s="1"/>
  <c r="H8" i="78" s="1"/>
  <c r="F15" i="78"/>
  <c r="H28" i="78"/>
  <c r="J7" i="78"/>
  <c r="J9" i="78" s="1"/>
  <c r="J10" i="78" s="1"/>
  <c r="H11" i="78"/>
  <c r="H13" i="78" s="1"/>
  <c r="H14" i="78" s="1"/>
  <c r="G22" i="77"/>
  <c r="G5" i="77" s="1"/>
  <c r="G30" i="77" s="1"/>
  <c r="G31" i="77" s="1"/>
  <c r="K7" i="77"/>
  <c r="K9" i="77" s="1"/>
  <c r="K10" i="77" s="1"/>
  <c r="F23" i="75"/>
  <c r="H44" i="75"/>
  <c r="Q44" i="75"/>
  <c r="F5" i="75"/>
  <c r="I9" i="74"/>
  <c r="E23" i="74"/>
  <c r="E26" i="74" s="1"/>
  <c r="F26" i="74" s="1"/>
  <c r="F18" i="74" l="1"/>
  <c r="E19" i="74" s="1"/>
  <c r="F31" i="76"/>
  <c r="F50" i="76" s="1"/>
  <c r="F51" i="76" s="1"/>
  <c r="H30" i="103"/>
  <c r="E36" i="103"/>
  <c r="E40" i="103" s="1"/>
  <c r="O38" i="75"/>
  <c r="O39" i="75" s="1"/>
  <c r="E33" i="102"/>
  <c r="J25" i="102"/>
  <c r="L26" i="102"/>
  <c r="L25" i="102" s="1"/>
  <c r="E60" i="102"/>
  <c r="E61" i="102" s="1"/>
  <c r="C38" i="102"/>
  <c r="C39" i="102" s="1"/>
  <c r="C45" i="102"/>
  <c r="H12" i="102"/>
  <c r="E34" i="102" s="1"/>
  <c r="E35" i="102"/>
  <c r="C46" i="102" s="1"/>
  <c r="I50" i="102"/>
  <c r="I48" i="102" s="1"/>
  <c r="I36" i="102"/>
  <c r="L15" i="102"/>
  <c r="L13" i="102" s="1"/>
  <c r="J13" i="102"/>
  <c r="G36" i="103"/>
  <c r="G40" i="103" s="1"/>
  <c r="J30" i="103"/>
  <c r="I32" i="83"/>
  <c r="J33" i="83" s="1"/>
  <c r="F53" i="86"/>
  <c r="F55" i="86"/>
  <c r="G55" i="86" s="1"/>
  <c r="G52" i="86"/>
  <c r="F22" i="78"/>
  <c r="F23" i="78" s="1"/>
  <c r="O59" i="75"/>
  <c r="F59" i="75"/>
  <c r="F38" i="75"/>
  <c r="F39" i="75" s="1"/>
  <c r="G60" i="102" l="1"/>
  <c r="E41" i="103"/>
  <c r="E45" i="103"/>
  <c r="L12" i="102"/>
  <c r="I34" i="102" s="1"/>
  <c r="I35" i="102"/>
  <c r="G46" i="102" s="1"/>
  <c r="I46" i="102" s="1"/>
  <c r="H28" i="102"/>
  <c r="C47" i="102"/>
  <c r="C51" i="102" s="1"/>
  <c r="I33" i="102"/>
  <c r="G41" i="103"/>
  <c r="G45" i="103"/>
  <c r="G33" i="102"/>
  <c r="J12" i="102"/>
  <c r="G34" i="102" s="1"/>
  <c r="G35" i="102"/>
  <c r="E46" i="102" s="1"/>
  <c r="E45" i="102"/>
  <c r="E38" i="102"/>
  <c r="E39" i="102" s="1"/>
  <c r="G53" i="86"/>
  <c r="F54" i="86"/>
  <c r="G54" i="86" s="1"/>
  <c r="E34" i="73"/>
  <c r="C34" i="73"/>
  <c r="E33" i="73"/>
  <c r="C33" i="73"/>
  <c r="E32" i="73"/>
  <c r="C32" i="73"/>
  <c r="E31" i="73"/>
  <c r="C31" i="73"/>
  <c r="E30" i="73"/>
  <c r="C30" i="73"/>
  <c r="E29" i="73"/>
  <c r="C29" i="73"/>
  <c r="E28" i="73"/>
  <c r="C28" i="73"/>
  <c r="E27" i="73"/>
  <c r="C27" i="73"/>
  <c r="E26" i="73"/>
  <c r="C26" i="73"/>
  <c r="E25" i="73"/>
  <c r="C25" i="73"/>
  <c r="E24" i="73"/>
  <c r="C24" i="73"/>
  <c r="E23" i="73"/>
  <c r="C23" i="73"/>
  <c r="F18" i="73"/>
  <c r="F17" i="73"/>
  <c r="F16" i="73"/>
  <c r="F15" i="73"/>
  <c r="F14" i="73"/>
  <c r="F13" i="73"/>
  <c r="F12" i="73"/>
  <c r="F11" i="73"/>
  <c r="F10" i="73"/>
  <c r="H9" i="73"/>
  <c r="G9" i="73"/>
  <c r="F9" i="73"/>
  <c r="J8" i="73"/>
  <c r="J10" i="73" s="1"/>
  <c r="F8" i="73"/>
  <c r="F7" i="73"/>
  <c r="F6" i="73"/>
  <c r="G5" i="73"/>
  <c r="J31" i="72"/>
  <c r="E22" i="72"/>
  <c r="E21" i="72"/>
  <c r="E20" i="72"/>
  <c r="E19" i="72"/>
  <c r="E18" i="72"/>
  <c r="E17" i="72"/>
  <c r="E13" i="72"/>
  <c r="E11" i="72"/>
  <c r="E10" i="72"/>
  <c r="E9" i="72"/>
  <c r="E8" i="72"/>
  <c r="E7" i="72"/>
  <c r="E6" i="72"/>
  <c r="E47" i="102" l="1"/>
  <c r="E51" i="102" s="1"/>
  <c r="L28" i="102"/>
  <c r="I39" i="102" s="1"/>
  <c r="G45" i="102"/>
  <c r="G47" i="102" s="1"/>
  <c r="G51" i="102" s="1"/>
  <c r="G38" i="102"/>
  <c r="G39" i="102" s="1"/>
  <c r="C41" i="102" s="1"/>
  <c r="J28" i="102"/>
  <c r="C43" i="103"/>
  <c r="C44" i="103"/>
  <c r="I45" i="102"/>
  <c r="I47" i="102" s="1"/>
  <c r="I51" i="102" s="1"/>
  <c r="I38" i="102"/>
  <c r="F25" i="73"/>
  <c r="F27" i="73"/>
  <c r="F29" i="73"/>
  <c r="F31" i="73"/>
  <c r="E16" i="72"/>
  <c r="G10" i="73"/>
  <c r="F24" i="73"/>
  <c r="F26" i="73"/>
  <c r="F33" i="73"/>
  <c r="F6" i="72"/>
  <c r="G6" i="73"/>
  <c r="I6" i="73" s="1"/>
  <c r="F28" i="73"/>
  <c r="F30" i="73"/>
  <c r="F32" i="73"/>
  <c r="F34" i="73"/>
  <c r="H11" i="73"/>
  <c r="F23" i="73"/>
  <c r="F5" i="73"/>
  <c r="E5" i="72"/>
  <c r="G6" i="72" s="1"/>
  <c r="C42" i="102" l="1"/>
  <c r="F22" i="73"/>
  <c r="F35" i="73" s="1"/>
  <c r="E23" i="72"/>
  <c r="E26" i="71" l="1"/>
  <c r="E25" i="71"/>
  <c r="E24" i="71"/>
  <c r="E23" i="71"/>
  <c r="E18" i="71"/>
  <c r="E17" i="71"/>
  <c r="E16" i="71"/>
  <c r="E15" i="71"/>
  <c r="E14" i="71"/>
  <c r="E13" i="71"/>
  <c r="E12" i="71"/>
  <c r="E11" i="71"/>
  <c r="E10" i="71"/>
  <c r="G9" i="71"/>
  <c r="F9" i="71"/>
  <c r="E9" i="71"/>
  <c r="I8" i="71"/>
  <c r="I10" i="71" s="1"/>
  <c r="E8" i="71"/>
  <c r="E7" i="71"/>
  <c r="E6" i="71"/>
  <c r="F5" i="71"/>
  <c r="E22" i="71" l="1"/>
  <c r="F6" i="71"/>
  <c r="H6" i="71" s="1"/>
  <c r="E5" i="71"/>
  <c r="F10" i="71"/>
  <c r="G11" i="71"/>
  <c r="E28" i="71" l="1"/>
  <c r="H47" i="70"/>
  <c r="B47" i="70"/>
  <c r="F46" i="70"/>
  <c r="E46" i="70"/>
  <c r="D46" i="70"/>
  <c r="C46" i="70"/>
  <c r="B46" i="70"/>
  <c r="F45" i="70"/>
  <c r="E45" i="70"/>
  <c r="D45" i="70"/>
  <c r="C45" i="70"/>
  <c r="B45" i="70"/>
  <c r="F44" i="70"/>
  <c r="E44" i="70"/>
  <c r="D44" i="70"/>
  <c r="C44" i="70"/>
  <c r="B44" i="70"/>
  <c r="F43" i="70"/>
  <c r="E43" i="70"/>
  <c r="D43" i="70"/>
  <c r="C43" i="70"/>
  <c r="B43" i="70"/>
  <c r="F42" i="70"/>
  <c r="E42" i="70"/>
  <c r="D42" i="70"/>
  <c r="C42" i="70"/>
  <c r="B42" i="70"/>
  <c r="F41" i="70"/>
  <c r="E41" i="70"/>
  <c r="D41" i="70"/>
  <c r="C41" i="70"/>
  <c r="B41" i="70"/>
  <c r="F40" i="70"/>
  <c r="E40" i="70"/>
  <c r="D40" i="70"/>
  <c r="C40" i="70"/>
  <c r="B40" i="70"/>
  <c r="F39" i="70"/>
  <c r="E39" i="70"/>
  <c r="D39" i="70"/>
  <c r="C39" i="70"/>
  <c r="B39" i="70"/>
  <c r="F38" i="70"/>
  <c r="E38" i="70"/>
  <c r="D38" i="70"/>
  <c r="C38" i="70"/>
  <c r="B38" i="70"/>
  <c r="F37" i="70"/>
  <c r="E37" i="70"/>
  <c r="D37" i="70"/>
  <c r="C37" i="70"/>
  <c r="B37" i="70"/>
  <c r="F36" i="70"/>
  <c r="E36" i="70"/>
  <c r="D36" i="70"/>
  <c r="C36" i="70"/>
  <c r="B36" i="70"/>
  <c r="F35" i="70"/>
  <c r="E35" i="70"/>
  <c r="D35" i="70"/>
  <c r="C35" i="70"/>
  <c r="B35" i="70"/>
  <c r="F34" i="70"/>
  <c r="E34" i="70"/>
  <c r="D34" i="70"/>
  <c r="C34" i="70"/>
  <c r="B34" i="70"/>
  <c r="F33" i="70"/>
  <c r="E33" i="70"/>
  <c r="D33" i="70"/>
  <c r="C33" i="70"/>
  <c r="B33" i="70"/>
  <c r="F32" i="70"/>
  <c r="E32" i="70"/>
  <c r="D32" i="70"/>
  <c r="C32" i="70"/>
  <c r="B32" i="70"/>
  <c r="F31" i="70"/>
  <c r="E31" i="70"/>
  <c r="D31" i="70"/>
  <c r="C31" i="70"/>
  <c r="B31" i="70"/>
  <c r="F30" i="70"/>
  <c r="E30" i="70"/>
  <c r="D30" i="70"/>
  <c r="C30" i="70"/>
  <c r="B30" i="70"/>
  <c r="G28" i="70"/>
  <c r="H27" i="70"/>
  <c r="G26" i="70"/>
  <c r="H26" i="70" s="1"/>
  <c r="G25" i="70"/>
  <c r="H25" i="70" s="1"/>
  <c r="H24" i="70"/>
  <c r="G24" i="70" s="1"/>
  <c r="H23" i="70"/>
  <c r="G22" i="70"/>
  <c r="H22" i="70" s="1"/>
  <c r="G21" i="70"/>
  <c r="H21" i="70" s="1"/>
  <c r="G20" i="70"/>
  <c r="H20" i="70" s="1"/>
  <c r="G19" i="70"/>
  <c r="H19" i="70" s="1"/>
  <c r="G18" i="70"/>
  <c r="H18" i="70" s="1"/>
  <c r="G17" i="70"/>
  <c r="H17" i="70" s="1"/>
  <c r="G16" i="70"/>
  <c r="H16" i="70" s="1"/>
  <c r="G15" i="70"/>
  <c r="H15" i="70" s="1"/>
  <c r="G14" i="70"/>
  <c r="H14" i="70" s="1"/>
  <c r="G13" i="70"/>
  <c r="H13" i="70" s="1"/>
  <c r="G12" i="70"/>
  <c r="H12" i="70" s="1"/>
  <c r="G11" i="70"/>
  <c r="H11" i="70" s="1"/>
  <c r="G10" i="70"/>
  <c r="H10" i="70" s="1"/>
  <c r="J9" i="70"/>
  <c r="J10" i="70" s="1"/>
  <c r="G9" i="70"/>
  <c r="H9" i="70" s="1"/>
  <c r="G8" i="70"/>
  <c r="H8" i="70" s="1"/>
  <c r="G7" i="70"/>
  <c r="H7" i="70" s="1"/>
  <c r="G6" i="70"/>
  <c r="H6" i="70" s="1"/>
  <c r="G39" i="70" l="1"/>
  <c r="H39" i="70" s="1"/>
  <c r="G43" i="70"/>
  <c r="H43" i="70" s="1"/>
  <c r="G32" i="70"/>
  <c r="H32" i="70" s="1"/>
  <c r="G42" i="70"/>
  <c r="H42" i="70" s="1"/>
  <c r="G37" i="70"/>
  <c r="H37" i="70" s="1"/>
  <c r="G30" i="70"/>
  <c r="G38" i="70"/>
  <c r="H38" i="70" s="1"/>
  <c r="G31" i="70"/>
  <c r="H31" i="70" s="1"/>
  <c r="G36" i="70"/>
  <c r="H36" i="70" s="1"/>
  <c r="G44" i="70"/>
  <c r="H44" i="70" s="1"/>
  <c r="G33" i="70"/>
  <c r="H33" i="70" s="1"/>
  <c r="G35" i="70"/>
  <c r="H35" i="70" s="1"/>
  <c r="G45" i="70"/>
  <c r="H45" i="70" s="1"/>
  <c r="G46" i="70"/>
  <c r="H46" i="70" s="1"/>
  <c r="G40" i="70"/>
  <c r="H40" i="70" s="1"/>
  <c r="G34" i="70"/>
  <c r="H34" i="70" s="1"/>
  <c r="G41" i="70"/>
  <c r="H41" i="70" s="1"/>
  <c r="H5" i="70"/>
  <c r="I5" i="70" s="1"/>
  <c r="H30" i="70"/>
  <c r="G5" i="70"/>
  <c r="H29" i="70" l="1"/>
  <c r="H48" i="70" s="1"/>
  <c r="H49" i="70" s="1"/>
  <c r="G29" i="70"/>
  <c r="G48" i="70" s="1"/>
  <c r="G49" i="70" s="1"/>
  <c r="C21" i="69" l="1"/>
  <c r="C19" i="69"/>
  <c r="C18" i="69"/>
  <c r="B17" i="69"/>
  <c r="C17" i="69" s="1"/>
  <c r="C16" i="69"/>
  <c r="B14" i="69"/>
  <c r="B13" i="69"/>
  <c r="C13" i="69" s="1"/>
  <c r="C10" i="69"/>
  <c r="B20" i="69" s="1"/>
  <c r="C20" i="69" s="1"/>
  <c r="D8" i="69"/>
  <c r="C5" i="69"/>
  <c r="C7" i="69" s="1"/>
  <c r="B12" i="69" l="1"/>
  <c r="B15" i="69"/>
  <c r="C15" i="69" s="1"/>
  <c r="D9" i="69"/>
  <c r="D6" i="69"/>
  <c r="C12" i="69"/>
  <c r="C14" i="69"/>
  <c r="B22" i="69" l="1"/>
  <c r="C22" i="69"/>
  <c r="F28" i="68"/>
  <c r="F27" i="68"/>
  <c r="F22" i="68"/>
  <c r="F21" i="68"/>
  <c r="F20" i="68"/>
  <c r="J17" i="68"/>
  <c r="F17" i="68"/>
  <c r="J16" i="68"/>
  <c r="F16" i="68"/>
  <c r="J15" i="68"/>
  <c r="F15" i="68"/>
  <c r="J14" i="68"/>
  <c r="F14" i="68"/>
  <c r="J13" i="68"/>
  <c r="F13" i="68"/>
  <c r="J12" i="68"/>
  <c r="F12" i="68"/>
  <c r="J11" i="68"/>
  <c r="F11" i="68"/>
  <c r="J10" i="68"/>
  <c r="F10" i="68"/>
  <c r="J9" i="68"/>
  <c r="F9" i="68"/>
  <c r="J8" i="68"/>
  <c r="F8" i="68"/>
  <c r="J7" i="68"/>
  <c r="F7" i="68"/>
  <c r="J6" i="68"/>
  <c r="F6" i="68"/>
  <c r="F26" i="68" l="1"/>
  <c r="F5" i="68"/>
  <c r="G7" i="68" s="1"/>
  <c r="J19" i="68"/>
  <c r="F29" i="68" l="1"/>
  <c r="F30" i="68" s="1"/>
  <c r="I26" i="67"/>
  <c r="G19" i="67"/>
  <c r="G18" i="67"/>
  <c r="F16" i="67"/>
  <c r="G15" i="67"/>
  <c r="F15" i="67"/>
  <c r="G14" i="67"/>
  <c r="G13" i="67"/>
  <c r="G12" i="67"/>
  <c r="G11" i="67"/>
  <c r="G10" i="67"/>
  <c r="F10" i="67" s="1"/>
  <c r="F9" i="67"/>
  <c r="F8" i="67"/>
  <c r="F7" i="67"/>
  <c r="F6" i="67"/>
  <c r="G17" i="67" l="1"/>
  <c r="G5" i="67"/>
  <c r="F5" i="67" s="1"/>
  <c r="G21" i="67" l="1"/>
  <c r="G24" i="67" l="1"/>
  <c r="J21" i="67"/>
  <c r="K21" i="67" s="1"/>
  <c r="F78" i="66" l="1"/>
  <c r="D78" i="66"/>
  <c r="B78" i="66"/>
  <c r="F77" i="66"/>
  <c r="D77" i="66"/>
  <c r="B77" i="66"/>
  <c r="F76" i="66"/>
  <c r="D76" i="66"/>
  <c r="B76" i="66"/>
  <c r="F75" i="66"/>
  <c r="E75" i="66"/>
  <c r="D75" i="66"/>
  <c r="B75" i="66"/>
  <c r="F74" i="66"/>
  <c r="E74" i="66"/>
  <c r="D74" i="66"/>
  <c r="B74" i="66"/>
  <c r="F73" i="66"/>
  <c r="E73" i="66"/>
  <c r="D73" i="66"/>
  <c r="B73" i="66"/>
  <c r="F72" i="66"/>
  <c r="E72" i="66"/>
  <c r="D72" i="66"/>
  <c r="B72" i="66"/>
  <c r="F71" i="66"/>
  <c r="E71" i="66"/>
  <c r="D71" i="66"/>
  <c r="B71" i="66"/>
  <c r="F70" i="66"/>
  <c r="E70" i="66"/>
  <c r="D70" i="66"/>
  <c r="B70" i="66"/>
  <c r="F69" i="66"/>
  <c r="E69" i="66"/>
  <c r="D69" i="66"/>
  <c r="B69" i="66"/>
  <c r="F68" i="66"/>
  <c r="E68" i="66"/>
  <c r="D68" i="66"/>
  <c r="B68" i="66"/>
  <c r="F67" i="66"/>
  <c r="E67" i="66"/>
  <c r="D67" i="66"/>
  <c r="B67" i="66"/>
  <c r="F66" i="66"/>
  <c r="D66" i="66"/>
  <c r="G66" i="66" s="1"/>
  <c r="B66" i="66"/>
  <c r="F65" i="66"/>
  <c r="D65" i="66"/>
  <c r="B65" i="66"/>
  <c r="F64" i="66"/>
  <c r="D64" i="66"/>
  <c r="B64" i="66"/>
  <c r="F63" i="66"/>
  <c r="D63" i="66"/>
  <c r="B63" i="66"/>
  <c r="F62" i="66"/>
  <c r="D62" i="66"/>
  <c r="B62" i="66"/>
  <c r="F61" i="66"/>
  <c r="G61" i="66" s="1"/>
  <c r="D61" i="66"/>
  <c r="C61" i="66"/>
  <c r="B61" i="66"/>
  <c r="F60" i="66"/>
  <c r="G60" i="66" s="1"/>
  <c r="D60" i="66"/>
  <c r="C60" i="66"/>
  <c r="B60" i="66"/>
  <c r="F59" i="66"/>
  <c r="G59" i="66" s="1"/>
  <c r="D59" i="66"/>
  <c r="C59" i="66"/>
  <c r="B59" i="66"/>
  <c r="F58" i="66"/>
  <c r="G58" i="66" s="1"/>
  <c r="D58" i="66"/>
  <c r="C58" i="66"/>
  <c r="B58" i="66"/>
  <c r="G57" i="66"/>
  <c r="F57" i="66"/>
  <c r="D57" i="66"/>
  <c r="C57" i="66"/>
  <c r="B57" i="66"/>
  <c r="F56" i="66"/>
  <c r="D56" i="66"/>
  <c r="C56" i="66"/>
  <c r="B56" i="66"/>
  <c r="F55" i="66"/>
  <c r="D55" i="66"/>
  <c r="C55" i="66"/>
  <c r="B55" i="66"/>
  <c r="F54" i="66"/>
  <c r="D54" i="66"/>
  <c r="C54" i="66"/>
  <c r="B54" i="66"/>
  <c r="F53" i="66"/>
  <c r="D53" i="66"/>
  <c r="C53" i="66"/>
  <c r="B53" i="66"/>
  <c r="F52" i="66"/>
  <c r="D52" i="66"/>
  <c r="C52" i="66"/>
  <c r="B52" i="66"/>
  <c r="F51" i="66"/>
  <c r="E51" i="66"/>
  <c r="D51" i="66"/>
  <c r="C51" i="66"/>
  <c r="B51" i="66"/>
  <c r="F50" i="66"/>
  <c r="E50" i="66"/>
  <c r="D50" i="66"/>
  <c r="C50" i="66"/>
  <c r="B50" i="66"/>
  <c r="F49" i="66"/>
  <c r="G49" i="66" s="1"/>
  <c r="E49" i="66"/>
  <c r="D49" i="66"/>
  <c r="C49" i="66"/>
  <c r="B49" i="66"/>
  <c r="F48" i="66"/>
  <c r="G48" i="66" s="1"/>
  <c r="E48" i="66"/>
  <c r="D48" i="66"/>
  <c r="C48" i="66"/>
  <c r="B48" i="66"/>
  <c r="F47" i="66"/>
  <c r="E47" i="66"/>
  <c r="D47" i="66"/>
  <c r="C47" i="66"/>
  <c r="B47" i="66"/>
  <c r="F46" i="66"/>
  <c r="E46" i="66"/>
  <c r="D46" i="66"/>
  <c r="G46" i="66" s="1"/>
  <c r="C46" i="66"/>
  <c r="B46" i="66"/>
  <c r="G40" i="66"/>
  <c r="G38" i="66"/>
  <c r="G37" i="66"/>
  <c r="G36" i="66"/>
  <c r="G35" i="66"/>
  <c r="G34" i="66"/>
  <c r="G33" i="66"/>
  <c r="G32" i="66"/>
  <c r="G31" i="66"/>
  <c r="G30" i="66"/>
  <c r="G29" i="66"/>
  <c r="G28" i="66"/>
  <c r="G27" i="66"/>
  <c r="G26" i="66"/>
  <c r="G25" i="66"/>
  <c r="G24" i="66"/>
  <c r="G23" i="66"/>
  <c r="G22" i="66"/>
  <c r="C22" i="66"/>
  <c r="C62" i="66" s="1"/>
  <c r="G21" i="66"/>
  <c r="G20" i="66"/>
  <c r="G19" i="66"/>
  <c r="G18" i="66"/>
  <c r="G17" i="66"/>
  <c r="G16" i="66"/>
  <c r="G15" i="66"/>
  <c r="G14" i="66"/>
  <c r="G13" i="66"/>
  <c r="G12" i="66"/>
  <c r="G11" i="66"/>
  <c r="G10" i="66"/>
  <c r="G9" i="66"/>
  <c r="G8" i="66"/>
  <c r="G7" i="66"/>
  <c r="G6" i="66"/>
  <c r="G78" i="66" l="1"/>
  <c r="G63" i="66"/>
  <c r="G74" i="66"/>
  <c r="G64" i="66"/>
  <c r="G71" i="66"/>
  <c r="G76" i="66"/>
  <c r="I6" i="66"/>
  <c r="I7" i="66" s="1"/>
  <c r="I8" i="66" s="1"/>
  <c r="G47" i="66"/>
  <c r="G56" i="66"/>
  <c r="C23" i="66"/>
  <c r="C24" i="66" s="1"/>
  <c r="C64" i="66" s="1"/>
  <c r="G50" i="66"/>
  <c r="G65" i="66"/>
  <c r="G51" i="66"/>
  <c r="G52" i="66"/>
  <c r="G53" i="66"/>
  <c r="G54" i="66"/>
  <c r="G55" i="66"/>
  <c r="G67" i="66"/>
  <c r="G68" i="66"/>
  <c r="G69" i="66"/>
  <c r="G70" i="66"/>
  <c r="G72" i="66"/>
  <c r="G73" i="66"/>
  <c r="G75" i="66"/>
  <c r="G62" i="66"/>
  <c r="G77" i="66"/>
  <c r="G5" i="66"/>
  <c r="C63" i="66" l="1"/>
  <c r="G45" i="66"/>
  <c r="G79" i="66" s="1"/>
  <c r="G80" i="66" s="1"/>
  <c r="C25" i="66"/>
  <c r="C26" i="66" s="1"/>
  <c r="C65" i="66" l="1"/>
  <c r="C66" i="66"/>
  <c r="C27" i="66"/>
  <c r="C67" i="66" l="1"/>
  <c r="C28" i="66"/>
  <c r="C68" i="66" l="1"/>
  <c r="C29" i="66"/>
  <c r="C69" i="66" l="1"/>
  <c r="C30" i="66"/>
  <c r="C70" i="66" l="1"/>
  <c r="C31" i="66"/>
  <c r="D29" i="65"/>
  <c r="C29" i="65"/>
  <c r="D28" i="65"/>
  <c r="C28" i="65"/>
  <c r="D27" i="65"/>
  <c r="C27" i="65"/>
  <c r="J26" i="65"/>
  <c r="D26" i="65"/>
  <c r="C26" i="65"/>
  <c r="J25" i="65"/>
  <c r="D25" i="65"/>
  <c r="C25" i="65"/>
  <c r="D24" i="65"/>
  <c r="C24" i="65"/>
  <c r="D23" i="65"/>
  <c r="E23" i="65" s="1"/>
  <c r="F23" i="65" s="1"/>
  <c r="C23" i="65"/>
  <c r="D22" i="65"/>
  <c r="C22" i="65"/>
  <c r="D21" i="65"/>
  <c r="E21" i="65" s="1"/>
  <c r="C21" i="65"/>
  <c r="E19" i="65"/>
  <c r="F19" i="65" s="1"/>
  <c r="E18" i="65"/>
  <c r="F18" i="65" s="1"/>
  <c r="F16" i="65"/>
  <c r="E16" i="65"/>
  <c r="F15" i="65"/>
  <c r="E15" i="65"/>
  <c r="E14" i="65"/>
  <c r="F14" i="65" s="1"/>
  <c r="E13" i="65"/>
  <c r="F13" i="65" s="1"/>
  <c r="E12" i="65"/>
  <c r="F12" i="65" s="1"/>
  <c r="E11" i="65"/>
  <c r="F11" i="65" s="1"/>
  <c r="E10" i="65"/>
  <c r="F10" i="65" s="1"/>
  <c r="E9" i="65"/>
  <c r="F9" i="65" s="1"/>
  <c r="E8" i="65"/>
  <c r="F8" i="65" s="1"/>
  <c r="E7" i="65"/>
  <c r="F7" i="65" s="1"/>
  <c r="E6" i="65"/>
  <c r="F123" i="64"/>
  <c r="E123" i="64"/>
  <c r="G123" i="64" s="1"/>
  <c r="H123" i="64" s="1"/>
  <c r="F122" i="64"/>
  <c r="E122" i="64"/>
  <c r="F121" i="64"/>
  <c r="E121" i="64"/>
  <c r="G121" i="64" s="1"/>
  <c r="H121" i="64" s="1"/>
  <c r="F120" i="64"/>
  <c r="E120" i="64"/>
  <c r="F119" i="64"/>
  <c r="E119" i="64"/>
  <c r="F118" i="64"/>
  <c r="E118" i="64"/>
  <c r="F117" i="64"/>
  <c r="E117" i="64"/>
  <c r="G117" i="64" s="1"/>
  <c r="H117" i="64" s="1"/>
  <c r="F116" i="64"/>
  <c r="E116" i="64"/>
  <c r="F115" i="64"/>
  <c r="E115" i="64"/>
  <c r="F114" i="64"/>
  <c r="E114" i="64"/>
  <c r="F113" i="64"/>
  <c r="E113" i="64"/>
  <c r="G113" i="64" s="1"/>
  <c r="H113" i="64" s="1"/>
  <c r="F112" i="64"/>
  <c r="E112" i="64"/>
  <c r="F111" i="64"/>
  <c r="E111" i="64"/>
  <c r="G111" i="64" s="1"/>
  <c r="H111" i="64" s="1"/>
  <c r="F110" i="64"/>
  <c r="E110" i="64"/>
  <c r="F109" i="64"/>
  <c r="E109" i="64"/>
  <c r="F108" i="64"/>
  <c r="E108" i="64"/>
  <c r="F107" i="64"/>
  <c r="E107" i="64"/>
  <c r="G107" i="64" s="1"/>
  <c r="H107" i="64" s="1"/>
  <c r="F106" i="64"/>
  <c r="E106" i="64"/>
  <c r="F105" i="64"/>
  <c r="E105" i="64"/>
  <c r="G105" i="64" s="1"/>
  <c r="H105" i="64" s="1"/>
  <c r="F104" i="64"/>
  <c r="E104" i="64"/>
  <c r="F103" i="64"/>
  <c r="E103" i="64"/>
  <c r="F102" i="64"/>
  <c r="E102" i="64"/>
  <c r="F101" i="64"/>
  <c r="E101" i="64"/>
  <c r="G101" i="64" s="1"/>
  <c r="H101" i="64" s="1"/>
  <c r="F100" i="64"/>
  <c r="E100" i="64"/>
  <c r="F99" i="64"/>
  <c r="E99" i="64"/>
  <c r="F98" i="64"/>
  <c r="E98" i="64"/>
  <c r="F97" i="64"/>
  <c r="E97" i="64"/>
  <c r="G97" i="64" s="1"/>
  <c r="H97" i="64" s="1"/>
  <c r="F96" i="64"/>
  <c r="E96" i="64"/>
  <c r="F95" i="64"/>
  <c r="E95" i="64"/>
  <c r="G95" i="64" s="1"/>
  <c r="H95" i="64" s="1"/>
  <c r="F94" i="64"/>
  <c r="E94" i="64"/>
  <c r="F93" i="64"/>
  <c r="E93" i="64"/>
  <c r="G93" i="64" s="1"/>
  <c r="H93" i="64" s="1"/>
  <c r="F92" i="64"/>
  <c r="E92" i="64"/>
  <c r="F91" i="64"/>
  <c r="E91" i="64"/>
  <c r="F90" i="64"/>
  <c r="E90" i="64"/>
  <c r="F89" i="64"/>
  <c r="E89" i="64"/>
  <c r="G89" i="64" s="1"/>
  <c r="H89" i="64" s="1"/>
  <c r="F88" i="64"/>
  <c r="G88" i="64" s="1"/>
  <c r="H88" i="64" s="1"/>
  <c r="E88" i="64"/>
  <c r="F87" i="64"/>
  <c r="E87" i="64"/>
  <c r="F86" i="64"/>
  <c r="E86" i="64"/>
  <c r="F85" i="64"/>
  <c r="E85" i="64"/>
  <c r="G85" i="64" s="1"/>
  <c r="H85" i="64" s="1"/>
  <c r="F84" i="64"/>
  <c r="E84" i="64"/>
  <c r="F83" i="64"/>
  <c r="E83" i="64"/>
  <c r="G83" i="64" s="1"/>
  <c r="H83" i="64" s="1"/>
  <c r="F82" i="64"/>
  <c r="E82" i="64"/>
  <c r="F81" i="64"/>
  <c r="E81" i="64"/>
  <c r="G81" i="64" s="1"/>
  <c r="H81" i="64" s="1"/>
  <c r="F80" i="64"/>
  <c r="E80" i="64"/>
  <c r="F79" i="64"/>
  <c r="E79" i="64"/>
  <c r="F78" i="64"/>
  <c r="E78" i="64"/>
  <c r="F77" i="64"/>
  <c r="E77" i="64"/>
  <c r="G77" i="64" s="1"/>
  <c r="H77" i="64" s="1"/>
  <c r="F76" i="64"/>
  <c r="E76" i="64"/>
  <c r="F75" i="64"/>
  <c r="E75" i="64"/>
  <c r="G75" i="64" s="1"/>
  <c r="H75" i="64" s="1"/>
  <c r="F74" i="64"/>
  <c r="E74" i="64"/>
  <c r="F73" i="64"/>
  <c r="E73" i="64"/>
  <c r="G73" i="64" s="1"/>
  <c r="H73" i="64" s="1"/>
  <c r="F72" i="64"/>
  <c r="E72" i="64"/>
  <c r="F71" i="64"/>
  <c r="E71" i="64"/>
  <c r="F70" i="64"/>
  <c r="E70" i="64"/>
  <c r="F69" i="64"/>
  <c r="E69" i="64"/>
  <c r="G69" i="64" s="1"/>
  <c r="H69" i="64" s="1"/>
  <c r="G67" i="64"/>
  <c r="G66" i="64"/>
  <c r="H65" i="64"/>
  <c r="G65" i="64" s="1"/>
  <c r="G64" i="64"/>
  <c r="G63" i="64"/>
  <c r="G62" i="64"/>
  <c r="H62" i="64" s="1"/>
  <c r="G61" i="64"/>
  <c r="H61" i="64" s="1"/>
  <c r="I60" i="64"/>
  <c r="G60" i="64"/>
  <c r="H60" i="64" s="1"/>
  <c r="I59" i="64"/>
  <c r="G59" i="64"/>
  <c r="H59" i="64" s="1"/>
  <c r="I58" i="64"/>
  <c r="G58" i="64"/>
  <c r="H58" i="64" s="1"/>
  <c r="I57" i="64"/>
  <c r="G57" i="64"/>
  <c r="H57" i="64" s="1"/>
  <c r="I56" i="64"/>
  <c r="G56" i="64"/>
  <c r="H56" i="64" s="1"/>
  <c r="I55" i="64"/>
  <c r="G55" i="64"/>
  <c r="H55" i="64" s="1"/>
  <c r="I54" i="64"/>
  <c r="G54" i="64"/>
  <c r="H54" i="64" s="1"/>
  <c r="I53" i="64"/>
  <c r="G53" i="64"/>
  <c r="H53" i="64" s="1"/>
  <c r="I52" i="64"/>
  <c r="G52" i="64"/>
  <c r="H52" i="64" s="1"/>
  <c r="I51" i="64"/>
  <c r="G51" i="64"/>
  <c r="H51" i="64" s="1"/>
  <c r="I50" i="64"/>
  <c r="G50" i="64"/>
  <c r="H50" i="64" s="1"/>
  <c r="I49" i="64"/>
  <c r="G49" i="64"/>
  <c r="H49" i="64" s="1"/>
  <c r="I48" i="64"/>
  <c r="G48" i="64"/>
  <c r="H48" i="64" s="1"/>
  <c r="I47" i="64"/>
  <c r="G47" i="64"/>
  <c r="H47" i="64" s="1"/>
  <c r="I46" i="64"/>
  <c r="G46" i="64"/>
  <c r="H46" i="64" s="1"/>
  <c r="I45" i="64"/>
  <c r="G45" i="64"/>
  <c r="H45" i="64" s="1"/>
  <c r="I44" i="64"/>
  <c r="G44" i="64"/>
  <c r="H44" i="64" s="1"/>
  <c r="I43" i="64"/>
  <c r="G43" i="64"/>
  <c r="H43" i="64" s="1"/>
  <c r="I42" i="64"/>
  <c r="G42" i="64"/>
  <c r="H42" i="64" s="1"/>
  <c r="I41" i="64"/>
  <c r="G41" i="64"/>
  <c r="H41" i="64" s="1"/>
  <c r="I40" i="64"/>
  <c r="G40" i="64"/>
  <c r="H40" i="64" s="1"/>
  <c r="I39" i="64"/>
  <c r="G39" i="64"/>
  <c r="H39" i="64" s="1"/>
  <c r="I38" i="64"/>
  <c r="G38" i="64"/>
  <c r="H38" i="64" s="1"/>
  <c r="I37" i="64"/>
  <c r="G37" i="64"/>
  <c r="H37" i="64" s="1"/>
  <c r="I36" i="64"/>
  <c r="G36" i="64"/>
  <c r="H36" i="64" s="1"/>
  <c r="I35" i="64"/>
  <c r="G35" i="64"/>
  <c r="H35" i="64" s="1"/>
  <c r="I34" i="64"/>
  <c r="G34" i="64"/>
  <c r="H34" i="64" s="1"/>
  <c r="I33" i="64"/>
  <c r="G33" i="64"/>
  <c r="H33" i="64" s="1"/>
  <c r="I32" i="64"/>
  <c r="G32" i="64"/>
  <c r="H32" i="64" s="1"/>
  <c r="I31" i="64"/>
  <c r="G31" i="64"/>
  <c r="H31" i="64" s="1"/>
  <c r="I30" i="64"/>
  <c r="G30" i="64"/>
  <c r="H30" i="64" s="1"/>
  <c r="I29" i="64"/>
  <c r="G29" i="64"/>
  <c r="H29" i="64" s="1"/>
  <c r="I28" i="64"/>
  <c r="G28" i="64"/>
  <c r="H28" i="64" s="1"/>
  <c r="I27" i="64"/>
  <c r="G27" i="64"/>
  <c r="H27" i="64" s="1"/>
  <c r="I26" i="64"/>
  <c r="G26" i="64"/>
  <c r="H26" i="64" s="1"/>
  <c r="I25" i="64"/>
  <c r="G25" i="64"/>
  <c r="H25" i="64" s="1"/>
  <c r="I24" i="64"/>
  <c r="G24" i="64"/>
  <c r="H24" i="64" s="1"/>
  <c r="I23" i="64"/>
  <c r="G23" i="64"/>
  <c r="H23" i="64" s="1"/>
  <c r="I22" i="64"/>
  <c r="G22" i="64"/>
  <c r="H22" i="64" s="1"/>
  <c r="I21" i="64"/>
  <c r="G21" i="64"/>
  <c r="H21" i="64" s="1"/>
  <c r="I20" i="64"/>
  <c r="G20" i="64"/>
  <c r="H20" i="64" s="1"/>
  <c r="I19" i="64"/>
  <c r="G19" i="64"/>
  <c r="H19" i="64" s="1"/>
  <c r="I18" i="64"/>
  <c r="G18" i="64"/>
  <c r="H18" i="64" s="1"/>
  <c r="I17" i="64"/>
  <c r="G17" i="64"/>
  <c r="H17" i="64" s="1"/>
  <c r="I16" i="64"/>
  <c r="G16" i="64"/>
  <c r="H16" i="64" s="1"/>
  <c r="I15" i="64"/>
  <c r="G15" i="64"/>
  <c r="H15" i="64" s="1"/>
  <c r="I14" i="64"/>
  <c r="G14" i="64"/>
  <c r="H14" i="64" s="1"/>
  <c r="I13" i="64"/>
  <c r="G13" i="64"/>
  <c r="H13" i="64" s="1"/>
  <c r="I12" i="64"/>
  <c r="G12" i="64"/>
  <c r="H12" i="64" s="1"/>
  <c r="I11" i="64"/>
  <c r="G11" i="64"/>
  <c r="H11" i="64" s="1"/>
  <c r="I10" i="64"/>
  <c r="G10" i="64"/>
  <c r="H10" i="64" s="1"/>
  <c r="I9" i="64"/>
  <c r="G9" i="64"/>
  <c r="H9" i="64" s="1"/>
  <c r="I8" i="64"/>
  <c r="G8" i="64"/>
  <c r="H8" i="64" s="1"/>
  <c r="J7" i="64"/>
  <c r="I7" i="64"/>
  <c r="G7" i="64"/>
  <c r="H7" i="64" s="1"/>
  <c r="I6" i="64"/>
  <c r="G6" i="64"/>
  <c r="H6" i="64" s="1"/>
  <c r="G116" i="64" l="1"/>
  <c r="H116" i="64" s="1"/>
  <c r="E29" i="65"/>
  <c r="F29" i="65" s="1"/>
  <c r="G70" i="64"/>
  <c r="G82" i="64"/>
  <c r="H82" i="64" s="1"/>
  <c r="G90" i="64"/>
  <c r="H90" i="64" s="1"/>
  <c r="G92" i="64"/>
  <c r="H92" i="64" s="1"/>
  <c r="G94" i="64"/>
  <c r="H94" i="64" s="1"/>
  <c r="G100" i="64"/>
  <c r="H100" i="64" s="1"/>
  <c r="G102" i="64"/>
  <c r="H102" i="64" s="1"/>
  <c r="G104" i="64"/>
  <c r="H104" i="64" s="1"/>
  <c r="G106" i="64"/>
  <c r="H106" i="64" s="1"/>
  <c r="G108" i="64"/>
  <c r="H108" i="64" s="1"/>
  <c r="G118" i="64"/>
  <c r="H118" i="64" s="1"/>
  <c r="G120" i="64"/>
  <c r="H120" i="64" s="1"/>
  <c r="G122" i="64"/>
  <c r="H122" i="64" s="1"/>
  <c r="E25" i="65"/>
  <c r="F25" i="65" s="1"/>
  <c r="G87" i="64"/>
  <c r="H87" i="64" s="1"/>
  <c r="G98" i="64"/>
  <c r="H98" i="64" s="1"/>
  <c r="G109" i="64"/>
  <c r="H109" i="64" s="1"/>
  <c r="G115" i="64"/>
  <c r="H115" i="64" s="1"/>
  <c r="G80" i="64"/>
  <c r="H80" i="64" s="1"/>
  <c r="G86" i="64"/>
  <c r="H86" i="64" s="1"/>
  <c r="G99" i="64"/>
  <c r="H99" i="64" s="1"/>
  <c r="G112" i="64"/>
  <c r="H112" i="64" s="1"/>
  <c r="G114" i="64"/>
  <c r="H114" i="64" s="1"/>
  <c r="E26" i="65"/>
  <c r="F26" i="65" s="1"/>
  <c r="G71" i="64"/>
  <c r="H71" i="64" s="1"/>
  <c r="G76" i="64"/>
  <c r="H76" i="64" s="1"/>
  <c r="G78" i="64"/>
  <c r="H78" i="64" s="1"/>
  <c r="G91" i="64"/>
  <c r="H91" i="64" s="1"/>
  <c r="G103" i="64"/>
  <c r="H103" i="64" s="1"/>
  <c r="G110" i="64"/>
  <c r="H110" i="64" s="1"/>
  <c r="G119" i="64"/>
  <c r="H119" i="64" s="1"/>
  <c r="H6" i="65"/>
  <c r="E28" i="65"/>
  <c r="F28" i="65" s="1"/>
  <c r="J30" i="65"/>
  <c r="G79" i="64"/>
  <c r="H79" i="64" s="1"/>
  <c r="G84" i="64"/>
  <c r="H84" i="64" s="1"/>
  <c r="G96" i="64"/>
  <c r="H96" i="64" s="1"/>
  <c r="G72" i="64"/>
  <c r="H72" i="64" s="1"/>
  <c r="G74" i="64"/>
  <c r="H74" i="64" s="1"/>
  <c r="E5" i="65"/>
  <c r="E22" i="65"/>
  <c r="F22" i="65" s="1"/>
  <c r="E24" i="65"/>
  <c r="F24" i="65" s="1"/>
  <c r="E27" i="65"/>
  <c r="F27" i="65" s="1"/>
  <c r="C32" i="66"/>
  <c r="C71" i="66"/>
  <c r="F21" i="65"/>
  <c r="F6" i="65"/>
  <c r="F5" i="65" s="1"/>
  <c r="H70" i="64"/>
  <c r="H5" i="64"/>
  <c r="I5" i="64" s="1"/>
  <c r="F20" i="65" l="1"/>
  <c r="H68" i="64"/>
  <c r="H124" i="64" s="1"/>
  <c r="G68" i="64"/>
  <c r="E20" i="65"/>
  <c r="E30" i="65" s="1"/>
  <c r="C33" i="66"/>
  <c r="C72" i="66"/>
  <c r="D34" i="65"/>
  <c r="D35" i="65" s="1"/>
  <c r="F33" i="65"/>
  <c r="F30" i="65"/>
  <c r="C73" i="66" l="1"/>
  <c r="C34" i="66"/>
  <c r="E39" i="63"/>
  <c r="C37" i="63"/>
  <c r="E37" i="63" s="1"/>
  <c r="C36" i="63"/>
  <c r="E36" i="63" s="1"/>
  <c r="C35" i="63"/>
  <c r="E35" i="63" s="1"/>
  <c r="C34" i="63"/>
  <c r="E34" i="63" s="1"/>
  <c r="C33" i="63"/>
  <c r="E33" i="63" s="1"/>
  <c r="C32" i="63"/>
  <c r="E32" i="63" s="1"/>
  <c r="C31" i="63"/>
  <c r="E31" i="63" s="1"/>
  <c r="C30" i="63"/>
  <c r="E30" i="63" s="1"/>
  <c r="C29" i="63"/>
  <c r="E29" i="63" s="1"/>
  <c r="C28" i="63"/>
  <c r="E28" i="63" s="1"/>
  <c r="C27" i="63"/>
  <c r="E27" i="63" s="1"/>
  <c r="C26" i="63"/>
  <c r="E26" i="63" s="1"/>
  <c r="C25" i="63"/>
  <c r="E25" i="63" s="1"/>
  <c r="C24" i="63"/>
  <c r="E24" i="63" s="1"/>
  <c r="C23" i="63"/>
  <c r="E23" i="63" s="1"/>
  <c r="E20" i="63"/>
  <c r="E19" i="63"/>
  <c r="E18" i="63"/>
  <c r="E17" i="63"/>
  <c r="E16" i="63"/>
  <c r="E15" i="63"/>
  <c r="E14" i="63"/>
  <c r="E13" i="63"/>
  <c r="E12" i="63"/>
  <c r="E11" i="63"/>
  <c r="E10" i="63"/>
  <c r="E9" i="63"/>
  <c r="E8" i="63"/>
  <c r="E7" i="63"/>
  <c r="E6" i="63"/>
  <c r="C5" i="63"/>
  <c r="C22" i="63" s="1"/>
  <c r="E5" i="63" l="1"/>
  <c r="C74" i="66"/>
  <c r="C35" i="66"/>
  <c r="I24" i="63"/>
  <c r="I26" i="63" s="1"/>
  <c r="I27" i="63" s="1"/>
  <c r="E22" i="63"/>
  <c r="E21" i="63" s="1"/>
  <c r="E42" i="63" s="1"/>
  <c r="E43" i="63" s="1"/>
  <c r="C75" i="66" l="1"/>
  <c r="C36" i="66"/>
  <c r="D34" i="62"/>
  <c r="F34" i="62" s="1"/>
  <c r="D33" i="62"/>
  <c r="F33" i="62" s="1"/>
  <c r="E32" i="62"/>
  <c r="D32" i="62"/>
  <c r="F32" i="62" s="1"/>
  <c r="C26" i="62"/>
  <c r="F25" i="62"/>
  <c r="F24" i="62"/>
  <c r="F23" i="62"/>
  <c r="F22" i="62"/>
  <c r="F21" i="62"/>
  <c r="F20" i="62"/>
  <c r="F19" i="62"/>
  <c r="F17" i="62"/>
  <c r="F15" i="62"/>
  <c r="F14" i="62"/>
  <c r="F10" i="62"/>
  <c r="F9" i="62"/>
  <c r="F8" i="62"/>
  <c r="D7" i="62"/>
  <c r="C28" i="62" s="1"/>
  <c r="F18" i="62" l="1"/>
  <c r="C31" i="62"/>
  <c r="D11" i="62"/>
  <c r="F11" i="62" s="1"/>
  <c r="F6" i="62"/>
  <c r="F5" i="62" s="1"/>
  <c r="C35" i="62" s="1"/>
  <c r="C36" i="62" s="1"/>
  <c r="D12" i="62"/>
  <c r="F12" i="62" s="1"/>
  <c r="D16" i="62"/>
  <c r="F16" i="62" s="1"/>
  <c r="D13" i="62"/>
  <c r="F13" i="62" s="1"/>
  <c r="C37" i="66"/>
  <c r="C76" i="66"/>
  <c r="F36" i="61"/>
  <c r="F35" i="61"/>
  <c r="F34" i="61"/>
  <c r="F33" i="61"/>
  <c r="F32" i="61"/>
  <c r="F31" i="61"/>
  <c r="F29" i="61"/>
  <c r="F28" i="61" s="1"/>
  <c r="F27" i="61"/>
  <c r="F26" i="61"/>
  <c r="E24" i="61"/>
  <c r="E23" i="61"/>
  <c r="E22" i="61"/>
  <c r="E20" i="61"/>
  <c r="E19" i="61"/>
  <c r="E18" i="61"/>
  <c r="E17" i="61"/>
  <c r="E16" i="61"/>
  <c r="F15" i="61"/>
  <c r="F14" i="61"/>
  <c r="F13" i="61"/>
  <c r="F12" i="61"/>
  <c r="F11" i="61"/>
  <c r="F10" i="61"/>
  <c r="F9" i="61"/>
  <c r="E38" i="60"/>
  <c r="E25" i="60" s="1"/>
  <c r="F25" i="60" s="1"/>
  <c r="D17" i="60"/>
  <c r="F17" i="60" s="1"/>
  <c r="D15" i="60"/>
  <c r="F15" i="60" s="1"/>
  <c r="F14" i="60" s="1"/>
  <c r="C38" i="66" l="1"/>
  <c r="C78" i="66" s="1"/>
  <c r="C77" i="66"/>
  <c r="F8" i="61"/>
  <c r="F30" i="61"/>
  <c r="F25" i="61"/>
  <c r="D18" i="60"/>
  <c r="D20" i="60" s="1"/>
  <c r="F20" i="60" s="1"/>
  <c r="D23" i="60"/>
  <c r="F23" i="60" s="1"/>
  <c r="F22" i="60" s="1"/>
  <c r="E26" i="60"/>
  <c r="F26" i="60" s="1"/>
  <c r="F24" i="60" s="1"/>
  <c r="F7" i="61" l="1"/>
  <c r="H22" i="61" s="1"/>
  <c r="D41" i="61" s="1"/>
  <c r="D42" i="61" s="1"/>
  <c r="D28" i="60"/>
  <c r="F28" i="60" s="1"/>
  <c r="F27" i="60" s="1"/>
  <c r="D19" i="60"/>
  <c r="F19" i="60" s="1"/>
  <c r="D21" i="60"/>
  <c r="F21" i="60" s="1"/>
  <c r="F18" i="60"/>
  <c r="F16" i="60" l="1"/>
  <c r="F13" i="60" s="1"/>
  <c r="E34" i="60" s="1"/>
  <c r="E35" i="60" s="1"/>
  <c r="E37" i="60" s="1"/>
  <c r="E39" i="60" s="1"/>
  <c r="E40" i="60" s="1"/>
  <c r="F37" i="61"/>
  <c r="H24" i="61"/>
  <c r="H25" i="61" s="1"/>
  <c r="F29" i="60" l="1"/>
  <c r="D6" i="41"/>
  <c r="F6" i="41" s="1"/>
  <c r="G6" i="41" l="1"/>
  <c r="F17" i="59"/>
  <c r="F16" i="59"/>
  <c r="F15" i="59" s="1"/>
  <c r="F14" i="59"/>
  <c r="F12" i="59"/>
  <c r="F11" i="59"/>
  <c r="F10" i="59"/>
  <c r="F9" i="59"/>
  <c r="F8" i="59"/>
  <c r="F7" i="59"/>
  <c r="F6" i="59"/>
  <c r="F5" i="59"/>
  <c r="E28" i="58"/>
  <c r="D23" i="58"/>
  <c r="E20" i="58"/>
  <c r="E19" i="58"/>
  <c r="E18" i="58"/>
  <c r="D18" i="58"/>
  <c r="C18" i="58"/>
  <c r="D17" i="58"/>
  <c r="C17" i="58"/>
  <c r="D16" i="58"/>
  <c r="D15" i="58"/>
  <c r="C15" i="58"/>
  <c r="C10" i="58"/>
  <c r="C16" i="58" s="1"/>
  <c r="C9" i="58"/>
  <c r="F9" i="58" s="1"/>
  <c r="E23" i="58" s="1"/>
  <c r="F7" i="58"/>
  <c r="E15" i="58" s="1"/>
  <c r="F5" i="58"/>
  <c r="E17" i="58" s="1"/>
  <c r="G19" i="57"/>
  <c r="C19" i="57"/>
  <c r="G17" i="57"/>
  <c r="F17" i="57"/>
  <c r="G16" i="57"/>
  <c r="F16" i="57"/>
  <c r="E15" i="57"/>
  <c r="F15" i="57" s="1"/>
  <c r="E14" i="57"/>
  <c r="G14" i="57" s="1"/>
  <c r="D13" i="57"/>
  <c r="E13" i="57" s="1"/>
  <c r="G13" i="57" s="1"/>
  <c r="E12" i="57"/>
  <c r="C7" i="57" s="1"/>
  <c r="D11" i="57"/>
  <c r="E11" i="57" s="1"/>
  <c r="C11" i="57"/>
  <c r="C5" i="57"/>
  <c r="F4" i="59" l="1"/>
  <c r="C20" i="59" s="1"/>
  <c r="C22" i="59" s="1"/>
  <c r="E22" i="59" s="1"/>
  <c r="G15" i="57"/>
  <c r="F10" i="58"/>
  <c r="E16" i="58" s="1"/>
  <c r="F18" i="59"/>
  <c r="E18" i="57"/>
  <c r="C8" i="57"/>
  <c r="C23" i="57" s="1"/>
  <c r="D23" i="57" s="1"/>
  <c r="F14" i="57"/>
  <c r="E22" i="58"/>
  <c r="E26" i="58" s="1"/>
  <c r="E27" i="58" s="1"/>
  <c r="E29" i="58" s="1"/>
  <c r="F12" i="57"/>
  <c r="F13" i="57"/>
  <c r="G12" i="57"/>
  <c r="G18" i="57" s="1"/>
  <c r="F18" i="57" l="1"/>
  <c r="G20" i="57" s="1"/>
  <c r="E24" i="58"/>
  <c r="F14" i="56"/>
  <c r="F13" i="56"/>
  <c r="F10" i="56"/>
  <c r="F9" i="56"/>
  <c r="F8" i="56"/>
  <c r="F7" i="56"/>
  <c r="F6" i="56"/>
  <c r="F4" i="56" s="1"/>
  <c r="C18" i="56" s="1"/>
  <c r="C19" i="56" s="1"/>
  <c r="C21" i="56" s="1"/>
  <c r="E21" i="56" s="1"/>
  <c r="F5" i="56"/>
  <c r="F12" i="56" l="1"/>
  <c r="F16" i="56" s="1"/>
  <c r="F17" i="56" s="1"/>
  <c r="D47" i="54"/>
  <c r="F47" i="54" s="1"/>
  <c r="G47" i="54" s="1"/>
  <c r="D46" i="54"/>
  <c r="F46" i="54" s="1"/>
  <c r="G46" i="54" s="1"/>
  <c r="D45" i="54"/>
  <c r="F45" i="54" s="1"/>
  <c r="G45" i="54" s="1"/>
  <c r="D44" i="54"/>
  <c r="F44" i="54" s="1"/>
  <c r="G44" i="54" s="1"/>
  <c r="D43" i="54"/>
  <c r="F43" i="54" s="1"/>
  <c r="G43" i="54" s="1"/>
  <c r="D42" i="54"/>
  <c r="F42" i="54" s="1"/>
  <c r="G42" i="54" s="1"/>
  <c r="D41" i="54"/>
  <c r="F41" i="54" s="1"/>
  <c r="G41" i="54" s="1"/>
  <c r="D40" i="54"/>
  <c r="F40" i="54" s="1"/>
  <c r="G40" i="54" s="1"/>
  <c r="D39" i="54"/>
  <c r="F39" i="54" s="1"/>
  <c r="G39" i="54" s="1"/>
  <c r="D38" i="54"/>
  <c r="F38" i="54" s="1"/>
  <c r="G38" i="54" s="1"/>
  <c r="D37" i="54"/>
  <c r="F37" i="54" s="1"/>
  <c r="G37" i="54" s="1"/>
  <c r="D36" i="54"/>
  <c r="F36" i="54" s="1"/>
  <c r="G36" i="54" s="1"/>
  <c r="D35" i="54"/>
  <c r="F35" i="54" s="1"/>
  <c r="G35" i="54" s="1"/>
  <c r="D34" i="54"/>
  <c r="F34" i="54" s="1"/>
  <c r="G34" i="54" s="1"/>
  <c r="D33" i="54"/>
  <c r="F33" i="54" s="1"/>
  <c r="G33" i="54" s="1"/>
  <c r="D32" i="54"/>
  <c r="F32" i="54" s="1"/>
  <c r="G32" i="54" s="1"/>
  <c r="D31" i="54"/>
  <c r="F31" i="54" s="1"/>
  <c r="E30" i="54"/>
  <c r="F29" i="54"/>
  <c r="G29" i="54" s="1"/>
  <c r="F28" i="54"/>
  <c r="G28" i="54" s="1"/>
  <c r="F27" i="54"/>
  <c r="G27" i="54" s="1"/>
  <c r="F26" i="54"/>
  <c r="G26" i="54" s="1"/>
  <c r="F25" i="54"/>
  <c r="G25" i="54" s="1"/>
  <c r="F24" i="54"/>
  <c r="G24" i="54" s="1"/>
  <c r="E23" i="54"/>
  <c r="F23" i="54" s="1"/>
  <c r="G23" i="54" s="1"/>
  <c r="F21" i="54"/>
  <c r="G21" i="54" s="1"/>
  <c r="F20" i="54"/>
  <c r="G20" i="54" s="1"/>
  <c r="F19" i="54"/>
  <c r="G19" i="54" s="1"/>
  <c r="F18" i="54"/>
  <c r="G18" i="54" s="1"/>
  <c r="F17" i="54"/>
  <c r="G17" i="54" s="1"/>
  <c r="F16" i="54"/>
  <c r="G16" i="54" s="1"/>
  <c r="F15" i="54"/>
  <c r="G15" i="54" s="1"/>
  <c r="F14" i="54"/>
  <c r="G14" i="54" s="1"/>
  <c r="F13" i="54"/>
  <c r="G13" i="54" s="1"/>
  <c r="F12" i="54"/>
  <c r="G12" i="54" s="1"/>
  <c r="F11" i="54"/>
  <c r="G11" i="54" s="1"/>
  <c r="F10" i="54"/>
  <c r="G10" i="54" s="1"/>
  <c r="F9" i="54"/>
  <c r="G9" i="54" s="1"/>
  <c r="F8" i="54"/>
  <c r="G8" i="54" s="1"/>
  <c r="F7" i="54"/>
  <c r="G7" i="54" s="1"/>
  <c r="F6" i="54"/>
  <c r="G6" i="54" s="1"/>
  <c r="F5" i="54"/>
  <c r="G5" i="54" s="1"/>
  <c r="D4" i="54"/>
  <c r="D22" i="54" s="1"/>
  <c r="F22" i="54" s="1"/>
  <c r="D18" i="53"/>
  <c r="F18" i="53" s="1"/>
  <c r="D17" i="53"/>
  <c r="F17" i="53" s="1"/>
  <c r="D16" i="53"/>
  <c r="F16" i="53" s="1"/>
  <c r="D15" i="53"/>
  <c r="F15" i="53" s="1"/>
  <c r="F13" i="53"/>
  <c r="F12" i="53"/>
  <c r="F11" i="53"/>
  <c r="F10" i="53"/>
  <c r="E9" i="53"/>
  <c r="F9" i="53" s="1"/>
  <c r="F8" i="53"/>
  <c r="F7" i="53"/>
  <c r="F6" i="53"/>
  <c r="F5" i="53"/>
  <c r="C28" i="52"/>
  <c r="E19" i="52" s="1"/>
  <c r="E12" i="52"/>
  <c r="C24" i="52" s="1"/>
  <c r="C25" i="52" s="1"/>
  <c r="E25" i="52" s="1"/>
  <c r="E4" i="52"/>
  <c r="E17" i="51"/>
  <c r="F17" i="51" s="1"/>
  <c r="E16" i="51"/>
  <c r="F16" i="51" s="1"/>
  <c r="E15" i="51"/>
  <c r="F15" i="51" s="1"/>
  <c r="E14" i="51"/>
  <c r="F14" i="51" s="1"/>
  <c r="F11" i="51"/>
  <c r="F10" i="51"/>
  <c r="F9" i="51"/>
  <c r="F8" i="51"/>
  <c r="F7" i="51"/>
  <c r="F6" i="51"/>
  <c r="C19" i="50"/>
  <c r="C23" i="50" s="1"/>
  <c r="D23" i="50" s="1"/>
  <c r="C14" i="50"/>
  <c r="D14" i="50" s="1"/>
  <c r="C13" i="50"/>
  <c r="D11" i="50"/>
  <c r="D10" i="50"/>
  <c r="D9" i="50"/>
  <c r="C8" i="50"/>
  <c r="D8" i="50" s="1"/>
  <c r="C7" i="50"/>
  <c r="D7" i="50" s="1"/>
  <c r="D6" i="50"/>
  <c r="D5" i="50"/>
  <c r="D31" i="49"/>
  <c r="F31" i="49" s="1"/>
  <c r="D30" i="49"/>
  <c r="F30" i="49" s="1"/>
  <c r="D29" i="49"/>
  <c r="F29" i="49" s="1"/>
  <c r="D28" i="49"/>
  <c r="F28" i="49" s="1"/>
  <c r="D27" i="49"/>
  <c r="F27" i="49" s="1"/>
  <c r="D26" i="49"/>
  <c r="F26" i="49" s="1"/>
  <c r="D25" i="49"/>
  <c r="F25" i="49" s="1"/>
  <c r="D24" i="49"/>
  <c r="F24" i="49" s="1"/>
  <c r="D23" i="49"/>
  <c r="F23" i="49" s="1"/>
  <c r="D22" i="49"/>
  <c r="F22" i="49" s="1"/>
  <c r="F18" i="49"/>
  <c r="F14" i="49"/>
  <c r="F13" i="49"/>
  <c r="F12" i="49"/>
  <c r="F11" i="49"/>
  <c r="F10" i="49"/>
  <c r="F9" i="49"/>
  <c r="F8" i="49"/>
  <c r="F7" i="49"/>
  <c r="F6" i="49"/>
  <c r="F5" i="49"/>
  <c r="F5" i="51" l="1"/>
  <c r="D20" i="51" s="1"/>
  <c r="D22" i="51" s="1"/>
  <c r="E22" i="51" s="1"/>
  <c r="C4" i="50"/>
  <c r="E4" i="54"/>
  <c r="F13" i="51"/>
  <c r="D30" i="54"/>
  <c r="F4" i="49"/>
  <c r="F39" i="49" s="1"/>
  <c r="F40" i="49" s="1"/>
  <c r="F41" i="49" s="1"/>
  <c r="C12" i="50"/>
  <c r="C20" i="50"/>
  <c r="F4" i="53"/>
  <c r="C23" i="53" s="1"/>
  <c r="C24" i="53" s="1"/>
  <c r="C25" i="53" s="1"/>
  <c r="F4" i="54"/>
  <c r="C52" i="54" s="1"/>
  <c r="C54" i="54" s="1"/>
  <c r="G22" i="54"/>
  <c r="G31" i="54"/>
  <c r="G30" i="54" s="1"/>
  <c r="F30" i="54"/>
  <c r="G4" i="54"/>
  <c r="F14" i="53"/>
  <c r="E11" i="52"/>
  <c r="E22" i="52" s="1"/>
  <c r="D4" i="50"/>
  <c r="D13" i="50"/>
  <c r="D12" i="50" s="1"/>
  <c r="F21" i="49"/>
  <c r="F34" i="49" s="1"/>
  <c r="F35" i="49" s="1"/>
  <c r="F18" i="51" l="1"/>
  <c r="F19" i="53"/>
  <c r="C15" i="50"/>
  <c r="D15" i="50"/>
  <c r="C16" i="50" s="1"/>
  <c r="F48" i="54"/>
  <c r="G48" i="54"/>
  <c r="C17" i="46" l="1"/>
  <c r="D17" i="46" s="1"/>
  <c r="C16" i="46"/>
  <c r="C14" i="46"/>
  <c r="D14" i="46" s="1"/>
  <c r="D13" i="46"/>
  <c r="D12" i="46"/>
  <c r="D11" i="46"/>
  <c r="C10" i="46"/>
  <c r="D10" i="46" s="1"/>
  <c r="D9" i="46"/>
  <c r="D8" i="46"/>
  <c r="C7" i="46"/>
  <c r="D7" i="46" s="1"/>
  <c r="C6" i="46"/>
  <c r="C4" i="46" s="1"/>
  <c r="B22" i="45"/>
  <c r="B23" i="45" s="1"/>
  <c r="C15" i="45"/>
  <c r="C14" i="45"/>
  <c r="C13" i="45"/>
  <c r="B12" i="45"/>
  <c r="C12" i="45" s="1"/>
  <c r="C11" i="45"/>
  <c r="B10" i="45"/>
  <c r="C10" i="45" s="1"/>
  <c r="B9" i="45"/>
  <c r="C9" i="45" s="1"/>
  <c r="B7" i="45"/>
  <c r="C7" i="45" s="1"/>
  <c r="B4" i="45"/>
  <c r="C4" i="45" s="1"/>
  <c r="C6" i="45" l="1"/>
  <c r="C15" i="46"/>
  <c r="C18" i="46" s="1"/>
  <c r="D16" i="46"/>
  <c r="D15" i="46" s="1"/>
  <c r="B6" i="45"/>
  <c r="B16" i="45" s="1"/>
  <c r="D6" i="46"/>
  <c r="C5" i="46"/>
  <c r="C16" i="45"/>
  <c r="D5" i="46" l="1"/>
  <c r="D4" i="46"/>
  <c r="C20" i="46" l="1"/>
  <c r="C22" i="46" s="1"/>
  <c r="D22" i="46" s="1"/>
  <c r="D18" i="46"/>
  <c r="C23" i="44" l="1"/>
  <c r="D24" i="44" s="1"/>
  <c r="C19" i="44"/>
  <c r="D19" i="44" s="1"/>
  <c r="C18" i="44"/>
  <c r="D18" i="44" s="1"/>
  <c r="C17" i="44"/>
  <c r="D17" i="44" s="1"/>
  <c r="C16" i="44"/>
  <c r="D16" i="44" s="1"/>
  <c r="C15" i="44"/>
  <c r="D15" i="44" s="1"/>
  <c r="C14" i="44"/>
  <c r="D12" i="44"/>
  <c r="D11" i="44"/>
  <c r="D10" i="44"/>
  <c r="D9" i="44"/>
  <c r="D8" i="44"/>
  <c r="D7" i="44"/>
  <c r="D6" i="44"/>
  <c r="D5" i="44"/>
  <c r="C4" i="44"/>
  <c r="B19" i="43"/>
  <c r="C19" i="43" s="1"/>
  <c r="C13" i="43"/>
  <c r="C12" i="43"/>
  <c r="B11" i="43"/>
  <c r="C11" i="43" s="1"/>
  <c r="B10" i="43"/>
  <c r="C10" i="43" s="1"/>
  <c r="C9" i="43"/>
  <c r="B7" i="43"/>
  <c r="B5" i="43"/>
  <c r="B4" i="43" s="1"/>
  <c r="E17" i="42"/>
  <c r="D17" i="42"/>
  <c r="E16" i="42"/>
  <c r="D16" i="42"/>
  <c r="E15" i="42"/>
  <c r="D15" i="42"/>
  <c r="E14" i="42"/>
  <c r="D14" i="42"/>
  <c r="F11" i="42"/>
  <c r="E10" i="42"/>
  <c r="F10" i="42" s="1"/>
  <c r="D9" i="42"/>
  <c r="F9" i="42" s="1"/>
  <c r="F8" i="42"/>
  <c r="F7" i="42"/>
  <c r="F6" i="42"/>
  <c r="F5" i="42"/>
  <c r="F22" i="41"/>
  <c r="F14" i="41"/>
  <c r="D14" i="41"/>
  <c r="F12" i="41"/>
  <c r="F11" i="41"/>
  <c r="F9" i="41"/>
  <c r="D9" i="41"/>
  <c r="F8" i="41"/>
  <c r="F7" i="41"/>
  <c r="D7" i="41"/>
  <c r="F5" i="41"/>
  <c r="C31" i="40"/>
  <c r="F24" i="40"/>
  <c r="F23" i="40"/>
  <c r="F22" i="40"/>
  <c r="E21" i="40"/>
  <c r="F21" i="40" s="1"/>
  <c r="E20" i="40"/>
  <c r="F20" i="40" s="1"/>
  <c r="E19" i="40"/>
  <c r="F19" i="40" s="1"/>
  <c r="E18" i="40"/>
  <c r="F18" i="40" s="1"/>
  <c r="E17" i="40"/>
  <c r="F17" i="40" s="1"/>
  <c r="E16" i="40"/>
  <c r="F16" i="40" s="1"/>
  <c r="E15" i="40"/>
  <c r="F15" i="40" s="1"/>
  <c r="E12" i="40"/>
  <c r="F12" i="40" s="1"/>
  <c r="E11" i="40"/>
  <c r="F11" i="40" s="1"/>
  <c r="E10" i="40"/>
  <c r="F10" i="40" s="1"/>
  <c r="E9" i="40"/>
  <c r="F9" i="40" s="1"/>
  <c r="E8" i="40"/>
  <c r="F8" i="40" s="1"/>
  <c r="E7" i="40"/>
  <c r="F7" i="40" s="1"/>
  <c r="E6" i="40"/>
  <c r="F6" i="40" s="1"/>
  <c r="E5" i="40"/>
  <c r="F5" i="40" s="1"/>
  <c r="D21" i="39"/>
  <c r="D20" i="39"/>
  <c r="C19" i="39"/>
  <c r="D19" i="39" s="1"/>
  <c r="D18" i="39"/>
  <c r="D17" i="39"/>
  <c r="D16" i="39"/>
  <c r="D15" i="39"/>
  <c r="D14" i="39"/>
  <c r="D13" i="39"/>
  <c r="C12" i="39"/>
  <c r="C10" i="39"/>
  <c r="D10" i="39" s="1"/>
  <c r="C9" i="39"/>
  <c r="D9" i="39" s="1"/>
  <c r="C8" i="39"/>
  <c r="D8" i="39" s="1"/>
  <c r="C7" i="39"/>
  <c r="D7" i="39" s="1"/>
  <c r="C6" i="39"/>
  <c r="D5" i="39"/>
  <c r="C21" i="38"/>
  <c r="C20" i="38"/>
  <c r="C18" i="38"/>
  <c r="C16" i="38"/>
  <c r="B15" i="38"/>
  <c r="C15" i="38" s="1"/>
  <c r="C14" i="38"/>
  <c r="B12" i="38"/>
  <c r="C12" i="38" s="1"/>
  <c r="D7" i="38"/>
  <c r="B19" i="38" s="1"/>
  <c r="C19" i="38" s="1"/>
  <c r="C4" i="38"/>
  <c r="C6" i="38" s="1"/>
  <c r="D14" i="37"/>
  <c r="D13" i="37"/>
  <c r="C12" i="37"/>
  <c r="D12" i="37" s="1"/>
  <c r="D11" i="37"/>
  <c r="C10" i="37"/>
  <c r="D8" i="37"/>
  <c r="D7" i="37"/>
  <c r="D6" i="37"/>
  <c r="D5" i="37"/>
  <c r="C4" i="37"/>
  <c r="E21" i="36"/>
  <c r="C14" i="36" s="1"/>
  <c r="D14" i="36" s="1"/>
  <c r="D16" i="36"/>
  <c r="D15" i="36"/>
  <c r="D13" i="36"/>
  <c r="D10" i="36"/>
  <c r="D9" i="36"/>
  <c r="H8" i="36" s="1"/>
  <c r="D8" i="36"/>
  <c r="H7" i="36" s="1"/>
  <c r="D7" i="36"/>
  <c r="H6" i="36" s="1"/>
  <c r="D6" i="36"/>
  <c r="H5" i="36" s="1"/>
  <c r="D5" i="36"/>
  <c r="H4" i="36" s="1"/>
  <c r="C4" i="36"/>
  <c r="C12" i="36" s="1"/>
  <c r="C24" i="35"/>
  <c r="C12" i="35" s="1"/>
  <c r="D12" i="35" s="1"/>
  <c r="D20" i="35"/>
  <c r="D21" i="35" s="1"/>
  <c r="D15" i="35"/>
  <c r="D14" i="35"/>
  <c r="D13" i="35"/>
  <c r="D11" i="35"/>
  <c r="D10" i="35"/>
  <c r="D9" i="35"/>
  <c r="D8" i="35"/>
  <c r="D7" i="35"/>
  <c r="C5" i="35"/>
  <c r="C4" i="35" s="1"/>
  <c r="D14" i="34"/>
  <c r="D13" i="34"/>
  <c r="D12" i="34"/>
  <c r="D11" i="34"/>
  <c r="D10" i="34"/>
  <c r="D9" i="34"/>
  <c r="D8" i="34"/>
  <c r="D7" i="34"/>
  <c r="C6" i="34"/>
  <c r="C5" i="34" s="1"/>
  <c r="D22" i="33"/>
  <c r="D21" i="33"/>
  <c r="D20" i="33"/>
  <c r="D16" i="33"/>
  <c r="C15" i="33"/>
  <c r="C14" i="33"/>
  <c r="C13" i="33"/>
  <c r="C12" i="33"/>
  <c r="E7" i="33"/>
  <c r="D15" i="33" s="1"/>
  <c r="E6" i="33"/>
  <c r="D14" i="33" s="1"/>
  <c r="E5" i="33"/>
  <c r="D13" i="33" s="1"/>
  <c r="E4" i="33"/>
  <c r="F25" i="32"/>
  <c r="F24" i="32"/>
  <c r="F23" i="32"/>
  <c r="F22" i="32"/>
  <c r="F18" i="32"/>
  <c r="F17" i="32"/>
  <c r="F16" i="32"/>
  <c r="E14" i="32"/>
  <c r="D14" i="32"/>
  <c r="F9" i="32"/>
  <c r="F8" i="32"/>
  <c r="F7" i="32"/>
  <c r="F6" i="32"/>
  <c r="F5" i="32"/>
  <c r="F4" i="32"/>
  <c r="F14" i="42" l="1"/>
  <c r="F16" i="42"/>
  <c r="B11" i="38"/>
  <c r="D19" i="33"/>
  <c r="C9" i="37"/>
  <c r="E14" i="40"/>
  <c r="E13" i="40" s="1"/>
  <c r="D6" i="34"/>
  <c r="C20" i="34" s="1"/>
  <c r="C21" i="34" s="1"/>
  <c r="D4" i="44"/>
  <c r="C13" i="44"/>
  <c r="C20" i="44" s="1"/>
  <c r="F21" i="32"/>
  <c r="E8" i="33"/>
  <c r="C26" i="33" s="1"/>
  <c r="D26" i="33" s="1"/>
  <c r="D5" i="35"/>
  <c r="D4" i="35" s="1"/>
  <c r="C11" i="39"/>
  <c r="D4" i="37"/>
  <c r="C4" i="39"/>
  <c r="D12" i="39"/>
  <c r="D11" i="39" s="1"/>
  <c r="F17" i="42"/>
  <c r="C8" i="38"/>
  <c r="D8" i="38" s="1"/>
  <c r="D5" i="38"/>
  <c r="B17" i="38" s="1"/>
  <c r="C17" i="38" s="1"/>
  <c r="B6" i="43"/>
  <c r="B14" i="43" s="1"/>
  <c r="F15" i="42"/>
  <c r="F13" i="42" s="1"/>
  <c r="F10" i="32"/>
  <c r="C29" i="32" s="1"/>
  <c r="D12" i="33"/>
  <c r="D6" i="39"/>
  <c r="D4" i="39" s="1"/>
  <c r="D22" i="39" s="1"/>
  <c r="D23" i="39" s="1"/>
  <c r="C6" i="35"/>
  <c r="C21" i="35" s="1"/>
  <c r="C22" i="35" s="1"/>
  <c r="C25" i="39"/>
  <c r="D26" i="39" s="1"/>
  <c r="E26" i="39" s="1"/>
  <c r="F14" i="32"/>
  <c r="D6" i="35"/>
  <c r="D16" i="35" s="1"/>
  <c r="D17" i="35" s="1"/>
  <c r="E4" i="40"/>
  <c r="D19" i="41"/>
  <c r="D20" i="41" s="1"/>
  <c r="E20" i="41" s="1"/>
  <c r="C25" i="44"/>
  <c r="D14" i="44"/>
  <c r="D13" i="44" s="1"/>
  <c r="D20" i="44" s="1"/>
  <c r="C5" i="43"/>
  <c r="C4" i="43" s="1"/>
  <c r="C7" i="43"/>
  <c r="C6" i="43" s="1"/>
  <c r="F21" i="42"/>
  <c r="F23" i="42" s="1"/>
  <c r="F24" i="42" s="1"/>
  <c r="F4" i="42"/>
  <c r="F13" i="41"/>
  <c r="F4" i="40"/>
  <c r="F14" i="40"/>
  <c r="C11" i="38"/>
  <c r="D10" i="37"/>
  <c r="C11" i="36"/>
  <c r="C17" i="36" s="1"/>
  <c r="D12" i="36"/>
  <c r="D11" i="36" s="1"/>
  <c r="H10" i="36"/>
  <c r="C20" i="36" s="1"/>
  <c r="C22" i="36" s="1"/>
  <c r="D22" i="36" s="1"/>
  <c r="D4" i="36"/>
  <c r="D5" i="34"/>
  <c r="D4" i="34" s="1"/>
  <c r="C4" i="34"/>
  <c r="C15" i="34" s="1"/>
  <c r="D11" i="33"/>
  <c r="D23" i="33" s="1"/>
  <c r="D24" i="33" s="1"/>
  <c r="F15" i="32"/>
  <c r="F13" i="32" s="1"/>
  <c r="F26" i="32" s="1"/>
  <c r="F27" i="32" s="1"/>
  <c r="C30" i="32" l="1"/>
  <c r="D30" i="32" s="1"/>
  <c r="E25" i="40"/>
  <c r="B13" i="38"/>
  <c r="C13" i="38" s="1"/>
  <c r="C22" i="38" s="1"/>
  <c r="C22" i="39"/>
  <c r="C16" i="35"/>
  <c r="C17" i="35" s="1"/>
  <c r="C14" i="43"/>
  <c r="F18" i="42"/>
  <c r="F19" i="42" s="1"/>
  <c r="F15" i="41"/>
  <c r="F13" i="40"/>
  <c r="F25" i="40" s="1"/>
  <c r="C27" i="40"/>
  <c r="C28" i="40" s="1"/>
  <c r="E28" i="40" s="1"/>
  <c r="D9" i="37"/>
  <c r="D15" i="37" s="1"/>
  <c r="D19" i="37"/>
  <c r="D21" i="37" s="1"/>
  <c r="E21" i="37" s="1"/>
  <c r="D17" i="36"/>
  <c r="C18" i="36" s="1"/>
  <c r="C16" i="34"/>
  <c r="D15" i="34"/>
  <c r="B22" i="38" l="1"/>
  <c r="C15" i="37"/>
  <c r="D16" i="37"/>
  <c r="C60" i="30" l="1"/>
  <c r="C59" i="30"/>
  <c r="C55" i="30"/>
  <c r="C53" i="30"/>
  <c r="C50" i="30"/>
  <c r="C51" i="30" s="1"/>
  <c r="C43" i="30"/>
  <c r="F28" i="30"/>
  <c r="F27" i="30"/>
  <c r="F26" i="30"/>
  <c r="C57" i="30" s="1"/>
  <c r="C56" i="30" s="1"/>
  <c r="F25" i="30"/>
  <c r="F24" i="30"/>
  <c r="F23" i="30"/>
  <c r="F22" i="30"/>
  <c r="F21" i="30"/>
  <c r="F20" i="30"/>
  <c r="F19" i="30"/>
  <c r="F18" i="30"/>
  <c r="F17" i="30"/>
  <c r="F16" i="30"/>
  <c r="K15" i="30"/>
  <c r="L15" i="30" s="1"/>
  <c r="F15" i="30"/>
  <c r="F14" i="30"/>
  <c r="K13" i="30"/>
  <c r="L13" i="30" s="1"/>
  <c r="F13" i="30"/>
  <c r="K12" i="30"/>
  <c r="L12" i="30" s="1"/>
  <c r="F12" i="30"/>
  <c r="J11" i="30"/>
  <c r="K11" i="30" s="1"/>
  <c r="L11" i="30" s="1"/>
  <c r="F11" i="30"/>
  <c r="K10" i="30"/>
  <c r="L10" i="30" s="1"/>
  <c r="F10" i="30"/>
  <c r="K9" i="30"/>
  <c r="L9" i="30" s="1"/>
  <c r="F9" i="30"/>
  <c r="K8" i="30"/>
  <c r="L8" i="30" s="1"/>
  <c r="F8" i="30"/>
  <c r="J7" i="30"/>
  <c r="F7" i="30"/>
  <c r="K6" i="30"/>
  <c r="L6" i="30" s="1"/>
  <c r="F6" i="30"/>
  <c r="J5" i="30"/>
  <c r="K5" i="30" s="1"/>
  <c r="F5" i="30"/>
  <c r="F4" i="30"/>
  <c r="F29" i="30" l="1"/>
  <c r="F30" i="30" s="1"/>
  <c r="F32" i="30" s="1"/>
  <c r="L5" i="30"/>
  <c r="L4" i="30" s="1"/>
  <c r="K4" i="30"/>
  <c r="J4" i="30"/>
  <c r="J16" i="30" s="1"/>
  <c r="C45" i="30"/>
  <c r="C67" i="30" s="1"/>
  <c r="C70" i="30" s="1"/>
  <c r="L7" i="30"/>
  <c r="K7" i="30"/>
  <c r="K16" i="30" s="1"/>
  <c r="C63" i="30" l="1"/>
  <c r="C64" i="30" s="1"/>
  <c r="C65" i="30" s="1"/>
  <c r="C66" i="30" s="1"/>
  <c r="C69" i="30" s="1"/>
  <c r="C71" i="30" s="1"/>
  <c r="L16" i="30"/>
  <c r="C25" i="29"/>
  <c r="B22" i="29"/>
  <c r="C22" i="29" s="1"/>
  <c r="B19" i="29"/>
  <c r="B12" i="29" s="1"/>
  <c r="C15" i="29"/>
  <c r="C14" i="29"/>
  <c r="C13" i="29"/>
  <c r="C11" i="29"/>
  <c r="B10" i="29"/>
  <c r="B21" i="29" s="1"/>
  <c r="C21" i="29" s="1"/>
  <c r="C9" i="29"/>
  <c r="D8" i="29"/>
  <c r="C7" i="29"/>
  <c r="D5" i="29"/>
  <c r="C4" i="29"/>
  <c r="B20" i="28"/>
  <c r="B12" i="28" s="1"/>
  <c r="C12" i="28" s="1"/>
  <c r="B17" i="28"/>
  <c r="C17" i="28" s="1"/>
  <c r="C14" i="28"/>
  <c r="C13" i="28"/>
  <c r="C11" i="28"/>
  <c r="B10" i="28"/>
  <c r="B22" i="28" s="1"/>
  <c r="C9" i="28"/>
  <c r="F7" i="28"/>
  <c r="B7" i="28"/>
  <c r="F5" i="28"/>
  <c r="B4" i="28"/>
  <c r="C4" i="28" s="1"/>
  <c r="B21" i="27"/>
  <c r="C21" i="27" s="1"/>
  <c r="C14" i="27"/>
  <c r="B13" i="27"/>
  <c r="C12" i="27"/>
  <c r="B11" i="27"/>
  <c r="C11" i="27" s="1"/>
  <c r="C10" i="27"/>
  <c r="C9" i="27"/>
  <c r="B8" i="27"/>
  <c r="C8" i="27" s="1"/>
  <c r="B4" i="27"/>
  <c r="B15" i="27" s="1"/>
  <c r="C15" i="27" s="1"/>
  <c r="B21" i="26"/>
  <c r="C21" i="26" s="1"/>
  <c r="C15" i="26"/>
  <c r="C14" i="26"/>
  <c r="C13" i="26"/>
  <c r="B12" i="26"/>
  <c r="C12" i="26" s="1"/>
  <c r="C11" i="26"/>
  <c r="B10" i="26"/>
  <c r="C10" i="26" s="1"/>
  <c r="C9" i="26"/>
  <c r="B7" i="26"/>
  <c r="C7" i="26" s="1"/>
  <c r="B4" i="26"/>
  <c r="C4" i="26" s="1"/>
  <c r="B22" i="25"/>
  <c r="C22" i="25" s="1"/>
  <c r="C17" i="25"/>
  <c r="C16" i="25"/>
  <c r="B15" i="25"/>
  <c r="C15" i="25" s="1"/>
  <c r="B14" i="25"/>
  <c r="C14" i="25" s="1"/>
  <c r="B13" i="25"/>
  <c r="C13" i="25" s="1"/>
  <c r="C12" i="25"/>
  <c r="B11" i="25"/>
  <c r="C11" i="25" s="1"/>
  <c r="B10" i="25"/>
  <c r="C10" i="25" s="1"/>
  <c r="B9" i="25"/>
  <c r="C9" i="25" s="1"/>
  <c r="B7" i="25"/>
  <c r="C7" i="25" s="1"/>
  <c r="B4" i="25"/>
  <c r="B6" i="26" l="1"/>
  <c r="B6" i="28"/>
  <c r="C6" i="28" s="1"/>
  <c r="C12" i="29"/>
  <c r="B6" i="29"/>
  <c r="C6" i="29" s="1"/>
  <c r="C7" i="28"/>
  <c r="C10" i="28"/>
  <c r="B27" i="28" s="1"/>
  <c r="C27" i="28" s="1"/>
  <c r="C6" i="26"/>
  <c r="C6" i="25"/>
  <c r="C4" i="27"/>
  <c r="C4" i="25"/>
  <c r="B20" i="29"/>
  <c r="C20" i="29" s="1"/>
  <c r="B6" i="25"/>
  <c r="B18" i="25" s="1"/>
  <c r="C10" i="29"/>
  <c r="C23" i="29"/>
  <c r="B23" i="29"/>
  <c r="C22" i="28"/>
  <c r="B15" i="28"/>
  <c r="B6" i="27"/>
  <c r="B16" i="27" s="1"/>
  <c r="C13" i="27"/>
  <c r="C6" i="27" s="1"/>
  <c r="C16" i="26"/>
  <c r="B16" i="26"/>
  <c r="C18" i="25" l="1"/>
  <c r="C16" i="27"/>
  <c r="B23" i="28"/>
  <c r="B21" i="28"/>
  <c r="C21" i="28" s="1"/>
  <c r="C15" i="28"/>
  <c r="B26" i="28" s="1"/>
  <c r="C26" i="28" l="1"/>
  <c r="C28" i="28" s="1"/>
  <c r="C23" i="28"/>
  <c r="C24" i="28" s="1"/>
  <c r="B24" i="28"/>
  <c r="C17" i="24" l="1"/>
  <c r="E13" i="24"/>
  <c r="C13" i="24"/>
  <c r="E11" i="24"/>
  <c r="E10" i="24"/>
  <c r="E9" i="24"/>
  <c r="D8" i="24"/>
  <c r="E8" i="24" s="1"/>
  <c r="E7" i="24"/>
  <c r="C21" i="24" s="1"/>
  <c r="D6" i="24"/>
  <c r="E6" i="24" s="1"/>
  <c r="C6" i="24"/>
  <c r="C11" i="24" s="1"/>
  <c r="E5" i="24" l="1"/>
  <c r="E14" i="24" s="1"/>
  <c r="C22" i="24"/>
  <c r="C24" i="24" s="1"/>
  <c r="D24" i="24" s="1"/>
  <c r="C7" i="24"/>
</calcChain>
</file>

<file path=xl/sharedStrings.xml><?xml version="1.0" encoding="utf-8"?>
<sst xmlns="http://schemas.openxmlformats.org/spreadsheetml/2006/main" count="9880" uniqueCount="3235">
  <si>
    <t>TT</t>
  </si>
  <si>
    <t>Số lượng</t>
  </si>
  <si>
    <t>Đơn vị</t>
  </si>
  <si>
    <t>Đơn giá</t>
  </si>
  <si>
    <t>Thành tiền</t>
  </si>
  <si>
    <t>m2</t>
  </si>
  <si>
    <t>Thời gian khấu hao</t>
  </si>
  <si>
    <t>Mua con giống</t>
  </si>
  <si>
    <t>con</t>
  </si>
  <si>
    <t>Nhân công</t>
  </si>
  <si>
    <t>người</t>
  </si>
  <si>
    <t>kg</t>
  </si>
  <si>
    <t>Số tiền vay</t>
  </si>
  <si>
    <t>Lãi suất</t>
  </si>
  <si>
    <t>Khoản mục</t>
  </si>
  <si>
    <t>Đơn giá (VNĐ)</t>
  </si>
  <si>
    <t>Chi mua con giống</t>
  </si>
  <si>
    <t>Chi thức ăn tinh</t>
  </si>
  <si>
    <t>Khấu hao chuồng trại</t>
  </si>
  <si>
    <t>Lãi ngân hàng</t>
  </si>
  <si>
    <t>Chi thú y</t>
  </si>
  <si>
    <t>Chi khác</t>
  </si>
  <si>
    <t>Tổng chi phí</t>
  </si>
  <si>
    <t>Tổng doanh thu</t>
  </si>
  <si>
    <t>Lợi nhuận</t>
  </si>
  <si>
    <t>Tổng nhu cầu vốn</t>
  </si>
  <si>
    <t>Vốn tự có</t>
  </si>
  <si>
    <t>Vốn xin vay</t>
  </si>
  <si>
    <t>Tỷ lệ vốn tự có</t>
  </si>
  <si>
    <t>Bình quân 3,5 tháng</t>
  </si>
  <si>
    <t>*</t>
  </si>
  <si>
    <t>2.390.000 đ/con/lứa</t>
  </si>
  <si>
    <t>100.000 đ/con</t>
  </si>
  <si>
    <t>45.000 đ/kg</t>
  </si>
  <si>
    <t>Xây, sửa chuồng trại</t>
  </si>
  <si>
    <t>Khấu hao 120 tháng</t>
  </si>
  <si>
    <t>con (trọng lượng 8kg/con)</t>
  </si>
  <si>
    <t>Đơn giá mua</t>
  </si>
  <si>
    <t>đ/con</t>
  </si>
  <si>
    <t>Giá bán</t>
  </si>
  <si>
    <t>đ/cân, sau 3.5 tháng 1 con đạt bình quân 95kg</t>
  </si>
  <si>
    <t>Mua thức ăn tinh (cám)</t>
  </si>
  <si>
    <t>Cộng chi phí</t>
  </si>
  <si>
    <r>
      <t xml:space="preserve">   </t>
    </r>
    <r>
      <rPr>
        <b/>
        <sz val="13"/>
        <rFont val="Times New Roman"/>
        <family val="1"/>
      </rPr>
      <t>Chỉ tiêu</t>
    </r>
  </si>
  <si>
    <t>01 tháng</t>
  </si>
  <si>
    <t>Năm</t>
  </si>
  <si>
    <t>* Doanh thu:</t>
  </si>
  <si>
    <t xml:space="preserve"> 30 người x 200.000đ/người x 25 ngày x 02 chuyến</t>
  </si>
  <si>
    <t xml:space="preserve">* Tổng chi phí:                                   </t>
  </si>
  <si>
    <t xml:space="preserve"> - Chi phí dầu máy:</t>
  </si>
  <si>
    <t>25 ngày x 02 chuyến x 1.400.000 đồng/chuyến</t>
  </si>
  <si>
    <t xml:space="preserve"> - Trả lương nhân viên lái xe (150.000 đ/người/chuyến x 2 người/chuyến)</t>
  </si>
  <si>
    <t xml:space="preserve"> - Trả lương nhân viên phụ xe 4.500.000 đ/người/tháng x 2 người</t>
  </si>
  <si>
    <t xml:space="preserve"> - Khấu hao:                                           </t>
  </si>
  <si>
    <t xml:space="preserve"> - Chi phí sửa xe, bảo dưỡng:                 </t>
  </si>
  <si>
    <t xml:space="preserve"> - Lãi tiền vay Ngân hàng:                     </t>
  </si>
  <si>
    <t xml:space="preserve"> - Chi phí sinh hoạt trên đường (150.000 đ/người/ngày x 4 người x 25 ngày)</t>
  </si>
  <si>
    <t xml:space="preserve"> - Chi bến bãi (2.000.000 đ/tháng x 12 T)</t>
  </si>
  <si>
    <t xml:space="preserve"> - Chi khác (cầu đường, phí...)</t>
  </si>
  <si>
    <t xml:space="preserve"> - Chi thuế:    </t>
  </si>
  <si>
    <t xml:space="preserve">* Lợi nhuận ròng: </t>
  </si>
  <si>
    <t>Tổng giá trị xe</t>
  </si>
  <si>
    <t>Thời gian khấu hao (tháng)</t>
  </si>
  <si>
    <t>Lãi suất vay</t>
  </si>
  <si>
    <t>Chỉ tiêu</t>
  </si>
  <si>
    <t>20 chuyến/tháng x 2.000.000 đ/chuyến</t>
  </si>
  <si>
    <t>20 chuyến/tháng x 1.500.000đ/chuyến</t>
  </si>
  <si>
    <t xml:space="preserve">- Trả lương nhân viên lái xe:                </t>
  </si>
  <si>
    <t xml:space="preserve">- Khấu hao:                                           </t>
  </si>
  <si>
    <t xml:space="preserve">- Chi phí sửa xe, bảo dưỡng:                 </t>
  </si>
  <si>
    <t xml:space="preserve">- Lãi tiền vay Ngân hàng:                     </t>
  </si>
  <si>
    <t>- Chi khác</t>
  </si>
  <si>
    <t>- Chi thuế vận tải</t>
  </si>
  <si>
    <t>- Thuế khác (môn bài)</t>
  </si>
  <si>
    <t>tháng</t>
  </si>
  <si>
    <t>Tu co</t>
  </si>
  <si>
    <t>Lãi suất khi vay</t>
  </si>
  <si>
    <t>24 chuyến/tháng x 200.000 đ/tấn x 35 tấn/chuyến</t>
  </si>
  <si>
    <t>24 chuyến/tháng x 1.500.000 đ/chuyến</t>
  </si>
  <si>
    <t xml:space="preserve"> - Chi phí dầu nhớt</t>
  </si>
  <si>
    <t>25 ngày x 12h x 450.000 đồng/h</t>
  </si>
  <si>
    <t>- Chi phí dầu máy:</t>
  </si>
  <si>
    <t>25 ngày x 12h x 300.000 đồng/h</t>
  </si>
  <si>
    <t xml:space="preserve">- Trả lương nhân viên lái máy:                </t>
  </si>
  <si>
    <t xml:space="preserve">- Khấu hao                                    </t>
  </si>
  <si>
    <t xml:space="preserve">- Chi phí sửa máy, bảo dưỡng:                 </t>
  </si>
  <si>
    <t xml:space="preserve">- Chi thuế:    </t>
  </si>
  <si>
    <t>Tổng giá trị máy xúc</t>
  </si>
  <si>
    <t>Tổng thu nhập một tháng(năm)</t>
  </si>
  <si>
    <t>Trích khấu hao trả nợ</t>
  </si>
  <si>
    <t>%</t>
  </si>
  <si>
    <t>Tổng trả 01 năm</t>
  </si>
  <si>
    <t xml:space="preserve">Khấu hao </t>
  </si>
  <si>
    <t>25 ngày x 3ha x 1.300.000 đồng/ha</t>
  </si>
  <si>
    <t>25 ngày x 16h x 150.000 đồng/h</t>
  </si>
  <si>
    <t xml:space="preserve">- Trả lương nhân viên lái máy:     </t>
  </si>
  <si>
    <t>Tổng giá trị máy cày</t>
  </si>
  <si>
    <t>STT</t>
  </si>
  <si>
    <t>HẠNG MỤC ĐẦU TƯ</t>
  </si>
  <si>
    <t>SL</t>
  </si>
  <si>
    <t>ĐVT</t>
  </si>
  <si>
    <t>GIÁ 01 ĐVT</t>
  </si>
  <si>
    <t>THÀNH TIỀN</t>
  </si>
  <si>
    <t>Các danh mục tài chính</t>
  </si>
  <si>
    <t>Bình quân ngày</t>
  </si>
  <si>
    <t>Bình quân tháng</t>
  </si>
  <si>
    <t>Bình quân năm</t>
  </si>
  <si>
    <t xml:space="preserve">Bàn </t>
  </si>
  <si>
    <t>cái</t>
  </si>
  <si>
    <t>A</t>
  </si>
  <si>
    <t>Doanh thu dự kiến</t>
  </si>
  <si>
    <t>Ghế đệm</t>
  </si>
  <si>
    <t>Từ dịch vụ phòng hát: 2,5 tiếng x 4 phòng x 180.000 đ/tiếng</t>
  </si>
  <si>
    <t>Đế lót ly bằng gỗ</t>
  </si>
  <si>
    <t>Thu từ nước uống, hoa quả</t>
  </si>
  <si>
    <t xml:space="preserve">Gạt tàn thuốc </t>
  </si>
  <si>
    <t>B</t>
  </si>
  <si>
    <t>Mâm bưng nước cho nhân viên (304-36cm):</t>
  </si>
  <si>
    <t>Hoa quả, nước uống</t>
  </si>
  <si>
    <t xml:space="preserve">Ly uống cà phê sữa đá </t>
  </si>
  <si>
    <t>ly</t>
  </si>
  <si>
    <t>Tiền điện, nước</t>
  </si>
  <si>
    <t xml:space="preserve">Ly uống cam vắt, uống sinh tố </t>
  </si>
  <si>
    <t>Khấu hao</t>
  </si>
  <si>
    <t>Ly uống Lipton, đá chanh, đá me, đá chanh</t>
  </si>
  <si>
    <t>Trả lãi ngân hàng</t>
  </si>
  <si>
    <t xml:space="preserve">Cây khuấy nước (cam vắt, Lipton, nước khác, ...): </t>
  </si>
  <si>
    <t>Trả lương nhân viên</t>
  </si>
  <si>
    <t>Kệ lớn đựng ly bằng Inox:</t>
  </si>
  <si>
    <t>Thuế kinh doanh tháng</t>
  </si>
  <si>
    <t>Dàn Amply (cục công suất)</t>
  </si>
  <si>
    <t>Thuế môn bài</t>
  </si>
  <si>
    <t>Cục đẩy công suất</t>
  </si>
  <si>
    <t>cục</t>
  </si>
  <si>
    <t>Đầu đĩa đa năng:</t>
  </si>
  <si>
    <t>C</t>
  </si>
  <si>
    <t>Lợi nhuận dự kiến</t>
  </si>
  <si>
    <t>Tivi 51 inch (hiệu Sam Sung):</t>
  </si>
  <si>
    <t>Micro</t>
  </si>
  <si>
    <t>bộ</t>
  </si>
  <si>
    <t>Máy quay sinh tố (SANYO):</t>
  </si>
  <si>
    <t>Tủ đông đá, để kem, trái cây dừa lạnh</t>
  </si>
  <si>
    <t>Dàn loa (Mỹ, 500W/cặp):</t>
  </si>
  <si>
    <t>cặp</t>
  </si>
  <si>
    <t>Sub bass</t>
  </si>
  <si>
    <t>Đồng phục nhân viên:</t>
  </si>
  <si>
    <t>Máy vi tính phục vụ thống kê, kế toán, lưu nhạc:</t>
  </si>
  <si>
    <t>01 tủ quầy bar tính tiền</t>
  </si>
  <si>
    <t>Trang trí nội thất, tu sửa lại quán</t>
  </si>
  <si>
    <t>lần</t>
  </si>
  <si>
    <t>Chi phí bảng hiệu, hộp đèn:</t>
  </si>
  <si>
    <t>Chi phí PANO vải quảng cáo:</t>
  </si>
  <si>
    <t>tấm</t>
  </si>
  <si>
    <t>TỔNG CỘNG:</t>
  </si>
  <si>
    <t>Vốn tự có:</t>
  </si>
  <si>
    <t>Vay NH:</t>
  </si>
  <si>
    <t>Tổng số bia/ngày:</t>
  </si>
  <si>
    <t>chai/ngày</t>
  </si>
  <si>
    <t>Giá bia bán ra</t>
  </si>
  <si>
    <t>đ/chai</t>
  </si>
  <si>
    <t>Giờ hoạt động/ngày:</t>
  </si>
  <si>
    <t>tiếng/ngày</t>
  </si>
  <si>
    <t>Giá giờ hát</t>
  </si>
  <si>
    <t>đ/h</t>
  </si>
  <si>
    <t>Đĩa hoa quả</t>
  </si>
  <si>
    <t>đĩa/ngày</t>
  </si>
  <si>
    <t>Giá hoa quả</t>
  </si>
  <si>
    <t>đ/đĩa</t>
  </si>
  <si>
    <t>Số lượng bán bình quân:</t>
  </si>
  <si>
    <t>ly/ngày</t>
  </si>
  <si>
    <t>Giá bán bình quân/ly:</t>
  </si>
  <si>
    <t>đ/ly</t>
  </si>
  <si>
    <t>Doanh thu bình quân/ngày:</t>
  </si>
  <si>
    <t>đ/ngày</t>
  </si>
  <si>
    <t>Giá bia mua vào</t>
  </si>
  <si>
    <t>Khấu hao máy</t>
  </si>
  <si>
    <t>Giá hoa quả mua vào</t>
  </si>
  <si>
    <t>Giá  nguyên liệu bình quân/ly:</t>
  </si>
  <si>
    <t>Số lượng nhân viên quán:</t>
  </si>
  <si>
    <t>Lương bình quân:</t>
  </si>
  <si>
    <t>đ/người/tháng</t>
  </si>
  <si>
    <t>Tổng lương quỹ lương/tháng:</t>
  </si>
  <si>
    <t>đ/tháng</t>
  </si>
  <si>
    <t>Lương bình quân/ngày:</t>
  </si>
  <si>
    <t>Chi phí điện cho quán:</t>
  </si>
  <si>
    <t>Chi phí điện theo ngày</t>
  </si>
  <si>
    <t>Chi phí nước sạch cho quán:</t>
  </si>
  <si>
    <t>Chi phí nước theo ngày:</t>
  </si>
  <si>
    <t>Khấu hao tài sản cố định (ngày)</t>
  </si>
  <si>
    <t>Khấu hao tài sản  hàng năm:</t>
  </si>
  <si>
    <t>đ/năm</t>
  </si>
  <si>
    <t>Chi phí cho người trực tiếp quản lý:</t>
  </si>
  <si>
    <t>Chi phí cho người trực tiếp quản lý tính theo ngày</t>
  </si>
  <si>
    <t>Tiền lãi ngân hàng</t>
  </si>
  <si>
    <t>Chi thuế</t>
  </si>
  <si>
    <t>Chi khác (hỏng, mất mát…)</t>
  </si>
  <si>
    <t>Tổng Chi phí cho 01 ngày</t>
  </si>
  <si>
    <t>Lợi nhuận tính 01 ngày</t>
  </si>
  <si>
    <t>Lợi nhuận tính 01 tháng</t>
  </si>
  <si>
    <t>Lợi nhuận tính 01 năm</t>
  </si>
  <si>
    <t>Khấu hao trong 01 năm</t>
  </si>
  <si>
    <t>Trích lợi nhuận trả nợ  (20%)</t>
  </si>
  <si>
    <t>đồng</t>
  </si>
  <si>
    <t>Trích khấu hao trả nợ (63%)</t>
  </si>
  <si>
    <t>Tổng nguồn trả 01 năm</t>
  </si>
  <si>
    <t>Hạng muc chi tiết</t>
  </si>
  <si>
    <t xml:space="preserve">TT </t>
  </si>
  <si>
    <t xml:space="preserve"> Các danh mục tài chính </t>
  </si>
  <si>
    <t>Bình quân 6 tháng</t>
  </si>
  <si>
    <t xml:space="preserve"> A </t>
  </si>
  <si>
    <t xml:space="preserve"> Doanh thu dự kiến </t>
  </si>
  <si>
    <t>Chi phí phát sinh</t>
  </si>
  <si>
    <t>Giá vốn hàng bán (80% doanh thu)</t>
  </si>
  <si>
    <t>Lãi vay ngân hàng</t>
  </si>
  <si>
    <t>Chi phí thuế</t>
  </si>
  <si>
    <t xml:space="preserve"> B </t>
  </si>
  <si>
    <t xml:space="preserve"> Chi phí phát sinh </t>
  </si>
  <si>
    <t>Chi phí khác</t>
  </si>
  <si>
    <t>Tỉ suất lợi nhuận sau thuế/doanh thu</t>
  </si>
  <si>
    <t xml:space="preserve"> C </t>
  </si>
  <si>
    <t xml:space="preserve"> Lợi nhuận dự kiến </t>
  </si>
  <si>
    <t xml:space="preserve"> * </t>
  </si>
  <si>
    <t xml:space="preserve"> Tỉ suất lợi nhuận sau thuế/doanh thu </t>
  </si>
  <si>
    <t>Tổng nhu cầu</t>
  </si>
  <si>
    <t>Đối tượng</t>
  </si>
  <si>
    <t>Đơn giá (đồng)</t>
  </si>
  <si>
    <t>Thành tiền (đồng)</t>
  </si>
  <si>
    <t>Mua nguyên vật liệu (gỗ tận dụng)</t>
  </si>
  <si>
    <t>m3</t>
  </si>
  <si>
    <t>Mua dàn máy cưa (Đình Mộc)</t>
  </si>
  <si>
    <t>Mua máy bào</t>
  </si>
  <si>
    <t>Máy cuốn</t>
  </si>
  <si>
    <t>Máy vanh</t>
  </si>
  <si>
    <t>Máy lọng</t>
  </si>
  <si>
    <t>Tổng</t>
  </si>
  <si>
    <t>Đơn vị tính</t>
  </si>
  <si>
    <t>Bình quân hàng năm</t>
  </si>
  <si>
    <t>Chi phí dự kiến</t>
  </si>
  <si>
    <t>Chi khấu hao</t>
  </si>
  <si>
    <t>Chi trả nhân công (thợ kỹ thuật)</t>
  </si>
  <si>
    <t>Chi trả nhân công (thợ phụ)</t>
  </si>
  <si>
    <t>Chi khác (giấy nhám, phụ phẩm)</t>
  </si>
  <si>
    <t>Doanh thu</t>
  </si>
  <si>
    <t>Tủ tường</t>
  </si>
  <si>
    <t>Cái</t>
  </si>
  <si>
    <t>Tủ kệ</t>
  </si>
  <si>
    <t>Giường</t>
  </si>
  <si>
    <t>Bàn, ghế</t>
  </si>
  <si>
    <t>Bộ</t>
  </si>
  <si>
    <t>Bộ đá mạt (1,2 triệu/bộ)</t>
  </si>
  <si>
    <t>Bộ đá Granit (3 triệu/bộ)</t>
  </si>
  <si>
    <t>Bộ đá dăm kết (1,5 triệu/bộ)</t>
  </si>
  <si>
    <t>Chi phí nhân công (3 triệu/người) x 12 tháng</t>
  </si>
  <si>
    <t>Tổng cộng</t>
  </si>
  <si>
    <t>Bộ đá dăm kết (2,5 triệu/bộ)</t>
  </si>
  <si>
    <t>Chi trả nhân công (3 triệu/người)</t>
  </si>
  <si>
    <t>Bộ đá mạt (3 triệu/bộ)</t>
  </si>
  <si>
    <t>Bộ đá Granit (7 triệu/bộ)</t>
  </si>
  <si>
    <t>Bộ đá dăm kết (5 triệu/bộ)</t>
  </si>
  <si>
    <t>Bình quân 01 tháng</t>
  </si>
  <si>
    <t>Thu bán hàng (tối thiểu 120% giá vốn)</t>
  </si>
  <si>
    <t>Bóng đèn (kể cả bóng đèn cao áp)</t>
  </si>
  <si>
    <t>Dây điện</t>
  </si>
  <si>
    <t>Công tắc,phích cắm, bảng điện</t>
  </si>
  <si>
    <t>Ống nhựa trang trí đường điện</t>
  </si>
  <si>
    <t>Dụng cụ đồ điện</t>
  </si>
  <si>
    <t>Đồ nội thất gia dụng</t>
  </si>
  <si>
    <t>Vố tự có</t>
  </si>
  <si>
    <t>Tỷ lệ vốn tự có/tổng nhu cầu</t>
  </si>
  <si>
    <t>Tổng tiền bình quân 3 tháng</t>
  </si>
  <si>
    <t>Mua chăn các loại</t>
  </si>
  <si>
    <t>Ga + gối</t>
  </si>
  <si>
    <t>Đệm các loại</t>
  </si>
  <si>
    <t>Rèm cửa, ri-đô</t>
  </si>
  <si>
    <t>Khung màn</t>
  </si>
  <si>
    <t>Chi nhân công</t>
  </si>
  <si>
    <t>Tiền lãi</t>
  </si>
  <si>
    <t xml:space="preserve"> Tổng tiền bình quân 06 tháng (đ) </t>
  </si>
  <si>
    <t xml:space="preserve"> Tổng tiền năm (đ) </t>
  </si>
  <si>
    <t>Danh mục</t>
  </si>
  <si>
    <t>Số tiền</t>
  </si>
  <si>
    <t>Inox</t>
  </si>
  <si>
    <t>Thép vuông</t>
  </si>
  <si>
    <t>Thép ống, chữ U, chữ V</t>
  </si>
  <si>
    <t xml:space="preserve">Que hàn, tấm lợp </t>
  </si>
  <si>
    <t xml:space="preserve">Thép khác các loại </t>
  </si>
  <si>
    <t>Xây dựng nhà xưởng</t>
  </si>
  <si>
    <t>Tiền công</t>
  </si>
  <si>
    <t>Cộng</t>
  </si>
  <si>
    <t xml:space="preserve">Giá vốn hàng bán (80% doanh thu) </t>
  </si>
  <si>
    <t>Lương nhân viên</t>
  </si>
  <si>
    <t xml:space="preserve">Lãi vay ngân hàng </t>
  </si>
  <si>
    <t xml:space="preserve">Chi phí thuế </t>
  </si>
  <si>
    <t xml:space="preserve">Chi phí khác </t>
  </si>
  <si>
    <t>lãi</t>
  </si>
  <si>
    <t>Bình quân 3 tháng</t>
  </si>
  <si>
    <t xml:space="preserve">A </t>
  </si>
  <si>
    <t>Ngô</t>
  </si>
  <si>
    <t>Sắn</t>
  </si>
  <si>
    <t>Lạc</t>
  </si>
  <si>
    <t>Các loại hàng khác</t>
  </si>
  <si>
    <t xml:space="preserve">B </t>
  </si>
  <si>
    <t xml:space="preserve">Chi phí phát sinh </t>
  </si>
  <si>
    <t>Chi phí thu mua</t>
  </si>
  <si>
    <t xml:space="preserve">Tỉ suất lợi nhuận sau thuế/doanh thu </t>
  </si>
  <si>
    <t>Lãi vay</t>
  </si>
  <si>
    <t>Đối tượng vật tư</t>
  </si>
  <si>
    <t>Mua sắm máy vi tính</t>
  </si>
  <si>
    <t>Sửa chữa cửa hàng</t>
  </si>
  <si>
    <t>30 ngày x 30 máy x 6h x 5.000 đồng/h</t>
  </si>
  <si>
    <t xml:space="preserve">* Chi phí:                                   </t>
  </si>
  <si>
    <t>- Chi phí điện:</t>
  </si>
  <si>
    <t>30 ngày x 30 máy x 6h x 800 đồng/h</t>
  </si>
  <si>
    <t xml:space="preserve">- Trả lương nhân viên quản lý:                </t>
  </si>
  <si>
    <t xml:space="preserve">- Chi bảo dưỡng, bảo trì máy:                 </t>
  </si>
  <si>
    <t xml:space="preserve">Bình quân 6 tháng </t>
  </si>
  <si>
    <t>Bình quân năm (đ)</t>
  </si>
  <si>
    <t>Thu từ dịch vụ sửa chữa</t>
  </si>
  <si>
    <t>Lốp các loại</t>
  </si>
  <si>
    <t>Dầu máy</t>
  </si>
  <si>
    <t>Vòng bi, nhíp</t>
  </si>
  <si>
    <t>Mỡ bôi trơn</t>
  </si>
  <si>
    <t>Giá vốn hàng bán</t>
  </si>
  <si>
    <t>Chi phí bán hàng</t>
  </si>
  <si>
    <t>Chi phí thuế kinh doanh</t>
  </si>
  <si>
    <t>Tổng chi phí ban đầu</t>
  </si>
  <si>
    <t>Các danh mục</t>
  </si>
  <si>
    <t>Đơn giá bình quân</t>
  </si>
  <si>
    <t>Doanh thu dự kiến tháng</t>
  </si>
  <si>
    <t>Máy bộ</t>
  </si>
  <si>
    <t>Main</t>
  </si>
  <si>
    <t>Chipset</t>
  </si>
  <si>
    <t>Ram</t>
  </si>
  <si>
    <t>Màn hình</t>
  </si>
  <si>
    <t>Nguồn, UPS</t>
  </si>
  <si>
    <t>Bàn phím, chuột</t>
  </si>
  <si>
    <t>Dịch vụ sửa chữa</t>
  </si>
  <si>
    <t>Chi phí quản lý</t>
  </si>
  <si>
    <t>Tổng nhu cầu:</t>
  </si>
  <si>
    <t>Chi thức ăn thô</t>
  </si>
  <si>
    <t>Chi thú y, phòng dịch</t>
  </si>
  <si>
    <t>Xây dựng chuồng trại</t>
  </si>
  <si>
    <t>Giá thức ăn tinh</t>
  </si>
  <si>
    <t>/kg</t>
  </si>
  <si>
    <t>Giá thức ăn thô</t>
  </si>
  <si>
    <t>Trọng lượng xuất chuồng</t>
  </si>
  <si>
    <t>Tổng tiền bình quân 6 tháng</t>
  </si>
  <si>
    <t>Thức ăn cho lợn con từ tập ăn đến 8kg</t>
  </si>
  <si>
    <t>bì 25kg</t>
  </si>
  <si>
    <t>Thức ăn cho lợn con từ 8 đến 15kg</t>
  </si>
  <si>
    <t>Thức ăn cho lợn con từ 15 đến 30 kg</t>
  </si>
  <si>
    <t xml:space="preserve">Thức ăn cho lợn nái nuôi con </t>
  </si>
  <si>
    <t>Chi phí vận chuyển (15.000 đ/bì)</t>
  </si>
  <si>
    <t>28 ngày x 6 phòng x 100.000 đồng/ph</t>
  </si>
  <si>
    <t>28 ngày x 6 phòng x 10.000 đồng/ph</t>
  </si>
  <si>
    <t xml:space="preserve">                 1,000,000 </t>
  </si>
  <si>
    <t>Chi phí xây dựng</t>
  </si>
  <si>
    <t>Vốn vay NH</t>
  </si>
  <si>
    <t>Tháng</t>
  </si>
  <si>
    <t>Chi phí</t>
  </si>
  <si>
    <t>Ví da các loại</t>
  </si>
  <si>
    <t>Đồng hồ</t>
  </si>
  <si>
    <t>Dây lưng</t>
  </si>
  <si>
    <t>Túi xách</t>
  </si>
  <si>
    <t>Mũ thời trang</t>
  </si>
  <si>
    <t>Móc treo chìa khóa, các loại hàng khác</t>
  </si>
  <si>
    <t>Tổng nhu cầu vốn ban đầu</t>
  </si>
  <si>
    <t>Kinh doanh phòng trọ</t>
  </si>
  <si>
    <t>03 tháng</t>
  </si>
  <si>
    <t>2.000 viên/ngày x 1.700đ/viên x 25 ngày/tháng</t>
  </si>
  <si>
    <t xml:space="preserve"> - Chi phí nguyên liệu</t>
  </si>
  <si>
    <t>2.000 viên/ngày x 1.000đ/viên x 25 ngày/tháng</t>
  </si>
  <si>
    <t xml:space="preserve"> - Trả lương nhân công                </t>
  </si>
  <si>
    <t xml:space="preserve"> - Chi phí sửa máy, bảo dưỡng:                 </t>
  </si>
  <si>
    <t xml:space="preserve"> - Chi tiền điện + nước</t>
  </si>
  <si>
    <t xml:space="preserve"> - Chi khác</t>
  </si>
  <si>
    <t xml:space="preserve"> -  Chi thuế:    </t>
  </si>
  <si>
    <t>Tổng giá trị máy trộn</t>
  </si>
  <si>
    <t>Nguyên liệu đầu vào</t>
  </si>
  <si>
    <t>Tỷ lệ Vốn tự có/Tổng nhu cầu</t>
  </si>
  <si>
    <t>Bình quân 06 tháng</t>
  </si>
  <si>
    <t>Chi nguyên liệu đầu vào</t>
  </si>
  <si>
    <t>Đá hộc: 150.000 đ/tấn x 4.000 tấn/tháng</t>
  </si>
  <si>
    <t>Đá xẻ thô: 2.500.000 đ/m3 x 300 m3/tháng</t>
  </si>
  <si>
    <t>Chi tiền điện</t>
  </si>
  <si>
    <t>Chi bao bì</t>
  </si>
  <si>
    <t>Chi lương công nhân 5.500.000 đ/người x 30 người</t>
  </si>
  <si>
    <t>Chi trả lãi tiền vay</t>
  </si>
  <si>
    <t>Thu từ bán đá bột 420.000 đ/tấn x 3.500 tấn/tháng</t>
  </si>
  <si>
    <t>Thu từ bán đá xẻ: 420.000 đ/m2 x 2.300 m2</t>
  </si>
  <si>
    <t>Thành tiền (6 tháng)</t>
  </si>
  <si>
    <t>Chi lương nhân công</t>
  </si>
  <si>
    <t>Sữa tươi tiệt trùng</t>
  </si>
  <si>
    <t>hộp</t>
  </si>
  <si>
    <t>Sữa tươi Twin Cows</t>
  </si>
  <si>
    <t>Dầu ăn Neptune (loại 1 lít)</t>
  </si>
  <si>
    <t>chai</t>
  </si>
  <si>
    <t>Dầu ăn Neptune (loại 2 lít)</t>
  </si>
  <si>
    <t>Dầu ăn Neptune (loại 5 lít)</t>
  </si>
  <si>
    <t>Dầu ăn Meizan (loại 1 lít)</t>
  </si>
  <si>
    <t>Gạo Khang dân</t>
  </si>
  <si>
    <t>Gạo Xi Dẻo</t>
  </si>
  <si>
    <t>Gạo Bắc Thơm</t>
  </si>
  <si>
    <t>Gạo đài loan</t>
  </si>
  <si>
    <t>Hàng bánh kẹo</t>
  </si>
  <si>
    <t>Hàng nhựa</t>
  </si>
  <si>
    <t xml:space="preserve">Lợi nhuận dự kiến </t>
  </si>
  <si>
    <t>Tỷ lệ VTC/Tổng nhu cầu</t>
  </si>
  <si>
    <t>Tổng tiền 1 năm</t>
  </si>
  <si>
    <t>Đồ uống (bia, rượu, cà phê...)</t>
  </si>
  <si>
    <t>Trả lương nhân viên bán hàng</t>
  </si>
  <si>
    <t>Chi phí quản lý, thuế</t>
  </si>
  <si>
    <t>Thu từ bán đồ ăn</t>
  </si>
  <si>
    <t>Thu từ bán thức uống</t>
  </si>
  <si>
    <t>Vốn xây dựng ban đầu</t>
  </si>
  <si>
    <t>Nguyên vật liệu</t>
  </si>
  <si>
    <t>Dự án buôn bán VLXD tính chu kỳ 1 năm</t>
  </si>
  <si>
    <t>Sơn trong nhà (Tuylips)</t>
  </si>
  <si>
    <t>Thùng</t>
  </si>
  <si>
    <t>Sơn trong nhà (Vanta)</t>
  </si>
  <si>
    <t>Gạch lát nền 50x50 (Đồng Tâm)</t>
  </si>
  <si>
    <t>Gạch lát nền 50x50 (Bright)</t>
  </si>
  <si>
    <t>Sơn trong nhà (LeVis)</t>
  </si>
  <si>
    <t>Sơn trong nhà (ToTun)</t>
  </si>
  <si>
    <t>Gạch lát nền 40x40 (Vgracra)</t>
  </si>
  <si>
    <t>Gạch lát nền 50x50 (Granit)</t>
  </si>
  <si>
    <t>Máy Nokia</t>
  </si>
  <si>
    <t>Máy Samsung</t>
  </si>
  <si>
    <t>Máy Motorola</t>
  </si>
  <si>
    <t>Máy khác</t>
  </si>
  <si>
    <t>Dịch vụ sim card</t>
  </si>
  <si>
    <t>Máy Sam sung</t>
  </si>
  <si>
    <t>Máy các loại khác</t>
  </si>
  <si>
    <t>Dịch vụ sim cạc</t>
  </si>
  <si>
    <t>Xăng 92</t>
  </si>
  <si>
    <t>Lít</t>
  </si>
  <si>
    <t>Dầu Diezel</t>
  </si>
  <si>
    <t>Nhớt Castrol EDGE</t>
  </si>
  <si>
    <t>Nhớt Castrol Power 1</t>
  </si>
  <si>
    <t>Người</t>
  </si>
  <si>
    <t>Thành tiền (tháng)</t>
  </si>
  <si>
    <t>6 thang</t>
  </si>
  <si>
    <t>Uku loại 1</t>
  </si>
  <si>
    <t>chiếc</t>
  </si>
  <si>
    <t>Uku loại 2</t>
  </si>
  <si>
    <t>Uku loại 4</t>
  </si>
  <si>
    <t>Uku loại 5</t>
  </si>
  <si>
    <t>Ghita loại 1</t>
  </si>
  <si>
    <t>Ghita loại 2</t>
  </si>
  <si>
    <t>Ghita loại 3</t>
  </si>
  <si>
    <t>Ghita loại 4</t>
  </si>
  <si>
    <t>Phụ kiện Capo</t>
  </si>
  <si>
    <t>Phụ kiện Capo2</t>
  </si>
  <si>
    <t>Phụ kiện tuner</t>
  </si>
  <si>
    <t>Phụ kiện dây đàn1</t>
  </si>
  <si>
    <t>Phụ kiện dây đàn2</t>
  </si>
  <si>
    <t>Phụ kiện dây đàn 3</t>
  </si>
  <si>
    <t>Phụ kiện dây đàn 4</t>
  </si>
  <si>
    <t>Phụ kiện pick gảy</t>
  </si>
  <si>
    <t>Phụ kiện dây đeo đàn</t>
  </si>
  <si>
    <t>Bao đàn uku tặng</t>
  </si>
  <si>
    <t>Thuê mặt bằng</t>
  </si>
  <si>
    <t>Chi phí thuế môn bài</t>
  </si>
  <si>
    <t>Maketing</t>
  </si>
  <si>
    <t>Tiền ship</t>
  </si>
  <si>
    <t>Phụ kiện dây đàn 1</t>
  </si>
  <si>
    <t>Phụ kiện dây đàn 2</t>
  </si>
  <si>
    <t>Kinh doanh nhạc cụ</t>
  </si>
  <si>
    <t>Kinh doanh xăng dầu</t>
  </si>
  <si>
    <t>Sản xuất gạch block xi măng</t>
  </si>
  <si>
    <t>Kinh doanh hàng điện dân dụng</t>
  </si>
  <si>
    <t>Sản xuất bàn ghế đá</t>
  </si>
  <si>
    <t>Sản xuất hàng mộc dân dụng</t>
  </si>
  <si>
    <t>Kinh doanh dịch vụ Karaoke</t>
  </si>
  <si>
    <t>Mua máy cày phục vụ nông nghiệp</t>
  </si>
  <si>
    <t>Mua máy xúc</t>
  </si>
  <si>
    <t>Mua xe đầu kéo</t>
  </si>
  <si>
    <t>Mua xe ô tô tải</t>
  </si>
  <si>
    <t>Mua ô tô khách 30 chỗ</t>
  </si>
  <si>
    <t>Chế biến đá mỹ nghệ</t>
  </si>
  <si>
    <t>I</t>
  </si>
  <si>
    <t>Chi nguyên liệu đầu vào (đá khối)</t>
  </si>
  <si>
    <t>kwh</t>
  </si>
  <si>
    <t>Chi khác (giấy nhám, axít…)</t>
  </si>
  <si>
    <t>Chi phí khấu hao</t>
  </si>
  <si>
    <t>II</t>
  </si>
  <si>
    <t>Con tiện</t>
  </si>
  <si>
    <t>Bình hoa</t>
  </si>
  <si>
    <t>Các sản phẩm khác (long, lân, quy, phụng...)</t>
  </si>
  <si>
    <t>III</t>
  </si>
  <si>
    <t>Tỷ suất lợi nhuận/doanh thu</t>
  </si>
  <si>
    <t>Tổng nhu cầu vốn (ko tính lãi)</t>
  </si>
  <si>
    <t>Chăn nuôi trâu sinh sản</t>
  </si>
  <si>
    <t xml:space="preserve">con; </t>
  </si>
  <si>
    <t>Xây chuồng trại</t>
  </si>
  <si>
    <t>Thành tiền năm thứ nhất</t>
  </si>
  <si>
    <t>Năm thứ hai</t>
  </si>
  <si>
    <t>Năm thứ ba</t>
  </si>
  <si>
    <t>Chi mua trâu mạ</t>
  </si>
  <si>
    <t>0,2 kg/con/ngày</t>
  </si>
  <si>
    <t>6.000 đ/kg</t>
  </si>
  <si>
    <t>25.000.000 đ/con</t>
  </si>
  <si>
    <t>Chăn nuôi trâu vỗ béo</t>
  </si>
  <si>
    <t>Tên vật tư</t>
  </si>
  <si>
    <t>năm</t>
  </si>
  <si>
    <t>Giá bán dự kiến sau 1 năm</t>
  </si>
  <si>
    <t>Giá thức ăn tinh (cám)</t>
  </si>
  <si>
    <t>Thành tiền (năm)</t>
  </si>
  <si>
    <t>Mua máy khoan</t>
  </si>
  <si>
    <t>Máy xúc đào bánh xích</t>
  </si>
  <si>
    <t>Búa đập</t>
  </si>
  <si>
    <t>công</t>
  </si>
  <si>
    <t>Chi phí xăng dầu</t>
  </si>
  <si>
    <t>lít</t>
  </si>
  <si>
    <t>Thu từ bán đá hộc</t>
  </si>
  <si>
    <t>tấn</t>
  </si>
  <si>
    <t>Thu từ bán đá xẻ</t>
  </si>
  <si>
    <t>Chế biến đá hộc, đá xẻ</t>
  </si>
  <si>
    <t>Kinh doanh điện thoại</t>
  </si>
  <si>
    <t>Kinh doanh chăn, ga, gối, đệm</t>
  </si>
  <si>
    <t>Kinh doanh hàng tạp hóa</t>
  </si>
  <si>
    <t>Kinh doanh máy vi tính</t>
  </si>
  <si>
    <t>Chế biến bột đá siêu mịn</t>
  </si>
  <si>
    <t>Con</t>
  </si>
  <si>
    <t>Chi thức ăn tinh
0.04 kg/con/ngày</t>
  </si>
  <si>
    <t>Phương án tính trong 1 chu kỳ kinh doanh 4 tháng (120 ngày):</t>
  </si>
  <si>
    <t>Chăn nuôi lợn thịt vỗ béo</t>
  </si>
  <si>
    <t>70 m2</t>
  </si>
  <si>
    <t xml:space="preserve"> TT</t>
  </si>
  <si>
    <t xml:space="preserve"> * File excel này gồm một số phương án vay vốn thông dụng để tham khảo (các PAVV giản đơn, không tính toán các</t>
  </si>
  <si>
    <t xml:space="preserve"> hệ số tài chính, NPV,... Khi sử dụng, cần đánh giá lại định mức kinh tế, kỹ thuật, các số liệu ... theo thực tế phát sinh.</t>
  </si>
  <si>
    <t xml:space="preserve"> đồng</t>
  </si>
  <si>
    <t>Diện tích keo</t>
  </si>
  <si>
    <t xml:space="preserve"> ha</t>
  </si>
  <si>
    <t>Dự kiến sản lượng keo mỗi ha</t>
  </si>
  <si>
    <t xml:space="preserve"> tấn</t>
  </si>
  <si>
    <t>BẢNG HẠCH TOÁN DỰ KIẾN CỦA PASDV TRONG NĂM KẾ HOẠCH</t>
  </si>
  <si>
    <t>Đơn vị tính: đồng</t>
  </si>
  <si>
    <t>Đầu tư vốn ban đầu</t>
  </si>
  <si>
    <t>Mua vườn keo 6 năm tuổi</t>
  </si>
  <si>
    <t>ha</t>
  </si>
  <si>
    <t>Chi phí khai thác keo</t>
  </si>
  <si>
    <t>Công chặt</t>
  </si>
  <si>
    <t>Công trung chuyển từ vườn keo lên ôtô</t>
  </si>
  <si>
    <t>Công bóc vỏ</t>
  </si>
  <si>
    <t>Cước vận chuyển đến nhà máy</t>
  </si>
  <si>
    <t>Thuế</t>
  </si>
  <si>
    <t>IV</t>
  </si>
  <si>
    <t xml:space="preserve">Lãi vay trong 1 năm </t>
  </si>
  <si>
    <t>Trả lãi vay lãi suất 4,5% 6 tháng</t>
  </si>
  <si>
    <t>Trả lãi vay lãi suất 8,0% 6 tháng</t>
  </si>
  <si>
    <t>Tổng doanh thu dự kiến</t>
  </si>
  <si>
    <t>Doanh thu bán keo sau 1 năm</t>
  </si>
  <si>
    <t>(Ghi chú: Sản lượng 01 ha: 1.500 cây /1 ha x 150 kg/1 cây =225,000 kg = 225 tấn)</t>
  </si>
  <si>
    <t>(Nhu cầu vốn lưu động 1 vòng quay vốn = Tổng chi phí SXKD kỳ kế hoạch (trừ khấu hao ,lãi vay)/Vòng quay vốn lưu động kỳ kế hoạch)</t>
  </si>
  <si>
    <t xml:space="preserve">Tổng chi phí SXKD kỳ kế hoạch </t>
  </si>
  <si>
    <t>Tổng chi phí SXKD kỳ kế hoạch (trừ khấu hao, lãi vay)</t>
  </si>
  <si>
    <t>Vòng quay vốn</t>
  </si>
  <si>
    <t>Tổng nhu cầu vốn lưu động trong kỳ</t>
  </si>
  <si>
    <t>Vốn đối ứng</t>
  </si>
  <si>
    <t>Tỷ lệ vốn đối ứng</t>
  </si>
  <si>
    <t>Mua keo khai thác</t>
  </si>
  <si>
    <t>Thành tiền ( VNĐ)</t>
  </si>
  <si>
    <t>Lợn nái hậu bị</t>
  </si>
  <si>
    <t>Lợn giống siêu nạc</t>
  </si>
  <si>
    <t>Cá rô Đài Loan</t>
  </si>
  <si>
    <t>Cá trắm + trôi + mè + chép</t>
  </si>
  <si>
    <t>Gà giống</t>
  </si>
  <si>
    <t>Vịt giống</t>
  </si>
  <si>
    <t>Chi phí mua thức ăn chăn nuôi</t>
  </si>
  <si>
    <t>Thức ăn cho lợn nái</t>
  </si>
  <si>
    <t>Thức ăn cho lợn con</t>
  </si>
  <si>
    <t xml:space="preserve">Thức ăn cho lợn thịt </t>
  </si>
  <si>
    <t>Thức ăn cho gà</t>
  </si>
  <si>
    <t>Thức ăn cho vịt</t>
  </si>
  <si>
    <t>Chi phí tiêm phòng</t>
  </si>
  <si>
    <t>Chi phí tiêm phòng cho lợn</t>
  </si>
  <si>
    <t>Chi phí tiêm phòng cho gà</t>
  </si>
  <si>
    <t>Chi phí tiêm phòng cho vịt</t>
  </si>
  <si>
    <t>Chi phí nhân công ( 2 người)</t>
  </si>
  <si>
    <t xml:space="preserve">tháng </t>
  </si>
  <si>
    <t>Chi phí điện,nước</t>
  </si>
  <si>
    <t>V</t>
  </si>
  <si>
    <t>Trả lãi trong 1 năm</t>
  </si>
  <si>
    <t xml:space="preserve"> Doanh thu</t>
  </si>
  <si>
    <t>Doanh thu từ bán lợn giống</t>
  </si>
  <si>
    <t>Doanh thu từ bán lợn thịt ( 1 con trung bình nặng 100 kg)</t>
  </si>
  <si>
    <t xml:space="preserve">Doanh thu từ bán gà </t>
  </si>
  <si>
    <t>Doanh thu từ bán vịt</t>
  </si>
  <si>
    <t>Doanh thu từ thu hoạch cá rô phi</t>
  </si>
  <si>
    <t>Doanh thu từ thu hoạch cá khác</t>
  </si>
  <si>
    <t>Lợi nhuận ròng</t>
  </si>
  <si>
    <t>IV. Kế hoạch vay vốn và trả nợ:</t>
  </si>
  <si>
    <t>1. Kế hoạch vay vốn:</t>
  </si>
  <si>
    <t xml:space="preserve">Tổng nhu cầu vốn để thực hiện dự án: </t>
  </si>
  <si>
    <t xml:space="preserve">Vốn đối ứng: </t>
  </si>
  <si>
    <t xml:space="preserve">Vốn xin vay Ngân hàng: </t>
  </si>
  <si>
    <t>Thời hạn xin vay: 12 tháng,</t>
  </si>
  <si>
    <t>- Trả lãi: Theo quý chậm nhất vào ngày cuối cùng của các tháng 3,6,9,12.</t>
  </si>
  <si>
    <t>- Trả gốc: 01 kỳ</t>
  </si>
  <si>
    <t>2. Kế hoạch trả nợ:</t>
  </si>
  <si>
    <t>- Trả nợ lãi từ lợi nhuận từ việc bán gà hàng quý:</t>
  </si>
  <si>
    <t>+ Lợi nhuận từ bán gà :</t>
  </si>
  <si>
    <t>100 con x 100,000 đ/con = 10,000,000</t>
  </si>
  <si>
    <t>- Trả nợ gốc từ doanh thu từ bán lợn: 1,600,000 đồng</t>
  </si>
  <si>
    <t>Như vậy sau 1 năm gia đình tôi sẽ trả hết nợ gốc và lãi cho ngân hàng.</t>
  </si>
  <si>
    <t>Chăn nuôi gà công nghiệp</t>
  </si>
  <si>
    <t>MỘT SỐ PHƯƠNG ÁN VAY VỐN THÔNG DỤNG</t>
  </si>
  <si>
    <t>Hướng dẫn:</t>
  </si>
  <si>
    <t>Trang trại vườn ao chuồng</t>
  </si>
  <si>
    <t>THÔNG TIN BAN ĐẦU</t>
  </si>
  <si>
    <t>Đơn giá mua (ha)</t>
  </si>
  <si>
    <t>đồng/ha</t>
  </si>
  <si>
    <t>Thành  tiền 1 năm</t>
  </si>
  <si>
    <t>Chi phí giá vốn:</t>
  </si>
  <si>
    <t>-</t>
  </si>
  <si>
    <t>Bò 3B 150 kg</t>
  </si>
  <si>
    <t>Bò 3B 200 kg</t>
  </si>
  <si>
    <t>Bò 3B 250 kg</t>
  </si>
  <si>
    <t>Thức ăn chính</t>
  </si>
  <si>
    <t>70000/ngày</t>
  </si>
  <si>
    <t>Thức ăn bổ sung</t>
  </si>
  <si>
    <t>3000/ngày</t>
  </si>
  <si>
    <t>Phụ phẩm</t>
  </si>
  <si>
    <t>Chi phí thuê trang trại</t>
  </si>
  <si>
    <t>Chi phí vận chuyển con giống</t>
  </si>
  <si>
    <t>Xe</t>
  </si>
  <si>
    <t>Thuốc men phòng bệnh</t>
  </si>
  <si>
    <t>Lương nhân viên chăm sóc kiêm bảo vệ  trang trại (4 người * 5.000.000 đồng/tháng)</t>
  </si>
  <si>
    <t>Chi phí quản lý doanh nghiệp</t>
  </si>
  <si>
    <t>Chi văn phòng phẩm</t>
  </si>
  <si>
    <t>Chi trả lương Giám đốc: 10.000.000 đồng/ tháng * 12 tháng</t>
  </si>
  <si>
    <t>Chi trả lương 01 nhân viên kế toán trưởng</t>
  </si>
  <si>
    <t>Chi trả lương 01 nhân viên kế toán kho</t>
  </si>
  <si>
    <t>Chi trả lương 01 Phó giám đốc</t>
  </si>
  <si>
    <t>Chi trả lương 01 nhân viên kế toán bán hàng</t>
  </si>
  <si>
    <t>Chi điện, nước, internet….</t>
  </si>
  <si>
    <t>Chi phí tài chính: Chi phí lãi vay</t>
  </si>
  <si>
    <t>( Dư nợ bình quân dự kiến: 20.000.000.000đ x 6.5%/năm)</t>
  </si>
  <si>
    <t>Chi phí chết trong chăm sóc (3%)</t>
  </si>
  <si>
    <t>VI</t>
  </si>
  <si>
    <t>Khấu hao tài sản cố định</t>
  </si>
  <si>
    <t>Doanh thu bán hàng dự kiến</t>
  </si>
  <si>
    <t>Bò 3B 300 kg</t>
  </si>
  <si>
    <t>Lợi nhuận trước thuế dự kiến</t>
  </si>
  <si>
    <t>D</t>
  </si>
  <si>
    <t>Lợi nhuận sau thuế dự kiến</t>
  </si>
  <si>
    <t xml:space="preserve">Trang trại chăn nuôi bò </t>
  </si>
  <si>
    <t>Danh Mục</t>
  </si>
  <si>
    <t>Đơn giá(đồng)</t>
  </si>
  <si>
    <t>Thành tiền(Đồng)</t>
  </si>
  <si>
    <t>Xe máy cúp 82</t>
  </si>
  <si>
    <t>Xe máy cúp 81</t>
  </si>
  <si>
    <t>Xe Roma DK</t>
  </si>
  <si>
    <t>Xe MOMENTKENTUM</t>
  </si>
  <si>
    <t>Xe 133s Giant T</t>
  </si>
  <si>
    <t>Xe 133s Việt Thái</t>
  </si>
  <si>
    <t>Xe BEFOR all FH</t>
  </si>
  <si>
    <t>Xe máy điện DETECH</t>
  </si>
  <si>
    <t>Xe 133K</t>
  </si>
  <si>
    <t>Xe 133H</t>
  </si>
  <si>
    <t>Xe Xmen Vadea</t>
  </si>
  <si>
    <t>Xe Befor all F8</t>
  </si>
  <si>
    <t>Xe One Osaka</t>
  </si>
  <si>
    <t>Xe Fuji 133S</t>
  </si>
  <si>
    <t>Xe đạp điện Huyndai</t>
  </si>
  <si>
    <t>Giá vốn bán hàng</t>
  </si>
  <si>
    <t>Nhu cầu</t>
  </si>
  <si>
    <t>Vay</t>
  </si>
  <si>
    <t xml:space="preserve">C </t>
  </si>
  <si>
    <t>Kinh doanh xe đạp điện</t>
  </si>
  <si>
    <t>Mã hàng</t>
  </si>
  <si>
    <t>Loại gỗ</t>
  </si>
  <si>
    <t>Số Lượng</t>
  </si>
  <si>
    <t>Giá nhập MB</t>
  </si>
  <si>
    <t>Thành tiền 6 tháng</t>
  </si>
  <si>
    <t>Thành tiền 1 năm</t>
  </si>
  <si>
    <t>CHI PHÍ</t>
  </si>
  <si>
    <t>Tủ 3 buồng Hương xám</t>
  </si>
  <si>
    <t>Hương xám</t>
  </si>
  <si>
    <t>Tủ 3 buồng Gội</t>
  </si>
  <si>
    <t>Gội</t>
  </si>
  <si>
    <t>Tủ 3 buồng Min</t>
  </si>
  <si>
    <t>Min (ép)</t>
  </si>
  <si>
    <t>Tủ 2 buồng Min</t>
  </si>
  <si>
    <t>Tran thờ</t>
  </si>
  <si>
    <t>Lát</t>
  </si>
  <si>
    <t>Tủ thờ loại 1</t>
  </si>
  <si>
    <t>Tủ thờ loại 2</t>
  </si>
  <si>
    <t>Ông Địa 41cm</t>
  </si>
  <si>
    <t>Tạp</t>
  </si>
  <si>
    <t>Ông Địa 48cm</t>
  </si>
  <si>
    <t>Ông Địa 56cm</t>
  </si>
  <si>
    <t>Bàn thờ treo 0,8m</t>
  </si>
  <si>
    <t>Bàn thờ treo 1m</t>
  </si>
  <si>
    <t>Bàn thờ treo 1m2</t>
  </si>
  <si>
    <t>Chân bàn thờ treo</t>
  </si>
  <si>
    <t>Cặp</t>
  </si>
  <si>
    <t>Tủ giày dép Sồi</t>
  </si>
  <si>
    <t>Sồi</t>
  </si>
  <si>
    <t>Tủ giày dép Gội</t>
  </si>
  <si>
    <t>Kệ tivi Cột nho - Hương đá</t>
  </si>
  <si>
    <t>Hương đá</t>
  </si>
  <si>
    <t>Kệ tivi Cột nho - Gõ</t>
  </si>
  <si>
    <t>Gõ</t>
  </si>
  <si>
    <t>Kệ tivi Mở cong Hương đá</t>
  </si>
  <si>
    <t>Kệ tivi Mở cong Gõ</t>
  </si>
  <si>
    <t>Kệ tivi Trụ Lát</t>
  </si>
  <si>
    <t>Kệ tivi Lai cách Lát</t>
  </si>
  <si>
    <t>Kệ tivi Bo Lát</t>
  </si>
  <si>
    <t>Giường Hương xám 1m6</t>
  </si>
  <si>
    <t>Giường Gội 1m6</t>
  </si>
  <si>
    <t>Giường Keo 1m6</t>
  </si>
  <si>
    <t>Keo</t>
  </si>
  <si>
    <t>Giường Sồi 1m6</t>
  </si>
  <si>
    <t>Giường ngủ BT</t>
  </si>
  <si>
    <t>Thường</t>
  </si>
  <si>
    <t>Thang kê</t>
  </si>
  <si>
    <t>Liếp + Thang</t>
  </si>
  <si>
    <t>Liếp</t>
  </si>
  <si>
    <t>Bàn ghế Hương đá</t>
  </si>
  <si>
    <t>Bàn ghế Gõ</t>
  </si>
  <si>
    <t>Bàn Khổng Tử Hương đá</t>
  </si>
  <si>
    <t>Bàn ghế Lát hộp</t>
  </si>
  <si>
    <t>Bàn ghế Hương đá Hộp</t>
  </si>
  <si>
    <t>Bàn ghế Minh Đào</t>
  </si>
  <si>
    <t>Xà cừ</t>
  </si>
  <si>
    <t>Bàn ghế Lát tay đặc</t>
  </si>
  <si>
    <t>Bàn ghế Lát tay vuông</t>
  </si>
  <si>
    <t>Bàn ghế Lát tay voi</t>
  </si>
  <si>
    <t>Bàn ghế Âu Á</t>
  </si>
  <si>
    <t>Bàn ăn Sồi</t>
  </si>
  <si>
    <t>Bàn ăn Gội</t>
  </si>
  <si>
    <t>Bàn trang điểm Hương xám</t>
  </si>
  <si>
    <t>Bàn trang điểm Gội (1 cánh)</t>
  </si>
  <si>
    <t>Gội (1 cánh)</t>
  </si>
  <si>
    <t>Bàn trang điểm Gội (3 hộp)</t>
  </si>
  <si>
    <t>Gội (3 hộp)</t>
  </si>
  <si>
    <t>Bàn học sinh</t>
  </si>
  <si>
    <t>Cao su</t>
  </si>
  <si>
    <t>Bàn chữ Z</t>
  </si>
  <si>
    <t>Giá sách 1m2</t>
  </si>
  <si>
    <t>Giá sách 1m</t>
  </si>
  <si>
    <t>Sopha Keo</t>
  </si>
  <si>
    <t>Sopha Lát</t>
  </si>
  <si>
    <t>Bàn Vi tính MDF</t>
  </si>
  <si>
    <t>Bàn Vi tính Cao su</t>
  </si>
  <si>
    <t>Phản quế</t>
  </si>
  <si>
    <t>Chi trả nhân công (kế toán)</t>
  </si>
  <si>
    <t xml:space="preserve">Chi trả nhân công </t>
  </si>
  <si>
    <t>Dịch vụ gia công</t>
  </si>
  <si>
    <t>Khấu hao showroom</t>
  </si>
  <si>
    <t>LỢI NHUẬN</t>
  </si>
  <si>
    <t>Kinh doanh đồ nội thất gỗ</t>
  </si>
  <si>
    <t>Tủ bếp</t>
  </si>
  <si>
    <t>Tủ quần áo</t>
  </si>
  <si>
    <t>Bộ cửa</t>
  </si>
  <si>
    <t>Tủ giày, dép</t>
  </si>
  <si>
    <t>Tủ hồ sơ</t>
  </si>
  <si>
    <t>Bàn làm việc</t>
  </si>
  <si>
    <t>Kệ gỗ trang trí</t>
  </si>
  <si>
    <t>Bàn, ghế, salon</t>
  </si>
  <si>
    <t>Chi trả nhân công (nhân viên bán hàng)</t>
  </si>
  <si>
    <t>Kinh doanh nội thất gỗ (tủ, giường, bàn làm việc...)</t>
  </si>
  <si>
    <t xml:space="preserve">Số Lượng </t>
  </si>
  <si>
    <t>Số Lượng BQ 6 tháng</t>
  </si>
  <si>
    <t xml:space="preserve">Thành Tiền </t>
  </si>
  <si>
    <t>Chi Phí</t>
  </si>
  <si>
    <t>Bồn cầu Inax AC-991VRN</t>
  </si>
  <si>
    <t>Bồn cầu Inax AC-909VRN</t>
  </si>
  <si>
    <t>Bồn cầu Inax nắp shower toilet C-504A</t>
  </si>
  <si>
    <t>Bồn cầu + Chậu rửa mặt L-280V</t>
  </si>
  <si>
    <t>Sen tắm inax BFV 1403S</t>
  </si>
  <si>
    <t>Vòi rửa bát inax 802S</t>
  </si>
  <si>
    <t>Sen tắm cây inax BFV 1205S</t>
  </si>
  <si>
    <t>Sen tắm nhiệt độ BFV 4C</t>
  </si>
  <si>
    <t>Vòi rửa và sen tắm BFV-1103S</t>
  </si>
  <si>
    <t>Vòi chậu lavabo LFV-30002S</t>
  </si>
  <si>
    <t>Vòi chậu lavabo LFV-8000S</t>
  </si>
  <si>
    <t>Chậu và chân chậu L-297V</t>
  </si>
  <si>
    <t>Chậu rửa treo tường L-238V</t>
  </si>
  <si>
    <t>Chậu rửa âm bàn L-2216V</t>
  </si>
  <si>
    <t>Chậu rửa mặt đặt bàn AL-536V</t>
  </si>
  <si>
    <t>Gạch ốp tường Viglacera 30x45</t>
  </si>
  <si>
    <t>Gạch ốp tường Viglacera 30x60</t>
  </si>
  <si>
    <t>Gạch lát nền nhà tắm Viglacera 30x30</t>
  </si>
  <si>
    <t>Gạch lát nền nhà tắm Viglacera 40x40</t>
  </si>
  <si>
    <t>Gạch ốp chân tường Viglaxera 15x80</t>
  </si>
  <si>
    <t>Gạch ốp chân tường Viglaxera 60x86</t>
  </si>
  <si>
    <t>Gạch Đồng Tâm 8080FP 80x80-0001</t>
  </si>
  <si>
    <t>Gạch Đồng Tâm 8080FP 80x80-0002</t>
  </si>
  <si>
    <t>Gạch Đồng Tâm 8080N 80x80-0001</t>
  </si>
  <si>
    <t>Gạch Đồng Tâm 6060FP 60x60-0001</t>
  </si>
  <si>
    <t>Gạch Đồng Tâm 6060FP 60x60-0002</t>
  </si>
  <si>
    <t>Gạch Đồng Tâm 6060DA 60x60-0005</t>
  </si>
  <si>
    <t>Gạch Đồng Tâm 4GA1 40x40</t>
  </si>
  <si>
    <t>Gạch Đồng Tâm 4GA2 40x40</t>
  </si>
  <si>
    <t>Gạch Đồng Tâm 485 40x40</t>
  </si>
  <si>
    <t>Gạch Đồng Tâm 3030GA1 30x30</t>
  </si>
  <si>
    <t>Gạch Đồng Tâm 3030GA2LA 30x30</t>
  </si>
  <si>
    <t>Gạch Đồng Tâm 3030MOSAI 30x30</t>
  </si>
  <si>
    <t>Chi phí lãi vay</t>
  </si>
  <si>
    <t>Chi phí vận chuyển</t>
  </si>
  <si>
    <t>Doanh Thu</t>
  </si>
  <si>
    <t>Thành tiền mỗi tháng</t>
  </si>
  <si>
    <t>Thành tiền mỗi năm</t>
  </si>
  <si>
    <t>Chi phí môi giới</t>
  </si>
  <si>
    <t>Thuế môn bài hàng năm</t>
  </si>
  <si>
    <t>lệ phí trước bạ</t>
  </si>
  <si>
    <t>Chi phí marketing</t>
  </si>
  <si>
    <t>Khấu hao (25 năm)</t>
  </si>
  <si>
    <t>Lương bảo vệ (2 người x theo ca 12 tiếng/ca, 1 người/ca)</t>
  </si>
  <si>
    <t>Lương tiếp tân (4 người x theo ca 12 tiếng, 2 người/ca)</t>
  </si>
  <si>
    <t>Đồng phục nhân viên (6 bộ)</t>
  </si>
  <si>
    <t>Tiền điện</t>
  </si>
  <si>
    <t>Tiền nước</t>
  </si>
  <si>
    <t>Chi phí khác (bút bi, sổ, khăn, thảm, mực in, xà bông, dầu gội, khăn lau, ghế bảo vệ)</t>
  </si>
  <si>
    <t>Phí thuê phòng (7 tầng x trung bình 4 phòng/tầng/ngày x 500.000/ngày x 150 ngày)</t>
  </si>
  <si>
    <t>Tổ chức sự kiện</t>
  </si>
  <si>
    <t>Dịch vụ khác</t>
  </si>
  <si>
    <t>Kinh doanh nhà nghỉ</t>
  </si>
  <si>
    <t>Bình quân 1 năm</t>
  </si>
  <si>
    <t>Bia Sài Gòn</t>
  </si>
  <si>
    <t>Két</t>
  </si>
  <si>
    <t>Bia Tiger</t>
  </si>
  <si>
    <t>Bia Heniken</t>
  </si>
  <si>
    <t>Bia Huda</t>
  </si>
  <si>
    <t>Nước ngọt các loại (trà xanh, C2, number one…..)</t>
  </si>
  <si>
    <t>Thịt bò</t>
  </si>
  <si>
    <t>Kg</t>
  </si>
  <si>
    <t>Thịt gà</t>
  </si>
  <si>
    <t>Thịt lợn</t>
  </si>
  <si>
    <t>Tôm</t>
  </si>
  <si>
    <t>Cá các loại</t>
  </si>
  <si>
    <t>Mực</t>
  </si>
  <si>
    <t>Rượu</t>
  </si>
  <si>
    <t>Chai</t>
  </si>
  <si>
    <t>Hoa quả tươi</t>
  </si>
  <si>
    <t>Trả lương nhân viên phục vụ</t>
  </si>
  <si>
    <t>Lương đầu bếp</t>
  </si>
  <si>
    <t>Thu từ bán đồ ăn (dự kiến mỗi ngày trung bình 8 mâm x 2 triệu/mâm x 250 ngày)</t>
  </si>
  <si>
    <t>Thu từ tổ chức sự kiện, tiệc cưới (mỗi năm trung bình 10 đám cưới + 10 tiệc sinh nhật +4 bữa tiệc khác)</t>
  </si>
  <si>
    <t>Kinh doanh nhà hàng tiệc cưới</t>
  </si>
  <si>
    <t>Uốn, nhuộm 30 ngày x 2 khách/ngày x 200.000 đồng/khách</t>
  </si>
  <si>
    <t>Cắt tóc: 30 ngày x 30 khách/ngày x 40.000 đồng/khách</t>
  </si>
  <si>
    <t>Kinh doanh dịch vụ cắt tóc, uốn, nhuộm</t>
  </si>
  <si>
    <t>Kinh doanh vật liệu xây dựng (sơn, gạch)</t>
  </si>
  <si>
    <t>Thành Tiền 6 tháng</t>
  </si>
  <si>
    <t>Thành Tiền 1 năm</t>
  </si>
  <si>
    <t>Xi măng Nghi Sơn PC40</t>
  </si>
  <si>
    <t>Bao 50 kg</t>
  </si>
  <si>
    <t>Xi măng Hoàng Mai PC40</t>
  </si>
  <si>
    <t>Xi măng The ViSSai PCB40</t>
  </si>
  <si>
    <t>Xi măng Thăng Long PCB40</t>
  </si>
  <si>
    <t>Thép cuộn Phi 6</t>
  </si>
  <si>
    <t>Thép cuộn Phi 8</t>
  </si>
  <si>
    <t>Thép Phi 10</t>
  </si>
  <si>
    <t>Cây (11.7m)</t>
  </si>
  <si>
    <t>Thép Phi 12</t>
  </si>
  <si>
    <t>Thép Phi 14</t>
  </si>
  <si>
    <t>Thép Phi 16</t>
  </si>
  <si>
    <t>Thép Phi 18</t>
  </si>
  <si>
    <t>Thép Phi 20</t>
  </si>
  <si>
    <t>Thép Phi 22</t>
  </si>
  <si>
    <t>Thép Phi 25</t>
  </si>
  <si>
    <t>Hộp kẽm 20x40 (2.3ly)</t>
  </si>
  <si>
    <t>Hộp kẽm 30x60(từ 2.3ly)</t>
  </si>
  <si>
    <t>Hộp kẽm 50x50 (từ 2-2.5 ly)</t>
  </si>
  <si>
    <t>Các loại khác</t>
  </si>
  <si>
    <t xml:space="preserve"> </t>
  </si>
  <si>
    <t>nhân viên</t>
  </si>
  <si>
    <t>Kinh doanh vật liệu xây dựng (xi măng, sắt, thép)</t>
  </si>
  <si>
    <t>Số lượng (kg)</t>
  </si>
  <si>
    <t xml:space="preserve">Tổng tiền </t>
  </si>
  <si>
    <t>Vải cm 30</t>
  </si>
  <si>
    <t>Vải thun cotton 30</t>
  </si>
  <si>
    <t>Vải thun cotton 40</t>
  </si>
  <si>
    <t>Giá vải thun Rip Cotton</t>
  </si>
  <si>
    <t>Giá vải Rip Tixi</t>
  </si>
  <si>
    <t>Giá thun Cotton Sớ gỗ</t>
  </si>
  <si>
    <t>Ga bọc trắng trơn</t>
  </si>
  <si>
    <t>Giá tici 30</t>
  </si>
  <si>
    <t>Giá vải Da cá tici</t>
  </si>
  <si>
    <t>Giá thun Xẹc xây ( interlock)( lót )</t>
  </si>
  <si>
    <t>Giá thun Cát hàn</t>
  </si>
  <si>
    <t>Giá vải Voan Khổ 1m6,1kg 7m</t>
  </si>
  <si>
    <t>Số lượng (chiếc)</t>
  </si>
  <si>
    <t>Áo sơ mi</t>
  </si>
  <si>
    <t>Quần âu</t>
  </si>
  <si>
    <t>Áo da</t>
  </si>
  <si>
    <t>Đồ ngủ</t>
  </si>
  <si>
    <t>Các loại quần áo khác</t>
  </si>
  <si>
    <t>Kinh doanh phụ liệu may mặc (vải vóc)</t>
  </si>
  <si>
    <t>Tủ lạnh hãng Panasonic</t>
  </si>
  <si>
    <t>điều hòa Panasonic</t>
  </si>
  <si>
    <t>Máy giặt Sap</t>
  </si>
  <si>
    <t>Máy lọc nước</t>
  </si>
  <si>
    <t>Bếp ga</t>
  </si>
  <si>
    <t>Nồi cơm</t>
  </si>
  <si>
    <t>Số hóa đơn</t>
  </si>
  <si>
    <t>Ngày thanh toán 
hóa đơn</t>
  </si>
  <si>
    <t>Giá trị hóa đơn</t>
  </si>
  <si>
    <t>Kinh doanh hàng điện máy</t>
  </si>
  <si>
    <t xml:space="preserve">Trang phục võ cổ truyền </t>
  </si>
  <si>
    <t>Bao đấm 80 cm</t>
  </si>
  <si>
    <t>Bao đấm 1,2 m</t>
  </si>
  <si>
    <t>Bao đấm 1,8 m</t>
  </si>
  <si>
    <t>Khung treo Boxing</t>
  </si>
  <si>
    <t>Băng cuốn tay</t>
  </si>
  <si>
    <t>Cuộn</t>
  </si>
  <si>
    <t>Bóng tập đấm lắc phản xạ</t>
  </si>
  <si>
    <t>Trụ đấm- đá tự đứng</t>
  </si>
  <si>
    <t>Trụ mộc nhân</t>
  </si>
  <si>
    <t>Đích tập đấm</t>
  </si>
  <si>
    <t>Găng tay</t>
  </si>
  <si>
    <t>Bộ bảo hộ (mũ, răng, ngực …)</t>
  </si>
  <si>
    <t>Chi nhân viên</t>
  </si>
  <si>
    <t>Mở cơ sở dạy võ cổ truyền</t>
  </si>
  <si>
    <t>Đơn Vị</t>
  </si>
  <si>
    <t>Thành tiền 1 tháng</t>
  </si>
  <si>
    <t>Nhân viên</t>
  </si>
  <si>
    <t>Bếp chính</t>
  </si>
  <si>
    <t xml:space="preserve">Điện nước </t>
  </si>
  <si>
    <t>Thực phẩm (Cơm)</t>
  </si>
  <si>
    <t>Thực phẩm (Bún miến)</t>
  </si>
  <si>
    <t>Thực phẩm (gà, cá, tôm ….</t>
  </si>
  <si>
    <t>Cơm văn phòng</t>
  </si>
  <si>
    <t>Bún miến</t>
  </si>
  <si>
    <t>Bình quân 1 tháng</t>
  </si>
  <si>
    <t>Thu từ bán café, sinh tố……</t>
  </si>
  <si>
    <t>Thu từ bán thức uống sẵn</t>
  </si>
  <si>
    <t>Kinh doanh quán cơm bình dân</t>
  </si>
  <si>
    <t>Áo công sở hãng Việt Tiến</t>
  </si>
  <si>
    <t xml:space="preserve">Áo công sở </t>
  </si>
  <si>
    <t>Áo công sở  hãng Thaco</t>
  </si>
  <si>
    <t>Áo khoác</t>
  </si>
  <si>
    <t>Quần nam</t>
  </si>
  <si>
    <t>Quần áo trẻ em nữ</t>
  </si>
  <si>
    <t>Quần áo trẻ em nam</t>
  </si>
  <si>
    <t>Váy bộ người lớn</t>
  </si>
  <si>
    <t>Quần áo nữ người lớn</t>
  </si>
  <si>
    <t>Giày da nam</t>
  </si>
  <si>
    <t>Giày da nữ</t>
  </si>
  <si>
    <t>Giày thể thao</t>
  </si>
  <si>
    <t>Dép quai hậu</t>
  </si>
  <si>
    <t>Giày cao gót</t>
  </si>
  <si>
    <t>Các loại đồ áo khác</t>
  </si>
  <si>
    <t>Đồ chơi trẻ nhỏ</t>
  </si>
  <si>
    <t>Kinh doanh quần áo thể thao</t>
  </si>
  <si>
    <t>Vở các loại</t>
  </si>
  <si>
    <t>cuốn</t>
  </si>
  <si>
    <t>Nhóm bút bi</t>
  </si>
  <si>
    <t>Nhóm bút chì</t>
  </si>
  <si>
    <t>Nhóm bút GEL mực nước</t>
  </si>
  <si>
    <t>Nhóm bút lông bảng</t>
  </si>
  <si>
    <t>Nhóm bút lông dầu</t>
  </si>
  <si>
    <t>Bút lông tô màu</t>
  </si>
  <si>
    <t>Nhóm bút sáp</t>
  </si>
  <si>
    <t>Nhóm bút xóa</t>
  </si>
  <si>
    <t>Nhóm gôm, tẩy</t>
  </si>
  <si>
    <t>Nhóm mực</t>
  </si>
  <si>
    <t>Nhóm bút dạ quang</t>
  </si>
  <si>
    <t>Giấy in A3, A4, A5</t>
  </si>
  <si>
    <t>thùng</t>
  </si>
  <si>
    <t>Băng dính các loại</t>
  </si>
  <si>
    <t>cuộn</t>
  </si>
  <si>
    <t>Nhóm sổ ghi chép</t>
  </si>
  <si>
    <t>File đựng hồ sơ</t>
  </si>
  <si>
    <t>Dấu in, mực in</t>
  </si>
  <si>
    <t>Nhóm dập ghim, ghim</t>
  </si>
  <si>
    <t>Lương nhân viên (năm)</t>
  </si>
  <si>
    <t>Điện nước (năm)</t>
  </si>
  <si>
    <t>Dịch vụ mạng (năm)</t>
  </si>
  <si>
    <t>Kinh doanh hàng văn phòng phẩm</t>
  </si>
  <si>
    <t>Số lượng trung bình ngày</t>
  </si>
  <si>
    <t>Số lượng trung bình 05 tháng</t>
  </si>
  <si>
    <t>Café tươi</t>
  </si>
  <si>
    <t>Café hòa tan</t>
  </si>
  <si>
    <t>Sữa</t>
  </si>
  <si>
    <t>Hương liệu</t>
  </si>
  <si>
    <t>Đường</t>
  </si>
  <si>
    <t>Trà</t>
  </si>
  <si>
    <t>Bột mì</t>
  </si>
  <si>
    <t>Kem</t>
  </si>
  <si>
    <t>Kem tươi</t>
  </si>
  <si>
    <t>Dầu o liu</t>
  </si>
  <si>
    <t>Hương liệu thực phẩm</t>
  </si>
  <si>
    <t>lọ</t>
  </si>
  <si>
    <t>Bơ</t>
  </si>
  <si>
    <t>Nước ngọt</t>
  </si>
  <si>
    <t xml:space="preserve">Điện nước  </t>
  </si>
  <si>
    <t>bánh ngọt</t>
  </si>
  <si>
    <t>Bánh kem nhỏ</t>
  </si>
  <si>
    <t>Bánh kem to</t>
  </si>
  <si>
    <t>Café ly</t>
  </si>
  <si>
    <t>Kinh doanh tiệm bánh ngọt</t>
  </si>
  <si>
    <t>Kinh doanh quần áo</t>
  </si>
  <si>
    <t>Đá hộc</t>
  </si>
  <si>
    <t>Gạch táp lô</t>
  </si>
  <si>
    <t>Viên</t>
  </si>
  <si>
    <t>Gạch đỏ</t>
  </si>
  <si>
    <t>viên</t>
  </si>
  <si>
    <t>Cát</t>
  </si>
  <si>
    <t>Xi măng</t>
  </si>
  <si>
    <t>Tấn</t>
  </si>
  <si>
    <t>Sắt thép</t>
  </si>
  <si>
    <t>Ngói</t>
  </si>
  <si>
    <t>Gạch ốp tường</t>
  </si>
  <si>
    <t xml:space="preserve"> Gạch lát nền </t>
  </si>
  <si>
    <t xml:space="preserve"> Hoành gỗ</t>
  </si>
  <si>
    <t>đường</t>
  </si>
  <si>
    <t>Gỗ rui, mè</t>
  </si>
  <si>
    <t>m</t>
  </si>
  <si>
    <t xml:space="preserve"> Sơn tường </t>
  </si>
  <si>
    <t xml:space="preserve"> Đồ điện, nước </t>
  </si>
  <si>
    <t xml:space="preserve"> Tổng cộng </t>
  </si>
  <si>
    <t>Xây nhà ở</t>
  </si>
  <si>
    <t>Kinh doanh thiết bị vệ sinh (gạch ốp lát, chậu rửa, bồn cầu...)</t>
  </si>
  <si>
    <t>Kinh doanh hàng kim khí</t>
  </si>
  <si>
    <t>Click vào "MENU" để mở danh mục các sheet PAVV</t>
  </si>
  <si>
    <t>Ghi chú: ô C1 nhập tên của phương án vay vốn để hiển thị lên menu</t>
  </si>
  <si>
    <t>Bấm "MENU" để mở danh mục các sheet PAVV. Có thể thêm hoặc xóa bớt sheet (không được xóa</t>
  </si>
  <si>
    <t>Năm 3 (Nguồn thu - CP cố định - Cp chăm sóc - Gốc - Lãi)</t>
  </si>
  <si>
    <t>Năm 2 (Nguồn thu - CP cố định - Cp chăm sóc - Gốc - Lãi)</t>
  </si>
  <si>
    <t>Năm 1 (Nguồn thu - CP cố định - Cp chăm sóc - Gốc - Lãi)</t>
  </si>
  <si>
    <t>=</t>
  </si>
  <si>
    <t xml:space="preserve">Tổng thu  - Tổng chi phí = </t>
  </si>
  <si>
    <t>Tổng thu - Gốc - Lãi khoản vay</t>
  </si>
  <si>
    <t>Lợi nhuận còn lai</t>
  </si>
  <si>
    <t>Nguồn tu từ hoạt động chăn nuôi nhỏ hỗn hợp gà, vịt và trồng hoa màu xen canh</t>
  </si>
  <si>
    <t>x 4 tấn/ha x 60 triệu/tấn</t>
  </si>
  <si>
    <t>Nguồn thu từ phương án chăm sóc cà phê</t>
  </si>
  <si>
    <t>Nguồn thu:</t>
  </si>
  <si>
    <t>Năm 3</t>
  </si>
  <si>
    <t>Năm 2</t>
  </si>
  <si>
    <t>Năm 1</t>
  </si>
  <si>
    <t>20,000,000đ/ha x</t>
  </si>
  <si>
    <t>Khoán chăm sóc café</t>
  </si>
  <si>
    <t>Chi phí khoán</t>
  </si>
  <si>
    <t>Kế hoạch trả nợ gốc</t>
  </si>
  <si>
    <t>Chi trả lãi Ngân hàng năm 3</t>
  </si>
  <si>
    <t>Chi trả lãi Ngân hàng năm 2</t>
  </si>
  <si>
    <t>Chi trả lãi Ngân hàng năm 1</t>
  </si>
  <si>
    <t>Chi phí gián tiếp:</t>
  </si>
  <si>
    <t>Chi phí nhân công (có kinh nghiệm)</t>
  </si>
  <si>
    <t>Chi phí khác (công cụ, dụng cụ, đồ bảo hộ, vận chuyển …)</t>
  </si>
  <si>
    <t xml:space="preserve">Dầu tưới </t>
  </si>
  <si>
    <t>Thuốc bệnh (2 đợt)</t>
  </si>
  <si>
    <t xml:space="preserve">Thuốc sâu </t>
  </si>
  <si>
    <t xml:space="preserve">Phân hữu cơ </t>
  </si>
  <si>
    <t xml:space="preserve">Phân bón lá (2 đợt) </t>
  </si>
  <si>
    <t xml:space="preserve">Phân Kali (3 đợt) </t>
  </si>
  <si>
    <t>Phân Lân</t>
  </si>
  <si>
    <t>Phân SA</t>
  </si>
  <si>
    <t>Phân Urê (3 đợt)</t>
  </si>
  <si>
    <t xml:space="preserve">Số lượng </t>
  </si>
  <si>
    <t>Đvt</t>
  </si>
  <si>
    <t xml:space="preserve">Hạng mục, vật tư </t>
  </si>
  <si>
    <t>Stt</t>
  </si>
  <si>
    <t>Chi phí trực tiếp chăm sóc cho 1 ha (Tham khảo định mức theo QĐ 06/2022/QĐ-UBND ngày 24/01/2022)</t>
  </si>
  <si>
    <t>Ha</t>
  </si>
  <si>
    <t>Chi phí trưc tiếp chăm sóc</t>
  </si>
  <si>
    <t>Chi phí đầu tư phân bổ trong 03 năm, mỗi năm phải khấu trừ số tiền là:</t>
  </si>
  <si>
    <t xml:space="preserve">Chi phí trực tiếp </t>
  </si>
  <si>
    <t>Khoan giếng</t>
  </si>
  <si>
    <t>Kéo điện</t>
  </si>
  <si>
    <t>Làm sân phơi, nhà phụ cấp 4</t>
  </si>
  <si>
    <t>01 cối x 5 000 000đ/cối =</t>
  </si>
  <si>
    <t>Mua cối xay:</t>
  </si>
  <si>
    <t>Hệ thống tưới</t>
  </si>
  <si>
    <t>Mua dàn máy tưới + bơm:</t>
  </si>
  <si>
    <t>Chi phí đầu tư máy móc phục vụ sản xuất</t>
  </si>
  <si>
    <t xml:space="preserve">Tổng chi phí </t>
  </si>
  <si>
    <t>Chăm sóc cà phê</t>
  </si>
  <si>
    <t>Chăn nuôi bò vỗ béo</t>
  </si>
  <si>
    <t>Vốn vay Ngân hàng</t>
  </si>
  <si>
    <t>Tỷ lệ vốn đối ứng tổng</t>
  </si>
  <si>
    <t>Trong đó:</t>
  </si>
  <si>
    <t>Tổng nhu cầu vốn:</t>
  </si>
  <si>
    <t>Trồng cà phê (trung hạn)</t>
  </si>
  <si>
    <t xml:space="preserve">đồng.  </t>
  </si>
  <si>
    <t>Chênh lệch thu chi trong năm</t>
  </si>
  <si>
    <t>Vốn xin vay ngân hàng</t>
  </si>
  <si>
    <t>Vốn tự có và vốn khác</t>
  </si>
  <si>
    <t>Nhu cầu vốn lưu động trong kỳ</t>
  </si>
  <si>
    <t>vòng.</t>
  </si>
  <si>
    <t>02</t>
  </si>
  <si>
    <t>Số vòng quay vốn trong năm:</t>
  </si>
  <si>
    <t>+ Chi trả lãi vay ngân hàng</t>
  </si>
  <si>
    <t>+ Chi phí SXKD (điện, nước, thuế…)</t>
  </si>
  <si>
    <t>+ Chi phí nhân công (vận chuyển, bốc dỡ, bảo quản)</t>
  </si>
  <si>
    <t>+ Chi phí nhập hàng hóa</t>
  </si>
  <si>
    <t>đồng. Trong đó:</t>
  </si>
  <si>
    <t>Tổng chi phí sản xuất kinh doanh trong 01 năm:</t>
  </si>
  <si>
    <t>TỔNG CỘNG</t>
  </si>
  <si>
    <t>Thảo quả</t>
  </si>
  <si>
    <t>Sa nhân</t>
  </si>
  <si>
    <t>Cám gạo</t>
  </si>
  <si>
    <t>Gạo nếp các loại</t>
  </si>
  <si>
    <t>Gạo tẻ các loại</t>
  </si>
  <si>
    <t>Ngô hạt</t>
  </si>
  <si>
    <t>Thóc</t>
  </si>
  <si>
    <t>Chênh lệch</t>
  </si>
  <si>
    <t xml:space="preserve">Chi phí </t>
  </si>
  <si>
    <t>Giá mua</t>
  </si>
  <si>
    <t>Tên hàng hóa</t>
  </si>
  <si>
    <t>Kinh doanh hàng nông, lâm, sản</t>
  </si>
  <si>
    <t>Lợi nhuận và phương án trả nợ:</t>
  </si>
  <si>
    <t>140000000 x</t>
  </si>
  <si>
    <t>Chi trả lãi Ngân hàng</t>
  </si>
  <si>
    <t xml:space="preserve">                                       </t>
  </si>
  <si>
    <t>Ngày công lao động</t>
  </si>
  <si>
    <t>Vốn bằng tiền</t>
  </si>
  <si>
    <t>Nhu cầu vốn</t>
  </si>
  <si>
    <t xml:space="preserve">    </t>
  </si>
  <si>
    <t>nhập tay số tiền vay</t>
  </si>
  <si>
    <t xml:space="preserve"> + Vốn vay ngân hàng ngắn hạn:</t>
  </si>
  <si>
    <t>Trong đó: + Vốn tự có:</t>
  </si>
  <si>
    <t>Nhu cầu vốn:</t>
  </si>
  <si>
    <t>Kế hoạch vay vốn:</t>
  </si>
  <si>
    <t>B. Kế hoạch vay vốn và trả nợ ngân hàng:</t>
  </si>
  <si>
    <t>Thu nhập sau khi trả lãi (III-IV)</t>
  </si>
  <si>
    <t>nhớ sửa lãi suất cho vay</t>
  </si>
  <si>
    <r>
      <t xml:space="preserve">Lãi vay ngân hàng </t>
    </r>
    <r>
      <rPr>
        <sz val="13"/>
        <rFont val="Times New Roman"/>
        <family val="1"/>
      </rPr>
      <t xml:space="preserve">(630 trđ x </t>
    </r>
    <r>
      <rPr>
        <sz val="13"/>
        <color rgb="FFFF0000"/>
        <rFont val="Times New Roman"/>
        <family val="1"/>
      </rPr>
      <t>8,5%/năm)</t>
    </r>
  </si>
  <si>
    <t>Thu nhập (II - I)</t>
  </si>
  <si>
    <t>m³</t>
  </si>
  <si>
    <t>Bán phân bón</t>
  </si>
  <si>
    <t>(Giá trị tăng 30% so giá mua)</t>
  </si>
  <si>
    <t xml:space="preserve">Bán bò thịt </t>
  </si>
  <si>
    <t xml:space="preserve">Tổng doanh thu </t>
  </si>
  <si>
    <t>(01 người x 3 trđ/người/tháng)</t>
  </si>
  <si>
    <t>Công chăn dắt bò</t>
  </si>
  <si>
    <t>Thuốc phòng bệnh (B/q 150.000đ/con)</t>
  </si>
  <si>
    <t>Thức ăn cám công nghiệp</t>
  </si>
  <si>
    <t>nhập tay số mua bò</t>
  </si>
  <si>
    <t>Mua bò gầy</t>
  </si>
  <si>
    <t>m²</t>
  </si>
  <si>
    <t>Sửa chữa chuồng trại từ lần nuôi trước</t>
  </si>
  <si>
    <t>Tổng chi phí:</t>
  </si>
  <si>
    <t>Thành Tiền</t>
  </si>
  <si>
    <t>CHỈ TIÊU</t>
  </si>
  <si>
    <t>ĐVT: Đồng</t>
  </si>
  <si>
    <t>năm thứ 3 = nguồn thu trả nợ - gốc - lãi hàng năm</t>
  </si>
  <si>
    <t>năm thứ 2 = nguồn thu trả nợ - gốc - lãi hàng năm</t>
  </si>
  <si>
    <t>năm thứ 1 = nguồn thu trả nợ - gốc - lãi hàng năm</t>
  </si>
  <si>
    <t>Lợi nhuận: Kế hoạch trả nợ</t>
  </si>
  <si>
    <t>lợi nhuận năm cuối</t>
  </si>
  <si>
    <t>Lợi nhuận/năm</t>
  </si>
  <si>
    <t>Chi Phí chăm sóc/năm</t>
  </si>
  <si>
    <t>(01 con dê TB 8 bao phân ) x 35,000đ/bao</t>
  </si>
  <si>
    <t>Bán phân dê hàng năm</t>
  </si>
  <si>
    <t>Bán dê sau khi kết thúc chu kỳ</t>
  </si>
  <si>
    <t>Bán dê hàng năm</t>
  </si>
  <si>
    <t>Trung bình 01 con dê mẹ sinh được 2 con dê con/năm, giá bán dê khoảng 2.5 triệu đồng/con</t>
  </si>
  <si>
    <t>Dê mang thai trong vòng 5 tháng, mỗi một con có thể sinh 1-3 dê con, trung bình 7 tháng 1 lứa</t>
  </si>
  <si>
    <t>Doanh thu/năm</t>
  </si>
  <si>
    <t>Nguồn thu trả nợ = doanh thu - chi phí</t>
  </si>
  <si>
    <t>x</t>
  </si>
  <si>
    <t xml:space="preserve">Tổng cộng </t>
  </si>
  <si>
    <t>12 tháng</t>
  </si>
  <si>
    <t>Công chăm sóc (đã có kinh nghiệm) tính bình quân theo tháng (5 trđ/tháng) x</t>
  </si>
  <si>
    <t>Vắc xin, thuốc bổ, hóa chất sát trùng /khử khuẩn trung bình 70.000 đồng/con</t>
  </si>
  <si>
    <t>Thức ăn cho dê con tới khi xuất bán trung bình cho 1 năm</t>
  </si>
  <si>
    <t>Thức ăn (hỗn hợp hoàn chỉnh-BQ)</t>
  </si>
  <si>
    <t>Chi phí trong 01 năm</t>
  </si>
  <si>
    <t>nuôi</t>
  </si>
  <si>
    <t>Chi phí trong</t>
  </si>
  <si>
    <t>Chi phí sửa lại chuồng trại (TB 3m2/con)</t>
  </si>
  <si>
    <t>Mua dê giống đực</t>
  </si>
  <si>
    <t>Mua dê giống cái</t>
  </si>
  <si>
    <t>Đối với phương án nuôi dê sinh sản(Tham khảo định mức theo QĐ 726/QĐ-BNN-KN ngày 24/02/2022)</t>
  </si>
  <si>
    <t xml:space="preserve">a) </t>
  </si>
  <si>
    <t>Chi phí trực tiếp mua dê và sửa chuồng trại</t>
  </si>
  <si>
    <t>Chăn nuôi dê</t>
  </si>
  <si>
    <t xml:space="preserve">Chi nộp thuế </t>
  </si>
  <si>
    <t>Chi trả lãi vay ngân hàng (dự kiến 10%)</t>
  </si>
  <si>
    <t>2.4</t>
  </si>
  <si>
    <t>Chi phí SXKD (điện, nước, internet, điện thọai, sửa chữa bảo dưỡng máy móc…)</t>
  </si>
  <si>
    <t>Chi phí nhân công  ( 1 người )</t>
  </si>
  <si>
    <t>Chi phí nhập hàng hóa</t>
  </si>
  <si>
    <t>Tổng nhu cầu vốn trong năm</t>
  </si>
  <si>
    <t>Tổng doanh thu bán hàng trong 01 năm:</t>
  </si>
  <si>
    <t>Phụ kiện ( ốp điện thoại, tai nghe, dây sạc )</t>
  </si>
  <si>
    <t>Xiaomi 13 Lite</t>
  </si>
  <si>
    <t>Nokia C32 4GB/128GB</t>
  </si>
  <si>
    <t>Samsung Galaxy X Fold5 12GB/256GB</t>
  </si>
  <si>
    <t>Oppo A18 4GB/128GB</t>
  </si>
  <si>
    <t>Apple Watch Series 9 GPS 41mm</t>
  </si>
  <si>
    <t>Samsung Galaxy S23 Ultra 8 GB/256GB</t>
  </si>
  <si>
    <t>Samsung Galaxy S20  FE 256 GB</t>
  </si>
  <si>
    <t>Redmi Note 12 Pro (8GB/256GB)</t>
  </si>
  <si>
    <t>Samsung Galaxy S23 Plus</t>
  </si>
  <si>
    <t>Oppo Reno10 5G</t>
  </si>
  <si>
    <t>Redmi Note 12(4GB/128GB)</t>
  </si>
  <si>
    <t>Iphone 13 128GB</t>
  </si>
  <si>
    <t>AirPods Pro 2 (Lightning )</t>
  </si>
  <si>
    <t>Iphone 11 64GB</t>
  </si>
  <si>
    <t>Iphone 15 Plus 128GB</t>
  </si>
  <si>
    <t>Iphone 15 Pro  128 GB</t>
  </si>
  <si>
    <t>Iphone 12 64GB</t>
  </si>
  <si>
    <t>Iphone 15 Pro Max 256GB</t>
  </si>
  <si>
    <t>Kinh doanh điện thoại di động</t>
  </si>
  <si>
    <t>đầu tư thời gian từ 36 đến 72 tháng.</t>
  </si>
  <si>
    <t xml:space="preserve">Tuỳ từng đặc điểm cụ thể từng hộ gia đình, khả năng trả nợ của khách hàng, có thể xem xét </t>
  </si>
  <si>
    <t>LỢI NHUẬN  3 CHU KỲ</t>
  </si>
  <si>
    <t>E</t>
  </si>
  <si>
    <t>Lợi nhuận (con/14 tháng)</t>
  </si>
  <si>
    <t>LỢI NHUẬN (5 con/14 tháng)</t>
  </si>
  <si>
    <t>lứa</t>
  </si>
  <si>
    <t>Giá trị thu hồi</t>
  </si>
  <si>
    <t>Phân chuồng</t>
  </si>
  <si>
    <t xml:space="preserve">Bê đực sinh ra </t>
  </si>
  <si>
    <t>Bê cái sinh ra</t>
  </si>
  <si>
    <t xml:space="preserve">Sữa tươi sản xuất </t>
  </si>
  <si>
    <t>DOANH THU 1 NĂM</t>
  </si>
  <si>
    <t>Lãi vay ngân hàng ( 353 tr * 11%/năm)</t>
  </si>
  <si>
    <t>Máy băm cỏ 15%/chu kỳ</t>
  </si>
  <si>
    <t>d</t>
  </si>
  <si>
    <t>Máy vắt sữa 15%/chu kỳ</t>
  </si>
  <si>
    <t>c</t>
  </si>
  <si>
    <t>Chuồng trại 15%/chu kỳ</t>
  </si>
  <si>
    <t>b</t>
  </si>
  <si>
    <t xml:space="preserve">Giống bò 15%/chu kỳ </t>
  </si>
  <si>
    <t>a</t>
  </si>
  <si>
    <t xml:space="preserve">Khấu hao tài sản </t>
  </si>
  <si>
    <t>Chi phí gián tiếp</t>
  </si>
  <si>
    <t xml:space="preserve"> - Thuốc kháng sinh chữa bênh </t>
  </si>
  <si>
    <t xml:space="preserve">    + Lở mồm long móng</t>
  </si>
  <si>
    <t xml:space="preserve">    + Tụ huyết trùng </t>
  </si>
  <si>
    <t xml:space="preserve"> - Tiêm phòng bênh </t>
  </si>
  <si>
    <t>Chi phí thú y</t>
  </si>
  <si>
    <t xml:space="preserve"> - Dẫn tinh quản </t>
  </si>
  <si>
    <t xml:space="preserve"> - Găng tay </t>
  </si>
  <si>
    <t>cọng</t>
  </si>
  <si>
    <t xml:space="preserve"> - Tinh cọng rạ/1 ca có chửa</t>
  </si>
  <si>
    <t>ca</t>
  </si>
  <si>
    <t xml:space="preserve"> - Kỹ thuật phối giống</t>
  </si>
  <si>
    <t>Chi phí phối giống</t>
  </si>
  <si>
    <t>Chi phí thú y, phối giống</t>
  </si>
  <si>
    <t>Công lao động</t>
  </si>
  <si>
    <t xml:space="preserve">Điện, nước </t>
  </si>
  <si>
    <t>Công cụ, dụng cụ</t>
  </si>
  <si>
    <t>`</t>
  </si>
  <si>
    <t>Công cụ dụng cụ, điện, nước</t>
  </si>
  <si>
    <t xml:space="preserve">Thức ăn thô xanh </t>
  </si>
  <si>
    <t>Khoáng</t>
  </si>
  <si>
    <t xml:space="preserve">Thức ăn tinh </t>
  </si>
  <si>
    <t xml:space="preserve">Thức ăn </t>
  </si>
  <si>
    <t>Chi phí trực tiếp</t>
  </si>
  <si>
    <t xml:space="preserve">CHI PHÍ </t>
  </si>
  <si>
    <t>Vốn vay (80%)</t>
  </si>
  <si>
    <t>Vốn tự có (20%)</t>
  </si>
  <si>
    <t>Cơ cấu nguồn vốn</t>
  </si>
  <si>
    <t xml:space="preserve">Máy băm cỏ </t>
  </si>
  <si>
    <t>Máy vắt sữa</t>
  </si>
  <si>
    <t xml:space="preserve">Chuồng trại </t>
  </si>
  <si>
    <t>Mua giống bò</t>
  </si>
  <si>
    <t xml:space="preserve">Tổng vốn đầu tư ban đầu </t>
  </si>
  <si>
    <t xml:space="preserve">CHI PHÍ ĐẦU TƯ BAN ĐẦU </t>
  </si>
  <si>
    <t xml:space="preserve">Thành tiền 1 con </t>
  </si>
  <si>
    <t xml:space="preserve">Thành tiền (đồng)/5 con </t>
  </si>
  <si>
    <t xml:space="preserve">Đơn giá </t>
  </si>
  <si>
    <t xml:space="preserve">Hạng mục </t>
  </si>
  <si>
    <t>Đơn vị: đồng</t>
  </si>
  <si>
    <t>BẢNG TÍNH HIỆU QUẢ NUÔI BÒ SỮA ( TỪ 5 CON ĐỂ TÍNH 1 CON )</t>
  </si>
  <si>
    <t xml:space="preserve"> - Lãi suất cho vay theo bảng được tính là 8%/năm.</t>
  </si>
  <si>
    <t xml:space="preserve"> - Thời gian cho vay: 04 tháng.</t>
  </si>
  <si>
    <t xml:space="preserve"> - Số tiền cho vay: 20 triệu đồng.</t>
  </si>
  <si>
    <t>* Phần cho vay của Ngân hàng: (tham khảo)</t>
  </si>
  <si>
    <t>Tỷ suất lợi nhuận</t>
  </si>
  <si>
    <t>đ</t>
  </si>
  <si>
    <t>III. LÃI(+), LỖ(-)</t>
  </si>
  <si>
    <t>2.Thu nhập</t>
  </si>
  <si>
    <t>cành</t>
  </si>
  <si>
    <t>1.Sản lượng</t>
  </si>
  <si>
    <t>II.THU NHẬP</t>
  </si>
  <si>
    <t xml:space="preserve">7.Lãi vay NH </t>
  </si>
  <si>
    <t>CỘNG C.PHÍ TRỰC TIẾP</t>
  </si>
  <si>
    <t>6.Công lao động</t>
  </si>
  <si>
    <t>5.Thuốc sâu, dưỡng</t>
  </si>
  <si>
    <t>4.Vôi</t>
  </si>
  <si>
    <t>Các loại khác….</t>
  </si>
  <si>
    <t>KaLi</t>
  </si>
  <si>
    <t>Lân</t>
  </si>
  <si>
    <t>Đạm</t>
  </si>
  <si>
    <t>3.Phân vô cơ</t>
  </si>
  <si>
    <t>2.Phân hữu cơ</t>
  </si>
  <si>
    <t>cây</t>
  </si>
  <si>
    <t>1.Giống</t>
  </si>
  <si>
    <t>I.TỔNG CHI PHÍ</t>
  </si>
  <si>
    <t>giá</t>
  </si>
  <si>
    <t>tính</t>
  </si>
  <si>
    <t>CHI PHÍ ĐẦU TƯ CHĂM SÓC</t>
  </si>
  <si>
    <t>Đơn</t>
  </si>
  <si>
    <t>KHOẢN MỤC</t>
  </si>
  <si>
    <t xml:space="preserve">DIỆN TÍCH SẢN XUẤT: 1,000 m2 </t>
  </si>
  <si>
    <t>ĐỊNH MỨC ĐẦU TƯ TRỒNG VÀ CHĂM SÓC HOA CÚC CHÙM</t>
  </si>
  <si>
    <t xml:space="preserve"> - Số tiền cho vay: 30 triệu đồng.</t>
  </si>
  <si>
    <t>ĐỊNH MỨC ĐẦU TƯ TRỒNG VÀ CHĂM SÓC HOA CÚC ĐÓA</t>
  </si>
  <si>
    <t xml:space="preserve"> - Số tiền cho vay: 270 triệu đồng.</t>
  </si>
  <si>
    <t xml:space="preserve">8.Lãi vay NH </t>
  </si>
  <si>
    <t>7.Công lao động</t>
  </si>
  <si>
    <t>6.Thuốc sâu, dưỡng</t>
  </si>
  <si>
    <t>5.Vôi</t>
  </si>
  <si>
    <t>4.Phân vô cơ</t>
  </si>
  <si>
    <t>3.Phân hữu cơ</t>
  </si>
  <si>
    <t>củ</t>
  </si>
  <si>
    <t>2.Giống</t>
  </si>
  <si>
    <t>1. Xử lý đất</t>
  </si>
  <si>
    <t>ĐỊNH MỨC ĐẦU TƯ TRỒNG VÀ CHĂM SÓC HOA LYLY</t>
  </si>
  <si>
    <t xml:space="preserve"> - Thời gian cho vay: 12 tháng.</t>
  </si>
  <si>
    <t xml:space="preserve"> - Số tiền cho vay: 60 triệu đồng.</t>
  </si>
  <si>
    <t xml:space="preserve">11. Lãi vay NH </t>
  </si>
  <si>
    <t>10. Thu hoạch, phơi sấy</t>
  </si>
  <si>
    <t>9. Tưới nước</t>
  </si>
  <si>
    <t>8. Làm bồn</t>
  </si>
  <si>
    <t>7. Công chăm sóc</t>
  </si>
  <si>
    <t>Lít (Kg)</t>
  </si>
  <si>
    <t>6. Thuốc BVTV</t>
  </si>
  <si>
    <t>5. Thuốc trừ cỏ</t>
  </si>
  <si>
    <t>Bao</t>
  </si>
  <si>
    <t>4. Phân chuồng</t>
  </si>
  <si>
    <t>3. Phân Kali (KCL)</t>
  </si>
  <si>
    <t>2. Phân NPK 16 - 16 - 8</t>
  </si>
  <si>
    <t>1. Phân SA</t>
  </si>
  <si>
    <t>DIỆN TÍCH SẢN XUẤT: 1 HA</t>
  </si>
  <si>
    <t>ĐỊNH MỨC ĐẦU TƯ CHĂM SÓC CÀ PHÊ</t>
  </si>
  <si>
    <t>Chăm sóc cà phê 1ha</t>
  </si>
  <si>
    <t>Lãi suất vay vốn (%/năm)</t>
  </si>
  <si>
    <t>Thời hạn vay vốn (năm)</t>
  </si>
  <si>
    <t>Số tiền cho vay (đồng)</t>
  </si>
  <si>
    <t>Chăm sóc</t>
  </si>
  <si>
    <t>3 năm</t>
  </si>
  <si>
    <t>Thời gian ân hạn</t>
  </si>
  <si>
    <t>Tối đa 6 năm</t>
  </si>
  <si>
    <t>Trồng mới</t>
  </si>
  <si>
    <t>* PHẦN CHO VAY CỦA NGÂN HÀNG (THAM KHẢO):</t>
  </si>
  <si>
    <t>III. LÃI (+), LỖ (-)</t>
  </si>
  <si>
    <t>đồng/kg</t>
  </si>
  <si>
    <t xml:space="preserve">2. Doanh thu </t>
  </si>
  <si>
    <t>1. Sản lượng</t>
  </si>
  <si>
    <t>II. THU NHẬP</t>
  </si>
  <si>
    <t>17. Lãi vay NH</t>
  </si>
  <si>
    <t>Số tiền vay lũy kế</t>
  </si>
  <si>
    <t>CỘNG CHI PHÍ TRỰC TIẾP</t>
  </si>
  <si>
    <t>7. Công lao động</t>
  </si>
  <si>
    <t>5. Vôi</t>
  </si>
  <si>
    <t>Phân vi sinh</t>
  </si>
  <si>
    <t>4. Phân vô cơ</t>
  </si>
  <si>
    <t>3. Phân hữu cơ</t>
  </si>
  <si>
    <t>2. Cây giống</t>
  </si>
  <si>
    <t>I. TỔNG CHI PHÍ</t>
  </si>
  <si>
    <t>SỐ LƯỢNG</t>
  </si>
  <si>
    <t>NĂM 3</t>
  </si>
  <si>
    <t>NĂM 2</t>
  </si>
  <si>
    <t>NĂM 1</t>
  </si>
  <si>
    <t>CHI PHÍ CHĂM SÓC TỪ NĂM THỨ 4</t>
  </si>
  <si>
    <t>CỘNG XDCB</t>
  </si>
  <si>
    <t>TRỒNG MỚI, CHĂM SÓC</t>
  </si>
  <si>
    <t>ĐƠN GIÁ</t>
  </si>
  <si>
    <t>ĐƠN VỊ TÍNH</t>
  </si>
  <si>
    <t>( Diện tích 1 ha )</t>
  </si>
  <si>
    <t>ĐỊNH MỨC ĐẦU TƯ TRỒNG MỚI, CHĂM SÓC CÂY CA CAO</t>
  </si>
  <si>
    <t>Trồng, chăm sóc cây ca cao</t>
  </si>
  <si>
    <t xml:space="preserve"> - Số tiền cho vay trồng mới: 350 triệu, thời hạn 60 tháng -  Số tiền cho vay chăm sóc: 70 triệu, thời hạn 12 tháng.</t>
  </si>
  <si>
    <t>2. Doanh thu</t>
  </si>
  <si>
    <t>12. KHCB (5%/năm)</t>
  </si>
  <si>
    <t>11. Lãi vay NH</t>
  </si>
  <si>
    <t>10. Công lao động</t>
  </si>
  <si>
    <t>9. Chi phí tưới</t>
  </si>
  <si>
    <t>8. Phên che</t>
  </si>
  <si>
    <t>7. Thuốc sâu, dưỡng</t>
  </si>
  <si>
    <t>6. Vôi</t>
  </si>
  <si>
    <t xml:space="preserve">  - Kali</t>
  </si>
  <si>
    <t xml:space="preserve">  - Lân</t>
  </si>
  <si>
    <t xml:space="preserve">  - Đạm</t>
  </si>
  <si>
    <t>5. Phân vô cơ</t>
  </si>
  <si>
    <t>4. Phân hữu cơ</t>
  </si>
  <si>
    <t>3. Cây giống</t>
  </si>
  <si>
    <t>2. Xây trụ</t>
  </si>
  <si>
    <t>1. Chi phí cày đất</t>
  </si>
  <si>
    <t xml:space="preserve">CHĂM SÓC  </t>
  </si>
  <si>
    <t>XDCB</t>
  </si>
  <si>
    <t>TRỒNG MỚI</t>
  </si>
  <si>
    <t xml:space="preserve">vị </t>
  </si>
  <si>
    <t>CỘNG</t>
  </si>
  <si>
    <t>CHI PHÍ CHĂM SÓC</t>
  </si>
  <si>
    <t xml:space="preserve"> Đơn  </t>
  </si>
  <si>
    <t xml:space="preserve">Đơn </t>
  </si>
  <si>
    <t>Ñôn vò: 1.000ñ</t>
  </si>
  <si>
    <t>ĐỊNH MỨC ĐẦU TƯ TRỒNG MỚI - CHĂM SÓC 1 HA CÂY TIÊU</t>
  </si>
  <si>
    <t>Trồng, chăm sóc cây tiêu</t>
  </si>
  <si>
    <t xml:space="preserve"> - Định kỳhạn nợ theo tháng hoặc quý (trừ những tháng mùa khô).</t>
  </si>
  <si>
    <t xml:space="preserve"> - Số tiền cho vay chăm sóc: 50 triệu, thời hạn 12 tháng.</t>
  </si>
  <si>
    <t xml:space="preserve"> - Số tiền cho vay trồng mới: 200 triệu, thời hạn 72 tháng, bắt đầu thu nợ từ năm thứ 3.</t>
  </si>
  <si>
    <t>13. Lãi vay NH</t>
  </si>
  <si>
    <t>12. Công lao động</t>
  </si>
  <si>
    <t>giờ</t>
  </si>
  <si>
    <t>11. Chi phí tưới</t>
  </si>
  <si>
    <t>10. Cây che bóng mát</t>
  </si>
  <si>
    <t>9. Thuốc BVTV</t>
  </si>
  <si>
    <t>8. Thuốc xử lý đất</t>
  </si>
  <si>
    <t>6. Phân Kali</t>
  </si>
  <si>
    <t>5. Phân Ln</t>
  </si>
  <si>
    <t xml:space="preserve">4. Phân Ur </t>
  </si>
  <si>
    <t>1. Chi phí cày, đào hố</t>
  </si>
  <si>
    <t>CHĂM SÓC</t>
  </si>
  <si>
    <t xml:space="preserve"> giá </t>
  </si>
  <si>
    <t>Đơn vị: 1.000đ</t>
  </si>
  <si>
    <t>ĐỊNH MỨC ĐẦU TƯ TRỒNG MỚI - CHĂM SÓC 1 HA CHÈ CÀNH</t>
  </si>
  <si>
    <t>Trồng, chăm sóc cây chè cành</t>
  </si>
  <si>
    <t>ĐỊNH MỨC ĐẦU TƯ TRỒNG MỚI, CHĂM SÓC CÂY ĐIỀU</t>
  </si>
  <si>
    <t>Trồng, chăm sóc cây điều</t>
  </si>
  <si>
    <t>5 năm</t>
  </si>
  <si>
    <t>Tối đa 7 năm</t>
  </si>
  <si>
    <t>HÀNG NĂM TIẾP THEO</t>
  </si>
  <si>
    <t>CHI PHÍ CHĂM SÓC TỪ NĂM THỨ 6</t>
  </si>
  <si>
    <t>CỘNG XDCB 
(5 NĂM)</t>
  </si>
  <si>
    <t>ĐỊNH MỨC ĐẦU TƯ TRỒNG MỚI, CHĂM SÓC CÂY SẦU RIÊNG</t>
  </si>
  <si>
    <t>Trồng, chăm sóc cây sầu riêng</t>
  </si>
  <si>
    <t>4 năm</t>
  </si>
  <si>
    <t>CHI PHÍ CHĂM SÓC TỪ NĂM THỨ 5</t>
  </si>
  <si>
    <t>CỘNG XDCB 
(4 NĂM)</t>
  </si>
  <si>
    <t>ĐỊNH MỨC ĐẦU TƯ TRỒNG MỚI, CHĂM SÓC CÂY MÍT</t>
  </si>
  <si>
    <t>Trồng, chăm sóc cây mít</t>
  </si>
  <si>
    <t>6 năm</t>
  </si>
  <si>
    <t>5. Phân NPK</t>
  </si>
  <si>
    <t>4. Lân</t>
  </si>
  <si>
    <t>công/cây</t>
  </si>
  <si>
    <t>1. Chi phí trồng mới</t>
  </si>
  <si>
    <t>CỘNG XDCB 
(3 NĂM)</t>
  </si>
  <si>
    <t>ĐỊNH MỨC ĐẦU TƯ TRỒNG MỚI, CHĂM SÓC CÂY MẮC CA (TRỒNG THUẦN)</t>
  </si>
  <si>
    <t>Trồng, chăm sóc cây mắc ca (trồng thuần)</t>
  </si>
  <si>
    <t xml:space="preserve"> 6 năm</t>
  </si>
  <si>
    <t>ĐỊNH MỨC ĐẦU TƯ TRỒNG MỚI, CHĂM SÓC CÂY MẮC CA (TRỒNG XEN)</t>
  </si>
  <si>
    <t>Trồng, chăm sóc cây mắc ca (trồng xen)</t>
  </si>
  <si>
    <t>2 năm</t>
  </si>
  <si>
    <t>Công</t>
  </si>
  <si>
    <t>12. Thu hoạch, phơi sấy</t>
  </si>
  <si>
    <t>10. Tưới nước</t>
  </si>
  <si>
    <t>9. Làm bồn</t>
  </si>
  <si>
    <t>8.Công lao động</t>
  </si>
  <si>
    <t>Lít(Kg)</t>
  </si>
  <si>
    <t>7. Thuốc BVTV</t>
  </si>
  <si>
    <t>6. Thuốc trừ cỏ</t>
  </si>
  <si>
    <t>5. Phân chuồng</t>
  </si>
  <si>
    <t>4. Phân Ka li</t>
  </si>
  <si>
    <t>3. Phân NPK 16-16-8</t>
  </si>
  <si>
    <t>2. Phân SA</t>
  </si>
  <si>
    <t>Chồi</t>
  </si>
  <si>
    <t>1. Chồi ghép</t>
  </si>
  <si>
    <t>CHI PHÍ CHĂM SÓC TỪ NĂM THỨ 3</t>
  </si>
  <si>
    <t xml:space="preserve">CỘNG XDCB 
</t>
  </si>
  <si>
    <t>TÁI CANH CÀ PHÊ BẰNG PHƯƠNG PHÁP GHÉP CHỒI</t>
  </si>
  <si>
    <t>Trồng tái canh cà phê bằng phương pháp ghép chồi</t>
  </si>
  <si>
    <t>(Giá con giống có thể thay đổi tùy theo giống bò)</t>
  </si>
  <si>
    <t xml:space="preserve"> - Thời hạn cho vay: 12 tháng</t>
  </si>
  <si>
    <t xml:space="preserve"> - Mức đầu tư trâu bò lấy thịt: 180 triệu đồng/10con</t>
  </si>
  <si>
    <t xml:space="preserve">2. Từ sản phẩm chính </t>
  </si>
  <si>
    <t>1. Từ sản phẩm phụ</t>
  </si>
  <si>
    <t>7. Lãi vay NH</t>
  </si>
  <si>
    <t>6. Công lao động</t>
  </si>
  <si>
    <t>5. Chi phí dự phòng</t>
  </si>
  <si>
    <t>4. Thuốc phòng bệnh</t>
  </si>
  <si>
    <t>3. Thức ăn thô xanh</t>
  </si>
  <si>
    <t>2. Thức ăn tinh</t>
  </si>
  <si>
    <t>1. Con giống</t>
  </si>
  <si>
    <t>Đơn vị:  đồng</t>
  </si>
  <si>
    <t>QUY MÔ SẢN XUẤT 10 CON</t>
  </si>
  <si>
    <t>ĐỊNH MỨC ĐẦU TƯ NUÔI TRÂU BÒ THỊT</t>
  </si>
  <si>
    <t>Chăn nuôi trâu, bò thịt</t>
  </si>
  <si>
    <t xml:space="preserve"> - Thời hạn cho vay: 6 tháng  </t>
  </si>
  <si>
    <t xml:space="preserve"> - Số tiền cho vay: 300 triệu đồng/100 con. </t>
  </si>
  <si>
    <t xml:space="preserve">2. Từ s.phẩm chính </t>
  </si>
  <si>
    <t>6. KH chuồng trại</t>
  </si>
  <si>
    <t>5. Chi phí khác</t>
  </si>
  <si>
    <t>4. Công lao động</t>
  </si>
  <si>
    <t>3. Thuốc thú y</t>
  </si>
  <si>
    <t xml:space="preserve">2. Thức ăn </t>
  </si>
  <si>
    <t>ĐỊNH MỨC ĐẦU TƯ NUÔI HEO THỊT</t>
  </si>
  <si>
    <t>Chăn nuôi heo thịt</t>
  </si>
  <si>
    <t>Năm thứ 4</t>
  </si>
  <si>
    <t>Năm thứ 3</t>
  </si>
  <si>
    <t>Năm thứ 2</t>
  </si>
  <si>
    <t>Năm thứ 1</t>
  </si>
  <si>
    <t>Dư nợ cuối</t>
  </si>
  <si>
    <t>Số tiền thu nợ trong kỳ</t>
  </si>
  <si>
    <t>Dư nợ đầu kỳ</t>
  </si>
  <si>
    <t>Nội dung</t>
  </si>
  <si>
    <t>ĐVT : đồng</t>
  </si>
  <si>
    <t>TRẢ GỐC :</t>
  </si>
  <si>
    <t>2.</t>
  </si>
  <si>
    <t>THỜI HẠN VAY VỐN</t>
  </si>
  <si>
    <t>1.</t>
  </si>
  <si>
    <t>KẾ HOẠCH TRẢ NỢ :</t>
  </si>
  <si>
    <t>IV.</t>
  </si>
  <si>
    <t>Số tiền còn lại sau khi trả nợ</t>
  </si>
  <si>
    <t>Trả lãi :</t>
  </si>
  <si>
    <t>Trả gốc :</t>
  </si>
  <si>
    <t>Số tiền trả nợ</t>
  </si>
  <si>
    <t>Nguồn tiền trả nợ</t>
  </si>
  <si>
    <t>Chi phí sản xuất năm sau</t>
  </si>
  <si>
    <t>Nguồn trả nợ :</t>
  </si>
  <si>
    <t>NPV</t>
  </si>
  <si>
    <t>IRR</t>
  </si>
  <si>
    <t>Lãi suất Ngân Hàng</t>
  </si>
  <si>
    <t>Dòng tiền</t>
  </si>
  <si>
    <t>Lãi, lỗ</t>
  </si>
  <si>
    <t>Năm 4</t>
  </si>
  <si>
    <t>HIỆU QUẢ CỦA DỰ ÁN</t>
  </si>
  <si>
    <t>II.</t>
  </si>
  <si>
    <t>GIÁ TRỊ GIỐNG CÒN LẠI</t>
  </si>
  <si>
    <t>LÃI (+), LỖ (-)</t>
  </si>
  <si>
    <t>III.</t>
  </si>
  <si>
    <t>2. Từ s.phẩm chính (bê con)</t>
  </si>
  <si>
    <t>1. Từ sản phẩm phụ (5m3/con/năm)</t>
  </si>
  <si>
    <t>THU NHẬP</t>
  </si>
  <si>
    <t>Nợ gốc đầu kỳ :</t>
  </si>
  <si>
    <t/>
  </si>
  <si>
    <t>CHI PHÍ LÃI VAY</t>
  </si>
  <si>
    <t>Phân bổ giống</t>
  </si>
  <si>
    <t>KH chuồng trại</t>
  </si>
  <si>
    <t>CHI PHÍ GIÁN TIẾP :</t>
  </si>
  <si>
    <t xml:space="preserve">Công lao động </t>
  </si>
  <si>
    <t>6.</t>
  </si>
  <si>
    <t>Điện, nước, chi phí dự phòng</t>
  </si>
  <si>
    <t>5.</t>
  </si>
  <si>
    <t>Thuốc phòng bệnh</t>
  </si>
  <si>
    <t>4.</t>
  </si>
  <si>
    <t>Thức ăn thô xanh (5,500kg/con/năm)</t>
  </si>
  <si>
    <t>3.</t>
  </si>
  <si>
    <t xml:space="preserve">Thức ăn tinh ( 360kg/con/năm ) </t>
  </si>
  <si>
    <t>Con giống</t>
  </si>
  <si>
    <t>CHI PHÍ TRỰC TIẾP :</t>
  </si>
  <si>
    <t>I.</t>
  </si>
  <si>
    <t>vị</t>
  </si>
  <si>
    <t xml:space="preserve">Năm 1 </t>
  </si>
  <si>
    <t>%/ năm</t>
  </si>
  <si>
    <t>Lãi suất vay :</t>
  </si>
  <si>
    <t>Đồng</t>
  </si>
  <si>
    <t>PHƯƠNG ÁN/ DỰ ÁN SẢN XUẤT KINH DOANH</t>
  </si>
  <si>
    <t>Số lượng bò thịt</t>
  </si>
  <si>
    <t xml:space="preserve"> - Mức đầu tư trâu bò sinh sản: 120 triệu đồng/10con</t>
  </si>
  <si>
    <t>Vốn đề nghị vay Ngân hàng :</t>
  </si>
  <si>
    <t>Vốn tự có :</t>
  </si>
  <si>
    <t>Tổng nhu cầu vốn :</t>
  </si>
  <si>
    <t>Chăn nuôi trâu, bò sinh sản (trung hạn)</t>
  </si>
  <si>
    <t>ĐVT: 1000đồng</t>
  </si>
  <si>
    <t>Trả nợ theo thỏa thuận</t>
  </si>
  <si>
    <t>Trả nợ theo dự án (80%(lãi + KH)+bán giống)</t>
  </si>
  <si>
    <t>Khấu hao + phân bổ giống</t>
  </si>
  <si>
    <t>LÃI (+), LỖ (-)( năm 1)</t>
  </si>
  <si>
    <t>Bán heo con (2 lứa/1năm)</t>
  </si>
  <si>
    <t>Từ sản phẩm phụ</t>
  </si>
  <si>
    <t>Gốc trong kỳ</t>
  </si>
  <si>
    <t>1,000 đ</t>
  </si>
  <si>
    <t>Lãi vay NH</t>
  </si>
  <si>
    <t>Chi phí phân bổ giống</t>
  </si>
  <si>
    <t>CHI PHÍ GIÁN TIẾP</t>
  </si>
  <si>
    <t>Thú y heo con</t>
  </si>
  <si>
    <t>Thức ăn Heo con</t>
  </si>
  <si>
    <t>Phối giống</t>
  </si>
  <si>
    <t>Thuốc thú y</t>
  </si>
  <si>
    <t>Chi phí nuôi</t>
  </si>
  <si>
    <t>Số lượng heo sinh sản</t>
  </si>
  <si>
    <t xml:space="preserve"> - Mức đầu tư heo sinh sản: 150 triệu đồng/10con</t>
  </si>
  <si>
    <t>Chăn nuôi heo nái sinh sản (trung hạn)</t>
  </si>
  <si>
    <t xml:space="preserve"> - Lãi suất cho vay theo bảng được tính là 11%/năm.</t>
  </si>
  <si>
    <t xml:space="preserve"> - Thời gian cho vay: 15 tháng  </t>
  </si>
  <si>
    <t xml:space="preserve"> - Số tiền cho vay: 150 triệu đồng. </t>
  </si>
  <si>
    <t xml:space="preserve">2. Cho vay chăn nuôi: </t>
  </si>
  <si>
    <t xml:space="preserve"> - Thời gian cho vay: tối đa 36 tháng.</t>
  </si>
  <si>
    <t xml:space="preserve"> - Số tiền cho vay: 200 triệu đồng. </t>
  </si>
  <si>
    <t xml:space="preserve">1. Cho vay XDCB và chăn nuôi: </t>
  </si>
  <si>
    <t>3. Gà thải</t>
  </si>
  <si>
    <t>2. Sản phẩm phụ</t>
  </si>
  <si>
    <t>trứng</t>
  </si>
  <si>
    <t>1. Trứng</t>
  </si>
  <si>
    <t xml:space="preserve">II. THU NHẬP 1 NĂM </t>
  </si>
  <si>
    <t>9. Khấu hao chuồng trại</t>
  </si>
  <si>
    <t xml:space="preserve">8. Lãi vay NH </t>
  </si>
  <si>
    <t>7. Chi phí khác</t>
  </si>
  <si>
    <t>5. Thuốc thú y</t>
  </si>
  <si>
    <t>4. Thức ăn</t>
  </si>
  <si>
    <t>3. Giống</t>
  </si>
  <si>
    <t>lồng</t>
  </si>
  <si>
    <t>2. Lồng nuôi</t>
  </si>
  <si>
    <t>1. Xây dựng chuồng trại</t>
  </si>
  <si>
    <t xml:space="preserve">I. TỔNG CHI PHÍ NĂM ĐẦU </t>
  </si>
  <si>
    <t xml:space="preserve">CHĂN NUÔI 1 năm </t>
  </si>
  <si>
    <t>TRẠI VÀ CHĂN NUÔI</t>
  </si>
  <si>
    <t xml:space="preserve">CHI PHÍ ĐẦU TƯ CHUỒNG </t>
  </si>
  <si>
    <t>QUY MÔ SẢN XUẤT: 1000 CON</t>
  </si>
  <si>
    <t>ĐỊNH MỨC ĐẦU TƯ CHĂN NUÔI GÀ ĐẺ</t>
  </si>
  <si>
    <t>Chăn nuôi gà đẻ</t>
  </si>
  <si>
    <t xml:space="preserve"> - Thời hạn cho vay: 3 tháng  </t>
  </si>
  <si>
    <t xml:space="preserve"> - Số tiền cho vay: 40 triệu đồng. </t>
  </si>
  <si>
    <t xml:space="preserve"> - Thời gian cho vay: tối đa 24 tháng.</t>
  </si>
  <si>
    <t xml:space="preserve"> - Số tiền cho vay: 140 triệu đồng. </t>
  </si>
  <si>
    <t>3. Doanh thu</t>
  </si>
  <si>
    <t>II. THU NHẬP/lứa</t>
  </si>
  <si>
    <t>8. Khấu hao chuồng trại</t>
  </si>
  <si>
    <t xml:space="preserve">7. Lãi vay NH </t>
  </si>
  <si>
    <t>6. Chi phí khác</t>
  </si>
  <si>
    <t>5. Công lao động</t>
  </si>
  <si>
    <t>4. Thuốc thú y</t>
  </si>
  <si>
    <t>3. Thức ăn</t>
  </si>
  <si>
    <t>2. Giống</t>
  </si>
  <si>
    <t>CHĂN NUÔI</t>
  </si>
  <si>
    <t xml:space="preserve">CP ĐẦU TƯ CHUỒNG </t>
  </si>
  <si>
    <t>Ñôn vò: ñoàng</t>
  </si>
  <si>
    <t>ĐỊNH MỨC ĐẦU TƯ CHĂN NUÔI GÀ THỊT</t>
  </si>
  <si>
    <t>Chăn nuôi gà thịt</t>
  </si>
  <si>
    <t xml:space="preserve"> - Lãi suất cho vay theo bảng được tính là: 8%/năm.</t>
  </si>
  <si>
    <t xml:space="preserve"> - Số tiền cho vay: 50 triệu đồng.</t>
  </si>
  <si>
    <t xml:space="preserve">2. Cho vay chăm sóc: </t>
  </si>
  <si>
    <t xml:space="preserve"> - Lãi suất cho vay theo bảng được tính là: 11%/năm.</t>
  </si>
  <si>
    <t xml:space="preserve"> - Thời gian cho vay: 48 tháng.</t>
  </si>
  <si>
    <t xml:space="preserve"> - Số tiền cho vay: 70 triệu đồng. </t>
  </si>
  <si>
    <t xml:space="preserve">1. Cho vay trồng mới: </t>
  </si>
  <si>
    <t>3. Thu nhập</t>
  </si>
  <si>
    <t>2. Sản lượng năm 2,3,4</t>
  </si>
  <si>
    <t>1. Sản lượng năm 1</t>
  </si>
  <si>
    <t>6.Thuốc BVTV</t>
  </si>
  <si>
    <t>2.Cây giống</t>
  </si>
  <si>
    <t>1.Xử lý đất</t>
  </si>
  <si>
    <t>CHĂM SÓC CÁC NĂM</t>
  </si>
  <si>
    <t>CHI PHÍ TRỒNG MỚI VÀ</t>
  </si>
  <si>
    <t>ĐỊNH MỨC ĐẦU TƯ TRỒNG MỚI, CHĂM SÓC HOA HỒNG</t>
  </si>
  <si>
    <t>Trồng, chăm sóc hoa hồng</t>
  </si>
  <si>
    <t xml:space="preserve"> - Thời gian cho vay: 24 tháng.</t>
  </si>
  <si>
    <t xml:space="preserve"> - Số tiền cho vay: 65 triệu đồng. </t>
  </si>
  <si>
    <t>2. Sản lượng năm 2</t>
  </si>
  <si>
    <t>ĐỊNH MỨC ĐẦU TƯ TRỒNG MỚI, CHĂM SÓC HOA ĐỒNG TIỀN</t>
  </si>
  <si>
    <t>Trồng, chăm sóc hoa đồng tiền</t>
  </si>
  <si>
    <t xml:space="preserve"> - Số tiền cho vay: 75 triệu đồng. </t>
  </si>
  <si>
    <t>2,Thu nhập</t>
  </si>
  <si>
    <t>CHI PHÍ ĐẦU TƯ, CHĂM SÓC</t>
  </si>
  <si>
    <t>ĐỊNH MỨC ĐẦU TƯ TRỒNG MỚI HOA CẨM CHƯỚNG</t>
  </si>
  <si>
    <t>Trồng, chăm sóc hoa cẩm chướng</t>
  </si>
  <si>
    <t xml:space="preserve"> - Số tiền cho vay: 100 triệu đồng. </t>
  </si>
  <si>
    <t>3,Thu nhập</t>
  </si>
  <si>
    <t>ĐỊNH MỨC ĐẦU TƯ TRỒNG MỚI HOA CÁT TƯỜNG</t>
  </si>
  <si>
    <t>Trồng, chăm sóc hoa cát tường</t>
  </si>
  <si>
    <t xml:space="preserve"> - Số tiền cho vay: 50 triệu đồng. </t>
  </si>
  <si>
    <t>1đ</t>
  </si>
  <si>
    <t>2.Sản lượng năm 2</t>
  </si>
  <si>
    <t>5.Thuốc BVTV</t>
  </si>
  <si>
    <t>1. Cây giống</t>
  </si>
  <si>
    <t>ĐỊNH MỨC ĐẦU TƯ TRỒNG MỚI HOA SA LEM</t>
  </si>
  <si>
    <t>Trồng, chăm sóc hoa sa lem</t>
  </si>
  <si>
    <t>1.000đ</t>
  </si>
  <si>
    <t>3. Thu củ giống (F1)</t>
  </si>
  <si>
    <t>ĐỊNH MỨC ĐẦU TƯ TRỒNG VÀ CHĂM SÓC HOA LAY ƠN</t>
  </si>
  <si>
    <t>Trồng, chăm sóc hoa lay ơn</t>
  </si>
  <si>
    <t xml:space="preserve"> - Khi cho vay từ năm 1 trở đi thì yêu cầu phải có nguồn thu khác để trả lãi cho năm thứ 1, định kỳ trả nợ gốc từ năm 2</t>
  </si>
  <si>
    <t xml:space="preserve"> - Số tiền cho vay đầu tư chăm sóc: 140 triệu, thời hạn cho vay tối đa 36 tháng. Lãi vay ngân hàng là: 11%/năm.</t>
  </si>
  <si>
    <t>1. Doanh thu</t>
  </si>
  <si>
    <t>9. Lãi vay NH</t>
  </si>
  <si>
    <t>8. Công lao động</t>
  </si>
  <si>
    <t>bao</t>
  </si>
  <si>
    <t>3. Giá thể</t>
  </si>
  <si>
    <t>chậu</t>
  </si>
  <si>
    <t>2. Chậu nhựa</t>
  </si>
  <si>
    <t>cộng</t>
  </si>
  <si>
    <t xml:space="preserve">Tổng </t>
  </si>
  <si>
    <t>ĐỊNH MỨC ĐẦU TƯ TRỒNG MỚI, CHĂM SÓC HOA HỒNG MÔN</t>
  </si>
  <si>
    <t>Trồng, chăm sóc hoa hồng môn</t>
  </si>
  <si>
    <t xml:space="preserve"> - Khi cho vay thỏa thuận với khách có nguồn thu khác để trả lãi cho năm 1, năm 2 và năm 3</t>
  </si>
  <si>
    <t xml:space="preserve"> - Số tiền cho vay đầu tư chăm sóc: 220 triệu, thời hạn cho vay tối đa 60 tháng. Lãi vay ngân hàng là: 11%/năm.</t>
  </si>
  <si>
    <t>III. LÃI(+), LỖ (-)</t>
  </si>
  <si>
    <t>2. Giá trị cành</t>
  </si>
  <si>
    <t>1. Số lượng</t>
  </si>
  <si>
    <t>8. Lãi vay NH</t>
  </si>
  <si>
    <t>3. Dớn</t>
  </si>
  <si>
    <t>1. Chậu + kệ kê chậu</t>
  </si>
  <si>
    <t>I. TOÅNG CHI PHÍ</t>
  </si>
  <si>
    <t>Năm 5</t>
  </si>
  <si>
    <t xml:space="preserve"> Đơn giá</t>
  </si>
  <si>
    <t>ĐỊNH MỨC ĐẦU TƯ CHĂM SÓC ĐỊA LAN</t>
  </si>
  <si>
    <t>Trồng, chăm sóc hoa địa lan</t>
  </si>
  <si>
    <t xml:space="preserve"> - Số tiền cho vay: 15 triệu; Thời gian cho vay: 06 tháng.</t>
  </si>
  <si>
    <t>10. Lãi vay NH</t>
  </si>
  <si>
    <t xml:space="preserve">công </t>
  </si>
  <si>
    <t xml:space="preserve">9. Công lao động </t>
  </si>
  <si>
    <t>8. Cày đất lần 2</t>
  </si>
  <si>
    <t>7. Cày đất lần 1</t>
  </si>
  <si>
    <t>6. Thuốc sâu, dưỡng</t>
  </si>
  <si>
    <t>5. Phân Kali</t>
  </si>
  <si>
    <t>4. Phân Lân</t>
  </si>
  <si>
    <t>3. Phân Đạm</t>
  </si>
  <si>
    <t>2. Vôi</t>
  </si>
  <si>
    <t>1. Giống</t>
  </si>
  <si>
    <t>ĐỊNH MỨC ĐẦU TƯ TRỒNG 1 HA NGÔ</t>
  </si>
  <si>
    <t>Trồng, chăm sóc ngô</t>
  </si>
  <si>
    <t xml:space="preserve"> - Lãi suất cho vay theo bảng được tính là: 8%/năm .</t>
  </si>
  <si>
    <t xml:space="preserve"> - Số tiền cho vay: 15 triệu;  Thời gian cho vay: 06 tháng.</t>
  </si>
  <si>
    <t>1. Sản lượng (lúa)</t>
  </si>
  <si>
    <t>ĐỊNH MỨC CHI PHÍ TRỒNG 1 HA LÚA</t>
  </si>
  <si>
    <t>Trồng, chăm sóc lúa</t>
  </si>
  <si>
    <t xml:space="preserve"> - Lãi suất cho vay theo bảng được tính là: 8%/năm cho vay ngắn hạn, 11%/năm cho vay trung hạn.</t>
  </si>
  <si>
    <t xml:space="preserve"> - Cho vay chăm sóc: số tiền cho vay 60 triệu đồng, thời gian cho vay 12 tháng.</t>
  </si>
  <si>
    <t xml:space="preserve"> - Cho vay trồng mới: số tiền cho vay 130 triệu đồng, thời gian cho vay 24 tháng.</t>
  </si>
  <si>
    <t xml:space="preserve">3. Doanh thu </t>
  </si>
  <si>
    <t>14. Khấu hao giàn trồng(3vụ)</t>
  </si>
  <si>
    <t>10. Thuốc sâu, dưỡng</t>
  </si>
  <si>
    <t>9. Phân NPK</t>
  </si>
  <si>
    <t>8. Phân Kali</t>
  </si>
  <si>
    <t>7. Phân lân</t>
  </si>
  <si>
    <t>6. Phân DAP</t>
  </si>
  <si>
    <t>5. Phân SA</t>
  </si>
  <si>
    <t>4. Phân Đạm</t>
  </si>
  <si>
    <t>1. Vật liệu làm giàn</t>
  </si>
  <si>
    <t xml:space="preserve"> CHĂM  SÓC CÁC NĂM </t>
  </si>
  <si>
    <t xml:space="preserve">CHI PHÍ CHĂM SÓC </t>
  </si>
  <si>
    <t xml:space="preserve">       ĐỊNH MỨC ĐẦU TƯ TRỒNG 1 HA SUSU</t>
  </si>
  <si>
    <t>Trồng, chăm sóc su su</t>
  </si>
  <si>
    <t xml:space="preserve"> - Số tiền cho vay: 180 triệu đồng; Thời gian cho vay: 12 tháng.</t>
  </si>
  <si>
    <t>12. Phân bổ CCLĐ</t>
  </si>
  <si>
    <t>11. Công lao động</t>
  </si>
  <si>
    <t>10. Chi phí tưới</t>
  </si>
  <si>
    <t>9. Thuốc sâu, dưỡng</t>
  </si>
  <si>
    <t>8. Phân NPK</t>
  </si>
  <si>
    <t>7. Phân Kali</t>
  </si>
  <si>
    <t>6. Phân Lân</t>
  </si>
  <si>
    <t>5. Tinh dầu c</t>
  </si>
  <si>
    <t>4. Phân vi khống</t>
  </si>
  <si>
    <t>3. Phân chuồng hoai</t>
  </si>
  <si>
    <t>kg, cây</t>
  </si>
  <si>
    <t xml:space="preserve"> Đơn giá </t>
  </si>
  <si>
    <t xml:space="preserve"> Ñôn vò: đồng</t>
  </si>
  <si>
    <t xml:space="preserve">     ĐỊNH MỨC ĐẦU TƯ TRỒNG 1 HA ACTISO</t>
  </si>
  <si>
    <t>Trồng, chăm sóc Actiso</t>
  </si>
  <si>
    <t xml:space="preserve"> - Số tiền cho vay: 70 triệu đồng, thời gian cho vay: 4 tháng.</t>
  </si>
  <si>
    <t>12. Lãi vay NH</t>
  </si>
  <si>
    <t>11. Phân bổ CCLĐ</t>
  </si>
  <si>
    <t>8. Thuốc BVTV</t>
  </si>
  <si>
    <t>5. Phân Đạm Urê</t>
  </si>
  <si>
    <t>4. Phân vi sinh</t>
  </si>
  <si>
    <t>ĐỊNH MỨC ĐẦU TƯ TRỒNG 1 HA KHOAI TÂY</t>
  </si>
  <si>
    <t>Trồng, chăm sóc cây khoai tây</t>
  </si>
  <si>
    <t xml:space="preserve"> - Cây rốt, dền cho vay số tiền: 70 triệu đồng, thời gian cho vay: 4 tháng.</t>
  </si>
  <si>
    <t>14. Lãi vay NH</t>
  </si>
  <si>
    <t>4. Phân hữu cơ vi sinh</t>
  </si>
  <si>
    <t>ĐỊNH MỨC ĐẦU TƯ TRỒNG 1 HA CÀ RỐT - DỀN</t>
  </si>
  <si>
    <t>Trồng, chăm sóc cây cà rốt - dền</t>
  </si>
  <si>
    <t xml:space="preserve"> - Cây sú, lơ cho vay số tiền: 80 triệu đồng, thời gian cho vay: 4 tháng.</t>
  </si>
  <si>
    <t>8. Phân bón lá</t>
  </si>
  <si>
    <t>5. Phân Đạm Ure</t>
  </si>
  <si>
    <t xml:space="preserve"> - Cây cải thảo an toàn cho vay số tiền: 7 triệu đồng, thời gian cho vay: 4 tháng.</t>
  </si>
  <si>
    <t>4. Đạm</t>
  </si>
  <si>
    <t>3. Phân hữu cơ vi sinh</t>
  </si>
  <si>
    <t>2. Phân chuồng hoai</t>
  </si>
  <si>
    <t>( Diện tích 1000m2 )</t>
  </si>
  <si>
    <t xml:space="preserve">ĐỊNH MỨC ĐẦU TƯ TRỒNG CẢI THẢO AN TOÀN </t>
  </si>
  <si>
    <t>Trồng, chăm sóc cải thảo</t>
  </si>
  <si>
    <t xml:space="preserve"> - Lãi suất cho vay theo bảng được tính là:  8%/năm.</t>
  </si>
  <si>
    <t xml:space="preserve"> - Cây xà lách cho vay số tiền: 7 triệu đồng , thời gian cho vay: 3 tháng.</t>
  </si>
  <si>
    <t>8. Phân Bón lá</t>
  </si>
  <si>
    <t xml:space="preserve">ĐỊNH MỨC ĐẦU TƯ TRỒNG XÀ LÁCH AN TOÀN </t>
  </si>
  <si>
    <t>Trồng, chăm sóc xà lách</t>
  </si>
  <si>
    <t xml:space="preserve"> - Thời gian cho vay: 09 tháng, lãi suất 8%/năm.</t>
  </si>
  <si>
    <t xml:space="preserve">1. Thu 1 vụ/9 tháng </t>
  </si>
  <si>
    <t xml:space="preserve">10. Lãi vay NH </t>
  </si>
  <si>
    <t>9. Chói cắm</t>
  </si>
  <si>
    <t>7. Chi phí tưới</t>
  </si>
  <si>
    <t>DIỆN TÍCH SẢN XUẤT: 1,000 m2</t>
  </si>
  <si>
    <t>ĐỊNH MỨC ĐẦU TƯ TRỒNG ỚT NGỌT</t>
  </si>
  <si>
    <t>Trồng, chăm sóc ớt ngọt</t>
  </si>
  <si>
    <t xml:space="preserve"> - Cây hành tây cho vay số tiền: 20 triệu đồng; Thời hạn cho vay: 4 tháng.</t>
  </si>
  <si>
    <t xml:space="preserve">                        ( Diện tích 1000m2 )</t>
  </si>
  <si>
    <t>ĐỊNH MỨC ĐẦU TƯ TRỒNG HÀNH TÂY</t>
  </si>
  <si>
    <t>Trồng, chăm sóc hành tây</t>
  </si>
  <si>
    <t xml:space="preserve"> - Thời gian cho vay: 3 tháng.</t>
  </si>
  <si>
    <t xml:space="preserve"> - Số tiền cho vay: 9 triệu đồng. </t>
  </si>
  <si>
    <t>7. Phân bón lá</t>
  </si>
  <si>
    <t>5. Phân Lân</t>
  </si>
  <si>
    <t>4. Vôi</t>
  </si>
  <si>
    <t>3. Đạm</t>
  </si>
  <si>
    <t>2. Phân hữu cơ</t>
  </si>
  <si>
    <t>ĐỊNH MỨC ĐẦU TƯ TRỒNG HÀNH LÁ</t>
  </si>
  <si>
    <t>Trồng, chăm sóc hành lá</t>
  </si>
  <si>
    <t>9. Công lao động</t>
  </si>
  <si>
    <t>8. Chi phí tưới</t>
  </si>
  <si>
    <t>6. Phân bón lá</t>
  </si>
  <si>
    <t>- Kali</t>
  </si>
  <si>
    <t>- Lân</t>
  </si>
  <si>
    <t>- Đạm</t>
  </si>
  <si>
    <t>3. Phân vi sinh</t>
  </si>
  <si>
    <t>ĐỊNH MỨC ĐẦU TƯ TRỒNG CẢI BÓ XÔI</t>
  </si>
  <si>
    <t>Trồng, chăm sóc cải bó xôi</t>
  </si>
  <si>
    <t xml:space="preserve"> - Thời gian cho vay: 6 tháng.</t>
  </si>
  <si>
    <t xml:space="preserve"> - Số tiền cho vay: 15 triệu đồng. </t>
  </si>
  <si>
    <t xml:space="preserve">12. Ni lông </t>
  </si>
  <si>
    <t>11. Chói cắm</t>
  </si>
  <si>
    <t>7. Phân Bón lá</t>
  </si>
  <si>
    <t>ĐỊNH MỨC ĐẦU TƯ TRỒNG CÀ CHUA</t>
  </si>
  <si>
    <t>Trồng, chăm sóc cà chua</t>
  </si>
  <si>
    <t xml:space="preserve"> - Thu nợ từ tháng thứ 4, trả gốc theo quý.</t>
  </si>
  <si>
    <t xml:space="preserve"> - Số tiền cho vay: 50 triệu, thời gian cho vay: 12 tháng.</t>
  </si>
  <si>
    <t>* Phần cho vay của Ngân hàng: ( Tham khảo)</t>
  </si>
  <si>
    <t>5. Bạc phủ</t>
  </si>
  <si>
    <t xml:space="preserve"> - Vôi</t>
  </si>
  <si>
    <t xml:space="preserve"> - Kali</t>
  </si>
  <si>
    <t xml:space="preserve"> - Lân</t>
  </si>
  <si>
    <t xml:space="preserve"> - Đạm</t>
  </si>
  <si>
    <t>Trồng và chăm sóc</t>
  </si>
  <si>
    <t>Diện tích 1000m2</t>
  </si>
  <si>
    <t>ĐỊNH MỨC ĐẦU TƯ TRỒNG - CHĂM SÓC DÂU TÂY</t>
  </si>
  <si>
    <t>Trồng, chăm sóc dâu tây</t>
  </si>
  <si>
    <t>Agribank ….</t>
  </si>
  <si>
    <t>5/ Vốn vay ngân hàng</t>
  </si>
  <si>
    <t>4/ Vốn tự có</t>
  </si>
  <si>
    <t>3/ Nhu cầu vốn trong kỳ</t>
  </si>
  <si>
    <t>2/ Vòng quay vốn kế hoạch</t>
  </si>
  <si>
    <t>Tiền các chi phí kinh doanh</t>
  </si>
  <si>
    <t xml:space="preserve">Tiền mua hàng </t>
  </si>
  <si>
    <t>1/ Nhu cầu vốn năm</t>
  </si>
  <si>
    <t xml:space="preserve"> Số tiền </t>
  </si>
  <si>
    <t>Nợ phải trả</t>
  </si>
  <si>
    <t>Nợ phải thu</t>
  </si>
  <si>
    <t>Hàng trong kho</t>
  </si>
  <si>
    <t>Tiền mặt, tiền gửi</t>
  </si>
  <si>
    <t>1 tỷ x 10%/Năm</t>
  </si>
  <si>
    <t xml:space="preserve">Bếp từ Uber </t>
  </si>
  <si>
    <t xml:space="preserve">Hút mùi Uber </t>
  </si>
  <si>
    <t>Hút mùi Ebox</t>
  </si>
  <si>
    <t>Hút mùi Washi</t>
  </si>
  <si>
    <t xml:space="preserve">Bếp gas âm </t>
  </si>
  <si>
    <t>Bếp từ Ebox</t>
  </si>
  <si>
    <t>Bếp từ Washi</t>
  </si>
  <si>
    <t>Hút mùi</t>
  </si>
  <si>
    <t>bếp AGK</t>
  </si>
  <si>
    <t>nồi five star màu đỏ</t>
  </si>
  <si>
    <t>nồi elo</t>
  </si>
  <si>
    <t xml:space="preserve">nồi five star nắp kính </t>
  </si>
  <si>
    <t xml:space="preserve">nồi luộc gà </t>
  </si>
  <si>
    <t xml:space="preserve">van thồ </t>
  </si>
  <si>
    <t>bếp B lueger 685</t>
  </si>
  <si>
    <t>bếp Plaza 88A</t>
  </si>
  <si>
    <t>bếp Rinnai 365,367</t>
  </si>
  <si>
    <t>bếp Mario</t>
  </si>
  <si>
    <t>bếp namilux 606 ASM</t>
  </si>
  <si>
    <t>bếp Sunrise</t>
  </si>
  <si>
    <t>3trđ x 12 tháng</t>
  </si>
  <si>
    <t>Chi phí khác (điện, điện thoại…</t>
  </si>
  <si>
    <t>Thuế, phí các loại</t>
  </si>
  <si>
    <t>2 người x 4trđ/tháng x 12</t>
  </si>
  <si>
    <t>Trả công lao động</t>
  </si>
  <si>
    <t>Cước vận chuyển</t>
  </si>
  <si>
    <t>Các chi phí phát sinh</t>
  </si>
  <si>
    <t>Giá vốn hàng hóa</t>
  </si>
  <si>
    <t>Tổng chi phí kinh doanh</t>
  </si>
  <si>
    <t>Tên hàng</t>
  </si>
  <si>
    <t>Kinh doanh thiết bị nhà bếp</t>
  </si>
  <si>
    <t xml:space="preserve">  + Tỷ lệ (%)</t>
  </si>
  <si>
    <t xml:space="preserve">  - Vốn xin vay Agribank CN huyện Sông LôVĩnh Phúc</t>
  </si>
  <si>
    <t>Vốn vay NH khác</t>
  </si>
  <si>
    <t xml:space="preserve">  - Vốn đối ứng</t>
  </si>
  <si>
    <t>Kế hoạch nguồn vốn</t>
  </si>
  <si>
    <t>K</t>
  </si>
  <si>
    <t>Vòng</t>
  </si>
  <si>
    <t>J</t>
  </si>
  <si>
    <t>Tổng nhu cầu vốn cần thiết</t>
  </si>
  <si>
    <t>H</t>
  </si>
  <si>
    <t>Tổng chi phí không gồm khấu hao và Lãi vay</t>
  </si>
  <si>
    <t>F</t>
  </si>
  <si>
    <t>Doanh thu bán hàng 1 năm kinh doanh</t>
  </si>
  <si>
    <t>Reagt 3.6 EC</t>
  </si>
  <si>
    <t>FM -Tox 25EC</t>
  </si>
  <si>
    <t>gói</t>
  </si>
  <si>
    <t>Bestox 5EC</t>
  </si>
  <si>
    <t>Excel Bassa 50ND</t>
  </si>
  <si>
    <t xml:space="preserve">Anvado 100WP </t>
  </si>
  <si>
    <t>Sifata 36WP</t>
  </si>
  <si>
    <t>Vithavit 300EC</t>
  </si>
  <si>
    <t>Valivihaco 3SL</t>
  </si>
  <si>
    <t>Valivihaco 5SC</t>
  </si>
  <si>
    <t xml:space="preserve">Kamsu 2l </t>
  </si>
  <si>
    <t>Daconil 75WP</t>
  </si>
  <si>
    <t>Thuốc diệt chuột thóc Broma 0,005AB</t>
  </si>
  <si>
    <t>Tiginon 5GR</t>
  </si>
  <si>
    <t>Virtaco 40WG</t>
  </si>
  <si>
    <t>Actara 25w</t>
  </si>
  <si>
    <t>Altech 5EC</t>
  </si>
  <si>
    <t>Dou xiao Meisu 15g</t>
  </si>
  <si>
    <t>Thuốc trừ ốc Oosaka 700WP</t>
  </si>
  <si>
    <t>Newphosinate 150SL</t>
  </si>
  <si>
    <t>Maruka 5EC</t>
  </si>
  <si>
    <t>Atonic 18SL</t>
  </si>
  <si>
    <t>Thuốc bảo vệ thực vật</t>
  </si>
  <si>
    <t>Phân trung lượng AKB xanh</t>
  </si>
  <si>
    <t>Supe lân</t>
  </si>
  <si>
    <t>NPK 12.5.10 M1</t>
  </si>
  <si>
    <t>NPK 5.10.3</t>
  </si>
  <si>
    <t>Phân bón NPK SINHMIX 6-9-3+3S</t>
  </si>
  <si>
    <t>Phân bón NPK FVIEU 10-3-25</t>
  </si>
  <si>
    <t>Phân bón NPK SINHMIX 14-8-6</t>
  </si>
  <si>
    <t>Phân bón NPK SINHMIX 14-7</t>
  </si>
  <si>
    <t>Phân bón NPK SINHMIX 12-5-10</t>
  </si>
  <si>
    <t>Phân bón NK FVIEU 20-10+3S</t>
  </si>
  <si>
    <t>Phân bón lót NPK 5-10-3*KS</t>
  </si>
  <si>
    <t>NPK An Hưng 13-5-7+5S+TE</t>
  </si>
  <si>
    <t>Phân bón Hữu cơ An Hưng O-plus 01</t>
  </si>
  <si>
    <t>NPK An Hưng 13-3-10+3S+TE(AH2)</t>
  </si>
  <si>
    <t>NPK An Hưng 5-10-3+8S</t>
  </si>
  <si>
    <t>NPK An Hưng 13-3-10+3S+TA(AH2)</t>
  </si>
  <si>
    <t>NPK An Hưng 15-7-5+5S+TE</t>
  </si>
  <si>
    <t>NPK An Hưng 15-3-10+10S+TE</t>
  </si>
  <si>
    <t>NPK An Hưng 7-8-3+8S (AH1)</t>
  </si>
  <si>
    <t>Phân bón</t>
  </si>
  <si>
    <t>TAHH cho bò sữa cao sản</t>
  </si>
  <si>
    <t>HH cho heo nái ngoại nuôi</t>
  </si>
  <si>
    <t>HH dạng viên cho heo con tập ăn</t>
  </si>
  <si>
    <t>HH cho heo nực từ tập ăn -25 ngày</t>
  </si>
  <si>
    <t>HH cho heo nái chửa</t>
  </si>
  <si>
    <t>HH cho heo siêu nạc</t>
  </si>
  <si>
    <t>HH dạng viên cho gà siêu thịt</t>
  </si>
  <si>
    <t>HH gà màu 1 ngày tuổi - XC</t>
  </si>
  <si>
    <t>HH cho heo trại từ 10-25 kg</t>
  </si>
  <si>
    <t>HH dùng cho heo gột từ 12-30 kg</t>
  </si>
  <si>
    <t>HH hoàn chỉnh dạng viên siêu thịt</t>
  </si>
  <si>
    <t>Cám XK 160S/25kg</t>
  </si>
  <si>
    <t>Cám $P 03/25kg - GARDEN GROWER</t>
  </si>
  <si>
    <t>Cám $LR 03/25kg - GARDEN GROWER</t>
  </si>
  <si>
    <t>Cám $LR 02/25kg - GARDEN GROWER</t>
  </si>
  <si>
    <t>Cám $C PREMIUM  B/25kg - GARDEN GROWER</t>
  </si>
  <si>
    <t>Cám $C 03/25kg - GARDEN GROWER</t>
  </si>
  <si>
    <t>Cám $C 02/25kg - GARDEN GROWER</t>
  </si>
  <si>
    <t>Thức ăn chăn nuôi</t>
  </si>
  <si>
    <t>Chi phí điện, nước</t>
  </si>
  <si>
    <t>Chi phí lãi vay Vietinbank bình quân</t>
  </si>
  <si>
    <t>Chi phí nhân công, quản lý</t>
  </si>
  <si>
    <t>Chi phí mua hàng 1 năm kinh doanh</t>
  </si>
  <si>
    <t>Tổng chi phí (I+II)</t>
  </si>
  <si>
    <t>Kinh doanh thức ăn chăn nuôi, phân bón, thuốc BVTV</t>
  </si>
  <si>
    <t>Hồi khô loại III</t>
  </si>
  <si>
    <t>Hồi khô loại II</t>
  </si>
  <si>
    <t>Hồi khô loại I</t>
  </si>
  <si>
    <t>Nhiên liệu sấy</t>
  </si>
  <si>
    <t>Nhân công bốc vác</t>
  </si>
  <si>
    <t>Hồi tươi</t>
  </si>
  <si>
    <t>Tổng tiền bình
 quân 01 năm</t>
  </si>
  <si>
    <t>Tổng tiền bình quân 08 tháng</t>
  </si>
  <si>
    <t>Dự án buôn bán hoa hồi tính chu kỳ 1 năm dự kiến 1,5 vòng quay</t>
  </si>
  <si>
    <t>Kinh doanh buôn bán hoa hồi</t>
  </si>
  <si>
    <t>- Thời hạn xin vay:</t>
  </si>
  <si>
    <t>- Nhu cầu vốn vay:</t>
  </si>
  <si>
    <t>- Vốn tự có tham gia:</t>
  </si>
  <si>
    <t>- Tổng nhu cầu vốn:</t>
  </si>
  <si>
    <t>IV. Kế hoạch vay vốn:</t>
  </si>
  <si>
    <t>=&gt; Lợi nhuận thực thu:</t>
  </si>
  <si>
    <t>- Thuế</t>
  </si>
  <si>
    <t>- Lợi nhuận trước thuế</t>
  </si>
  <si>
    <t xml:space="preserve">    + Chi phí khác</t>
  </si>
  <si>
    <t xml:space="preserve">    + Chi phí quản lý + CP bán hàng</t>
  </si>
  <si>
    <t xml:space="preserve">    + Trả lãi tiền vay</t>
  </si>
  <si>
    <t xml:space="preserve">    + Chi phí giá vốn</t>
  </si>
  <si>
    <t>- Tổng chi phí</t>
  </si>
  <si>
    <t>- Tổng doanh thu</t>
  </si>
  <si>
    <t>*Hiệu quả kinh tế</t>
  </si>
  <si>
    <t>Bán phụ phẩm tấm, cám (10%)</t>
  </si>
  <si>
    <t>Bán gạo {(90%(5)}</t>
  </si>
  <si>
    <t>Mặt hàng</t>
  </si>
  <si>
    <t>III. TỔNG DOANH THU SẢN XUẤT KINH DOANH DỊCH VỤ:</t>
  </si>
  <si>
    <t>vay NH</t>
  </si>
  <si>
    <t xml:space="preserve">đồng. * Vốn xin   </t>
  </si>
  <si>
    <t>* Vốn tự lực:</t>
  </si>
  <si>
    <t xml:space="preserve"> đồng.  </t>
  </si>
  <si>
    <t xml:space="preserve">+ Nhu cầu vốn SXKD: </t>
  </si>
  <si>
    <t xml:space="preserve">ngày. Số vòng quay </t>
  </si>
  <si>
    <t xml:space="preserve">+ Thời hạn xin vay (B): </t>
  </si>
  <si>
    <t>ngày</t>
  </si>
  <si>
    <t xml:space="preserve">+ Số ngày từ khi mua, SX đến khi bán hàng nhận tiền (A): </t>
  </si>
  <si>
    <t xml:space="preserve">III </t>
  </si>
  <si>
    <t>Chi phí lãi tiền vay</t>
  </si>
  <si>
    <t>Chi phí bán hàng + chi phí quản lý + nhân công</t>
  </si>
  <si>
    <t>lau bóng gạo:
{80%(1)+100%(4)}</t>
  </si>
  <si>
    <t>Mua gạo lột vỏ</t>
  </si>
  <si>
    <t>Chi phí xay xát</t>
  </si>
  <si>
    <t>Chi phí phơi sấy</t>
  </si>
  <si>
    <t>Mua lúa nguyên liệu</t>
  </si>
  <si>
    <t>Mặt hàng hoặc chi phí</t>
  </si>
  <si>
    <t>II. TỔNG CHI PHÍ:</t>
  </si>
  <si>
    <t>Quản lý: 1 người</t>
  </si>
  <si>
    <t xml:space="preserve"> Nhân viên: 3 người + </t>
  </si>
  <si>
    <t>4. Về nguồn nhân lực:</t>
  </si>
  <si>
    <t>Kinh doanh lúa gạo</t>
  </si>
  <si>
    <t>Lợi Nhuận</t>
  </si>
  <si>
    <t>Dịch vụ xe tải vận chuyển hàng hóa</t>
  </si>
  <si>
    <t>Các loại hàng hóa khác</t>
  </si>
  <si>
    <t>Vạn</t>
  </si>
  <si>
    <t>Gạch BLOCK</t>
  </si>
  <si>
    <t>Gạch đỏ Tam Điệp</t>
  </si>
  <si>
    <t>Xi măng Hà Trung PC 30</t>
  </si>
  <si>
    <t>Xi măng Tam Sơn PC 40</t>
  </si>
  <si>
    <t>Xi măng Tam Sơn PC 30</t>
  </si>
  <si>
    <t>Xi măng Long Sơn PC 40</t>
  </si>
  <si>
    <t>Xi măng Long Sơn PC 30</t>
  </si>
  <si>
    <t>Doanh thu bán hàng</t>
  </si>
  <si>
    <t>Chi nộp thuế+ chi khác</t>
  </si>
  <si>
    <t>Trả lãi ngân hàng 1.500.000.000 x11%/năm</t>
  </si>
  <si>
    <t>Chi phí nhân công  2Nx 5.000.000 đ/tháng x 12T</t>
  </si>
  <si>
    <t>stt</t>
  </si>
  <si>
    <t>Kinh doanh vật liệu xây dựng</t>
  </si>
  <si>
    <t xml:space="preserve"> =</t>
  </si>
  <si>
    <t xml:space="preserve"> - </t>
  </si>
  <si>
    <t xml:space="preserve">C. LỢI NHUẬN </t>
  </si>
  <si>
    <t>Cộng thu nhập</t>
  </si>
  <si>
    <t>2,5 tấn/ha/năm</t>
  </si>
  <si>
    <t xml:space="preserve">Tấn </t>
  </si>
  <si>
    <t>Doanh thu từ điều</t>
  </si>
  <si>
    <t xml:space="preserve">Đơn vị tính </t>
  </si>
  <si>
    <t>Số lượng/năm</t>
  </si>
  <si>
    <t>B. DOANH THU</t>
  </si>
  <si>
    <t>10%/năm</t>
  </si>
  <si>
    <t xml:space="preserve">Chi phí chăm sóc  </t>
  </si>
  <si>
    <t>Chi phí (làm cỏ 5 đợt, tạo hình...)</t>
  </si>
  <si>
    <t>Phân Kali clorua + Urê</t>
  </si>
  <si>
    <t>TNC</t>
  </si>
  <si>
    <t xml:space="preserve">Phân Lân nung chảy </t>
  </si>
  <si>
    <t>VTC</t>
  </si>
  <si>
    <t>Chi phí chăm sóc cây điều</t>
  </si>
  <si>
    <t>Tỷ Lệ</t>
  </si>
  <si>
    <t>A. CHI PHÍ</t>
  </si>
  <si>
    <t>Chăm sóc cây điều</t>
  </si>
  <si>
    <t>9tấn/ha/năm</t>
  </si>
  <si>
    <t>Tấn mủ nước</t>
  </si>
  <si>
    <t>Doanh thu từ mủ cao su</t>
  </si>
  <si>
    <t xml:space="preserve">Chi phí chăm sóc </t>
  </si>
  <si>
    <t>Chi phí (Thu, gom, vệ sinh, kiềng, cạo, làm cỏ...)</t>
  </si>
  <si>
    <t>Phân Lân nung chảy + Vôi</t>
  </si>
  <si>
    <t>Chi phí CS Cao Su</t>
  </si>
  <si>
    <t>Chăm sóc cây cao su</t>
  </si>
  <si>
    <t>20tấn /ha/năm</t>
  </si>
  <si>
    <t>Doanh thu từ cà phê</t>
  </si>
  <si>
    <t>Chi phí chăm sóc  + thu hoạch</t>
  </si>
  <si>
    <t>Chi phí tưới nước + làm bồn ép xanh</t>
  </si>
  <si>
    <t>Thuốc bảo vệ thực vât</t>
  </si>
  <si>
    <t>Khối</t>
  </si>
  <si>
    <t>Phân bò</t>
  </si>
  <si>
    <t>Phân NPK tổng hợp</t>
  </si>
  <si>
    <t>Chi phí CS cà phê</t>
  </si>
  <si>
    <t>Chăm sóc cây cà phê</t>
  </si>
  <si>
    <t>III/ LỢI NHUẬN CỦA PHƯƠNG ÁN : Thu nhập - chi phí .</t>
  </si>
  <si>
    <t>Sakan-B.complex-VIT-C/1kg</t>
  </si>
  <si>
    <t>Oxy-Amcoli-Dexa/1kg</t>
  </si>
  <si>
    <t>SORBIMIN</t>
  </si>
  <si>
    <t>Oxy -Antigum/100g</t>
  </si>
  <si>
    <t>Oxy - S20/1kg</t>
  </si>
  <si>
    <t>Sakan- Doxy 30% Gold/1kg</t>
  </si>
  <si>
    <t>Ox-Coli 1200/1kg</t>
  </si>
  <si>
    <t>Oxy-Bakich/1kg</t>
  </si>
  <si>
    <t>Sulphamonomethoxine/1kg</t>
  </si>
  <si>
    <t>Oxy-Flordox/1kg</t>
  </si>
  <si>
    <t>Sakan-Ampicoll/1kg</t>
  </si>
  <si>
    <t>Oxy-Bacillus/1kg</t>
  </si>
  <si>
    <t>Vitamic/1kg</t>
  </si>
  <si>
    <t>Sakan-Bromhexin/100g</t>
  </si>
  <si>
    <t>Sakan-Genta Xax/100g</t>
  </si>
  <si>
    <t>Oxy-AnaginC/1kg</t>
  </si>
  <si>
    <t>Oxy-AnaginC/100g</t>
  </si>
  <si>
    <t>Sakan-VitaminK/100g</t>
  </si>
  <si>
    <t>Đơn giá bán</t>
  </si>
  <si>
    <t>ĐV tính : VNĐ</t>
  </si>
  <si>
    <t>như sau :</t>
  </si>
  <si>
    <t xml:space="preserve">Căn cứ vào báo giá của bên cung cấp hàng ( đầu vào) thu nhập của phương án được tính </t>
  </si>
  <si>
    <t>II/ THU NHẬP CỦA PHƯƠNG ÁN .</t>
  </si>
  <si>
    <t>Tổng cộng chi phí</t>
  </si>
  <si>
    <t xml:space="preserve">1 người  x  2.000.000 đ  x  12 tháng = </t>
  </si>
  <si>
    <t xml:space="preserve">Chi thuê bán hàng : </t>
  </si>
  <si>
    <t>Chi nộp thuế</t>
  </si>
  <si>
    <t>Chi phí khác :</t>
  </si>
  <si>
    <t xml:space="preserve">Chi nộp lãi NH </t>
  </si>
  <si>
    <t>I- TỔNG CHI PHÍ CỦA PHƯƠNG ÁN TRONG 1 NĂM</t>
  </si>
  <si>
    <t>Kinh doanh thuốc thú y</t>
  </si>
  <si>
    <t>Vay NH</t>
  </si>
  <si>
    <t>24 tháng</t>
  </si>
  <si>
    <t>Thời gian xin vay</t>
  </si>
  <si>
    <t>Trả nợ lãi</t>
  </si>
  <si>
    <t>Trả gốc</t>
  </si>
  <si>
    <t>KẾ HOẠCH TRẢ NỢ VAY</t>
  </si>
  <si>
    <t>LỢI NHUẬN (C-B)</t>
  </si>
  <si>
    <t>Thu nhập tiêu khô</t>
  </si>
  <si>
    <t>Năng suất tiêu (kg/trụ)</t>
  </si>
  <si>
    <t>Thu nhập cà phê nhân</t>
  </si>
  <si>
    <t>Năng suất cà phê (kg/ha)</t>
  </si>
  <si>
    <t>THU NHẬP (1+2)</t>
  </si>
  <si>
    <t>Chi phí khác.</t>
  </si>
  <si>
    <t>đợt</t>
  </si>
  <si>
    <t>Tưới nước</t>
  </si>
  <si>
    <t>Vội bột</t>
  </si>
  <si>
    <t>Rơm tủ gốc</t>
  </si>
  <si>
    <t>Công chăm sóc</t>
  </si>
  <si>
    <t>Thuốc BVTV, trừ sâu bệnh</t>
  </si>
  <si>
    <t>Phân Kali</t>
  </si>
  <si>
    <t>Phân Urê</t>
  </si>
  <si>
    <t>Mua phân chuồng.</t>
  </si>
  <si>
    <t>Trụ</t>
  </si>
  <si>
    <t>Chi phí chăm sóc tiêu</t>
  </si>
  <si>
    <t>Định mức</t>
  </si>
  <si>
    <t>Thuốc trừ sâu bệnh</t>
  </si>
  <si>
    <t>Phân bón lá</t>
  </si>
  <si>
    <t>Mua phân chuồng</t>
  </si>
  <si>
    <t>Chi phí chăm sóc cà phê</t>
  </si>
  <si>
    <t>TỔNG CHI PHÍ</t>
  </si>
  <si>
    <t>Tường rào</t>
  </si>
  <si>
    <t>Làm sân</t>
  </si>
  <si>
    <t>Sửa kho</t>
  </si>
  <si>
    <t>Đào hồ tưới</t>
  </si>
  <si>
    <t>Mua máy xay cà phê</t>
  </si>
  <si>
    <t>Ống nhựa PVC</t>
  </si>
  <si>
    <t>Dàn</t>
  </si>
  <si>
    <t>Máy phun thuốc</t>
  </si>
  <si>
    <t>Pét phun, phụ kiện</t>
  </si>
  <si>
    <t>Khoan giếng (2 giếng)</t>
  </si>
  <si>
    <t>Mô Tơ</t>
  </si>
  <si>
    <t>CHI PHÍ ĐẦU TƯ</t>
  </si>
  <si>
    <t>Tiêu</t>
  </si>
  <si>
    <t>Cà phê</t>
  </si>
  <si>
    <t>Nguồn trả nợ : Từ lợi nhuân tiêu, cà phê</t>
  </si>
  <si>
    <t>Trồng tiêu, làm sân, sữa chữa nhà kho, giếng tưới, cải tạo hệ thống tưới, thuê đất sản xuất….</t>
  </si>
  <si>
    <t xml:space="preserve">Mục đích vay vốn: </t>
  </si>
  <si>
    <t>Gäúc coìn laûi</t>
  </si>
  <si>
    <t xml:space="preserve">Traí gäúc vay trung haûn </t>
  </si>
  <si>
    <t>Traí laîi vay trung haûn ngán haìng (10,5%/nàm)</t>
  </si>
  <si>
    <t>Kế hoạch trả nợ vay trung hạn: 2.000.000.000 đ</t>
  </si>
  <si>
    <t>LỢI NHUẬN (= II - I)</t>
  </si>
  <si>
    <t>Các loại thức uống khác (90tr/tháng*12tháng)</t>
  </si>
  <si>
    <t>Cây</t>
  </si>
  <si>
    <t>Thuốc lá Dunhill (10 cây/tháng*12tháng)</t>
  </si>
  <si>
    <t>Thuốc lá Caraven (60 cây/tháng*12tháng)</t>
  </si>
  <si>
    <t>Thuốc lá 555 (40 cây/tháng*12tháng)</t>
  </si>
  <si>
    <t>Thuốc lá White horse (80 cây/tháng*12tháng)</t>
  </si>
  <si>
    <t>Nước ngọt các loại</t>
  </si>
  <si>
    <t>Cà phê pha máy (2.100 ly/tháng*20ngđ*12tháng)</t>
  </si>
  <si>
    <t>Cà phê pha phin (3.000 ly/tháng*17ngđ*12tháng)</t>
  </si>
  <si>
    <t>Thu nhập từ KD quán cà phê An Miên</t>
  </si>
  <si>
    <t>II.3</t>
  </si>
  <si>
    <t>Các loại thức uống khác (70tr/tháng*12tháng)</t>
  </si>
  <si>
    <t>Thuốc lá Caraven (50 cây/tháng*12tháng)</t>
  </si>
  <si>
    <t>Cà phê pha máy (2.500 ly/tháng*17ngđ*12tháng)</t>
  </si>
  <si>
    <t>Cà phê pha phin (3.300 ly/tháng*15ngđ*12tháng)</t>
  </si>
  <si>
    <t>Thu nhập từ KD quán cà phê S2</t>
  </si>
  <si>
    <t>II.2</t>
  </si>
  <si>
    <t>Các loại thức uống khác (50tr/tháng*12tháng)</t>
  </si>
  <si>
    <t>Thu nhập từ KD quán cà phê S1</t>
  </si>
  <si>
    <t>II.1</t>
  </si>
  <si>
    <t>DOANH THU (= II.1 + II.2 + II.3)</t>
  </si>
  <si>
    <t>Lãi vay Ngân hàng HMTD 2 tỷ * 8.5%/năm)</t>
  </si>
  <si>
    <t>I.3</t>
  </si>
  <si>
    <t>Kinh doanh quán cà phê An Miên</t>
  </si>
  <si>
    <t>Kinh doanh quán cà phê S2</t>
  </si>
  <si>
    <t>Kinh doanh quán cà phê S1</t>
  </si>
  <si>
    <t>Thuế khoán hộ kinh doanh</t>
  </si>
  <si>
    <t>I.2</t>
  </si>
  <si>
    <t>Chi phí khác (20trđ/tháng*12tháng)</t>
  </si>
  <si>
    <t>Chi phí nhân công (4 người*4trđ/tháng*12tháng)</t>
  </si>
  <si>
    <t>Chi phí điện nước (3trđ/tháng*12tháng)</t>
  </si>
  <si>
    <t>Chi phí thuê mặt bằng (10trđ/tháng*12tháng)</t>
  </si>
  <si>
    <t>Các nguyên vật liệu chế biến thức uống (60trđ/tháng*12tháng)</t>
  </si>
  <si>
    <t>Cà phê hạt (80kg/tháng*12tháng)</t>
  </si>
  <si>
    <t>Cà phê bột (200kg/tháng*12tháng)</t>
  </si>
  <si>
    <t>Chi phí KD quán cà phê An Miên</t>
  </si>
  <si>
    <t>Chi phí khác (15trđ/tháng*12tháng)</t>
  </si>
  <si>
    <t>Các nguyên vật liệu chế biến thức uống (50trđ/tháng*12tháng)</t>
  </si>
  <si>
    <t>Cà phê hạt (120kg/tháng*12tháng)</t>
  </si>
  <si>
    <t>Cà phê bột (220kg/tháng*12tháng)</t>
  </si>
  <si>
    <t>Chi phí KD quán cà phê S2</t>
  </si>
  <si>
    <t>Chi phí điện nước (2trđ/tháng*12tháng)</t>
  </si>
  <si>
    <t>Chi phí thuê mặt bằng (15trđ/tháng*12tháng)</t>
  </si>
  <si>
    <t>Các nguyên vật liệu chế biến thức uống (40trđ/tháng*12tháng)</t>
  </si>
  <si>
    <t>Chi phí KD quán cà phê S1</t>
  </si>
  <si>
    <t>Chi phí đầu tư (3 quán cà phê S1, S2 và An Miên)</t>
  </si>
  <si>
    <t>I.1</t>
  </si>
  <si>
    <t>TỔNG CHI PHÍ (=I.1 + I.2 + I.3)</t>
  </si>
  <si>
    <t>KINH DOANH CÀ PHÊ, NƯỚC GIẢI KHÁT</t>
  </si>
  <si>
    <t xml:space="preserve">Cho vay Bù đắp tài chính cho chi phí xây dựng quán cà phê  và mua sắm trang thiết bị, đồ nội thất cho 3 quán cà phê </t>
  </si>
  <si>
    <t>Năm 0</t>
  </si>
  <si>
    <t>DANH MỤC ĐẦU TƯ</t>
  </si>
  <si>
    <t>Kinh doanh quán cà phê giải khát (3 địa diểm)</t>
  </si>
  <si>
    <t xml:space="preserve">Lợi nhuận còn lại sau khi trừ chi phí đầu tư và lãi vay: </t>
  </si>
  <si>
    <t>Lợi nhuận 2 vụ/ năm</t>
  </si>
  <si>
    <t xml:space="preserve">Bán mãng cầu </t>
  </si>
  <si>
    <t>Thu nhập 2 vụ/ năm</t>
  </si>
  <si>
    <t>Nhân công bao trái</t>
  </si>
  <si>
    <t>Xố bao trái</t>
  </si>
  <si>
    <t>Chi phí điện/dầu cho tưới tiêu</t>
  </si>
  <si>
    <t>Nhân công dọn chòi, tỉa trái (3 đợt)</t>
  </si>
  <si>
    <t>Nhân công bấm nhánh (3 đợt)</t>
  </si>
  <si>
    <t>xe</t>
  </si>
  <si>
    <t>Dây đậu</t>
  </si>
  <si>
    <t>Tro dừa</t>
  </si>
  <si>
    <t>Phân bón hữu cơ định kỳ (3 đợt)</t>
  </si>
  <si>
    <t>Vôi bột</t>
  </si>
  <si>
    <t xml:space="preserve">Phân vô cơ bón lót </t>
  </si>
  <si>
    <t>Phân hữu cơ bón lót</t>
  </si>
  <si>
    <t>Thành tiền (VND)</t>
  </si>
  <si>
    <t>Đơn giá (VND)</t>
  </si>
  <si>
    <t>ĐVT/ Ha</t>
  </si>
  <si>
    <t>Số lượng/ Ha</t>
  </si>
  <si>
    <t>Diện tích (Ha)</t>
  </si>
  <si>
    <t>Vụ mùa</t>
  </si>
  <si>
    <t>CHI PHÍ ĐẦU TƯ CHO 1 HA MÃNG CẦU TA NĂM THỨ 4</t>
  </si>
  <si>
    <t>Chăm sóc cây mãng cầu ta</t>
  </si>
  <si>
    <t>Thu hoạch mì</t>
  </si>
  <si>
    <t>Tiền thuê đất (bình quân)</t>
  </si>
  <si>
    <t>Tiền dầu tưới</t>
  </si>
  <si>
    <t>Thuốc trừ sâu</t>
  </si>
  <si>
    <t>Cày, bừa</t>
  </si>
  <si>
    <t>bó</t>
  </si>
  <si>
    <t>Cây giống</t>
  </si>
  <si>
    <t>Phân bón các loại</t>
  </si>
  <si>
    <t>Trồng, chăm sóc cây mì</t>
  </si>
  <si>
    <t>Tỉ trọng VTC</t>
  </si>
  <si>
    <t>VLĐ 1 vòng</t>
  </si>
  <si>
    <t>Vốn lưu động</t>
  </si>
  <si>
    <t>Bình rượu sâm 15 lít</t>
  </si>
  <si>
    <t>Bình rượu sâm 10 lít</t>
  </si>
  <si>
    <t>Bình rượu sâm 7 lít</t>
  </si>
  <si>
    <t>Bình rượu sâm 5 lít</t>
  </si>
  <si>
    <t>Bình rượu sâm 3 lít</t>
  </si>
  <si>
    <t>Giá trị (đồng)</t>
  </si>
  <si>
    <t>Cách tính</t>
  </si>
  <si>
    <t>2.500.000.000đ x 9%/năm</t>
  </si>
  <si>
    <t>Khấu hao máy móc, phương tiện</t>
  </si>
  <si>
    <t>Chi phí khác (điện, nước …)</t>
  </si>
  <si>
    <t>04 người x 7 triệu/tháng x 12 tháng</t>
  </si>
  <si>
    <t>Các nguyên phụ liệu khác</t>
  </si>
  <si>
    <t>Bình 15L</t>
  </si>
  <si>
    <t>Bình 10L</t>
  </si>
  <si>
    <t>Bình 7L</t>
  </si>
  <si>
    <t>Bình 5L</t>
  </si>
  <si>
    <t>Bình 3L</t>
  </si>
  <si>
    <t>Sâm RS3</t>
  </si>
  <si>
    <t>Sâm RS2</t>
  </si>
  <si>
    <t>Sâm trụ</t>
  </si>
  <si>
    <t>Rượu thành phẩm 96%</t>
  </si>
  <si>
    <t>Kinh doanh rượu sâm</t>
  </si>
  <si>
    <t>Vốn tự có/ tcp</t>
  </si>
  <si>
    <t>Tổng Nhu cầu vốn TCP/2</t>
  </si>
  <si>
    <t>Tổng Tổng chi phí - lãi vay- thuế</t>
  </si>
  <si>
    <t>LỢI NHUẬN DỰ KIẾN</t>
  </si>
  <si>
    <t>Vật liệu phụ</t>
  </si>
  <si>
    <t>Tôn lợp 3 lớp</t>
  </si>
  <si>
    <t xml:space="preserve">Tôn lợp 1 lớp </t>
  </si>
  <si>
    <t xml:space="preserve">kg </t>
  </si>
  <si>
    <t>Ống kẽm</t>
  </si>
  <si>
    <t>Sắt hộp kẽm</t>
  </si>
  <si>
    <t>Nhôm hệ Xingfa</t>
  </si>
  <si>
    <t>Nhôm hệ Việt Pháp -55</t>
  </si>
  <si>
    <t>Inox 201</t>
  </si>
  <si>
    <t>Inox 304</t>
  </si>
  <si>
    <t>TỔNG DOANH THU DỰ KIẾN</t>
  </si>
  <si>
    <t>Công lao động (1 thợ phụ)</t>
  </si>
  <si>
    <t>TỔNG CHI PHÍ DỰ KIẾN</t>
  </si>
  <si>
    <t>Thành tiền
VNĐ</t>
  </si>
  <si>
    <t>Đơn giá
VNĐ</t>
  </si>
  <si>
    <t xml:space="preserve">Sấm </t>
  </si>
  <si>
    <t>Quách Công Hiền</t>
  </si>
  <si>
    <t>Kinh doanh nhôm kính, sắt hộp</t>
  </si>
  <si>
    <t>- Kế hoạch trả nợ lãi: Theo kỳ trả nợ gốc.</t>
  </si>
  <si>
    <t>(iii) Kế hoạch trả nợ</t>
  </si>
  <si>
    <t>- Lãi tiền vay, các chi phí sinh hoạt được hạch toán vào chi phí của phương án vay vốn</t>
  </si>
  <si>
    <t>- Dự kiến trả nợ gốc/ năm:</t>
  </si>
  <si>
    <t>(ii) Thời hạn vay vốn - Nguồn trả nợ hàng năm</t>
  </si>
  <si>
    <t>THU NHẬP CÒN LẠI</t>
  </si>
  <si>
    <t>Thu nhập từ bán heo (95 kg/con x 15 con x 3 lứa x 95%)</t>
  </si>
  <si>
    <t>Heo nuôi 3 tháng, đạt trọng lượng trung bình 95 kg thì xuất chuồng. 1 năm xuất được 3 lứa heo</t>
  </si>
  <si>
    <t>THU NHẬP CỦA PHƯƠNG ÁN</t>
  </si>
  <si>
    <t>Lãi vay bình quân năm</t>
  </si>
  <si>
    <t>Đợt</t>
  </si>
  <si>
    <t>CHI PHÍ CỦA PHƯƠNG ÁN</t>
  </si>
  <si>
    <t>(6=4x5)</t>
  </si>
  <si>
    <t>(5)</t>
  </si>
  <si>
    <t>(4)</t>
  </si>
  <si>
    <t>(3)</t>
  </si>
  <si>
    <t>(2)</t>
  </si>
  <si>
    <t>(1)</t>
  </si>
  <si>
    <t>Đơn giá (đồng/đvt)</t>
  </si>
  <si>
    <t>Hạng mục</t>
  </si>
  <si>
    <t>(i) Nguồn thu nhập để trả nợ vay vốn:</t>
  </si>
  <si>
    <t>=&gt; Chi phí trực tiếp cho 3 lứa heo:</t>
  </si>
  <si>
    <t>Chi điện, nước</t>
  </si>
  <si>
    <t>Tẩy Ký sinh trùng</t>
  </si>
  <si>
    <t>Phun Thuốc sát trùng</t>
  </si>
  <si>
    <t>Chi thú y (100.000 đ/con)</t>
  </si>
  <si>
    <t>Mua cám (1 kg/con/ngày x 15 con x 100 ngày)</t>
  </si>
  <si>
    <t>Mua heo con</t>
  </si>
  <si>
    <t>Chi phí trực tiếp cho 1 lứa heo</t>
  </si>
  <si>
    <t>Hạn mục</t>
  </si>
  <si>
    <t>* Hướng sử dụng tiền vay, theo danh mục sau:</t>
  </si>
  <si>
    <t>Chăn nuôi heo sữa</t>
  </si>
  <si>
    <t>Lợi nhuận/Tháng</t>
  </si>
  <si>
    <t>Cam twister</t>
  </si>
  <si>
    <t>Redbull</t>
  </si>
  <si>
    <t>Cocacola</t>
  </si>
  <si>
    <t>Sting</t>
  </si>
  <si>
    <t>Nguyên liệu (dừa, bơ, mãng cầu, sapoche, đu đủ)</t>
  </si>
  <si>
    <t>Cà phê hạt</t>
  </si>
  <si>
    <t>Hộp</t>
  </si>
  <si>
    <t>Sữa tươi</t>
  </si>
  <si>
    <t>Sữa  đặc</t>
  </si>
  <si>
    <t>Cây 10kg</t>
  </si>
  <si>
    <t>Giá nhập</t>
  </si>
  <si>
    <t>Lon</t>
  </si>
  <si>
    <t>Ly</t>
  </si>
  <si>
    <t>Sinh tố đu đủ</t>
  </si>
  <si>
    <t>Sinh tố sapoche</t>
  </si>
  <si>
    <t>Sinh tố mãng cầu</t>
  </si>
  <si>
    <t>Sinh tố bơ</t>
  </si>
  <si>
    <t>Sinh tố dừa</t>
  </si>
  <si>
    <t>Cà phê sữa đá</t>
  </si>
  <si>
    <t>Cà phê đá</t>
  </si>
  <si>
    <t>BẢNG THU CHI THÁNG 01/2023</t>
  </si>
  <si>
    <t>Kinh doanh nước giải khát</t>
  </si>
  <si>
    <t>TỶ SUẤT LỢI NHUẬN</t>
  </si>
  <si>
    <t xml:space="preserve">LỢI NHUẬN </t>
  </si>
  <si>
    <t>Lộc vừng</t>
  </si>
  <si>
    <t>Tha la</t>
  </si>
  <si>
    <t>Sứ các loại</t>
  </si>
  <si>
    <t>Mai ghép</t>
  </si>
  <si>
    <t>Vạn thiên tùng</t>
  </si>
  <si>
    <t>Lan</t>
  </si>
  <si>
    <t>DOANH THU (xác suất cây chết là 5%)</t>
  </si>
  <si>
    <t>Thuế khoán</t>
  </si>
  <si>
    <t>Các loại chi phí khác</t>
  </si>
  <si>
    <t>Chi phí công cụ, dụng cụ</t>
  </si>
  <si>
    <t>Điện nước</t>
  </si>
  <si>
    <t>Thuốc tăng trường và trừ sâu, rầy</t>
  </si>
  <si>
    <t>Sứ các loại (phân vô cơ)</t>
  </si>
  <si>
    <t>Nhà</t>
  </si>
  <si>
    <t>Vạn thiên tùng (xơ dừa, trấu, phân bò)</t>
  </si>
  <si>
    <t>Đất</t>
  </si>
  <si>
    <t>Lan (phân vô cơ)</t>
  </si>
  <si>
    <t>Vốn vay</t>
  </si>
  <si>
    <t>Tổng NCV (4 vòng, 3 tháng)</t>
  </si>
  <si>
    <t>Tổng CP - LV</t>
  </si>
  <si>
    <t>Kinh doanh cây cảnh</t>
  </si>
  <si>
    <t>Trồng, chăm sóc cây cà phê, tiêu</t>
  </si>
  <si>
    <t>Trồng, chăm sóc hoa cúc chùm</t>
  </si>
  <si>
    <t>Trồng, chăm sóc hoa ly ly</t>
  </si>
  <si>
    <t>Trồng, chăm sóc sú, lơ</t>
  </si>
  <si>
    <t>ĐỊNH MỨC ĐẦU TƯ TRỒNG 1 HA SÚ, LƠ</t>
  </si>
  <si>
    <t xml:space="preserve">Tỉ suất lợi nhuận/doanh thu </t>
  </si>
  <si>
    <t>Chi phí sinh hoạt gia đình</t>
  </si>
  <si>
    <t>Lãi vay Ngân hàng</t>
  </si>
  <si>
    <t>Chênh lệch doanh thu và chi phí</t>
  </si>
  <si>
    <t>3. Lợi nhuận dự kiến</t>
  </si>
  <si>
    <t>Bán lúa</t>
  </si>
  <si>
    <t>Bán cua</t>
  </si>
  <si>
    <t>Bán tôm sú</t>
  </si>
  <si>
    <t>Bán tôm thẻ</t>
  </si>
  <si>
    <t>Bán tôm càng xanh</t>
  </si>
  <si>
    <t>Tổng tiền năm (đ)</t>
  </si>
  <si>
    <t>Chi phí 1 chu kỳ</t>
  </si>
  <si>
    <t>2. Doanh thu:</t>
  </si>
  <si>
    <t>Chi cải tạo xử lý ao nuôi + thuốc</t>
  </si>
  <si>
    <t>Chi phí thức ăn</t>
  </si>
  <si>
    <t>Chi phí tôm thẻ giống</t>
  </si>
  <si>
    <t>Chi phí tôm càng giống</t>
  </si>
  <si>
    <t>Chi phí nuôi tôm</t>
  </si>
  <si>
    <t>.</t>
  </si>
  <si>
    <t>Các loại</t>
  </si>
  <si>
    <t>Chi phí nhân công chăm sóc lúa + thu hoạch</t>
  </si>
  <si>
    <t>Chi phí phân bón + thuốc trừ sâu</t>
  </si>
  <si>
    <t>Chi phí cày xới</t>
  </si>
  <si>
    <t>Chi phí lúa giống</t>
  </si>
  <si>
    <t>Chi phí 1 vụ</t>
  </si>
  <si>
    <t>Chi phí trồng lúa</t>
  </si>
  <si>
    <t>Chi phí nhân công+Chi phí khác</t>
  </si>
  <si>
    <t>Thu mua cua</t>
  </si>
  <si>
    <t>Thu mua tôm sú</t>
  </si>
  <si>
    <t>Thu mua tôm thẻ</t>
  </si>
  <si>
    <t>Thu mua tôm càng xanh</t>
  </si>
  <si>
    <t>Chu kỳ kinh doanh/năm</t>
  </si>
  <si>
    <t>1. Chi phí thu mua hải sản</t>
  </si>
  <si>
    <t>C. HIỆU QUẢ KINH TẾ CỦA DỰ ÁN</t>
  </si>
  <si>
    <t>- Tỷ lệ vốn tự có/ tổng nhu cầu vốn:</t>
  </si>
  <si>
    <t>- Vốn vay tại Agribank:</t>
  </si>
  <si>
    <t>Hiện tại gia đình chúng tôi có diện tích:</t>
  </si>
  <si>
    <t>- Trích từ doanh thu:</t>
  </si>
  <si>
    <t>3. Nguồn trả nợ:</t>
  </si>
  <si>
    <t xml:space="preserve">    - Phướng thức trả lãi:</t>
  </si>
  <si>
    <t>Trả cuối kỳ</t>
  </si>
  <si>
    <t xml:space="preserve">    - Phương thức trả gốc:</t>
  </si>
  <si>
    <t xml:space="preserve">     - Thời hạn xin vay:</t>
  </si>
  <si>
    <t xml:space="preserve">     - Vốn xin vay Agribank:</t>
  </si>
  <si>
    <t xml:space="preserve">     - Vốn tự có tham gia</t>
  </si>
  <si>
    <t>Tồng nhu cầu vốn:</t>
  </si>
  <si>
    <t xml:space="preserve">D. KẾ HOẠCH VAY VỐN VÀ TRẢ NỢ </t>
  </si>
  <si>
    <t>Phân NPK</t>
  </si>
  <si>
    <t>Phân Kali miếng</t>
  </si>
  <si>
    <t>Phân DAP</t>
  </si>
  <si>
    <t>Phân URE</t>
  </si>
  <si>
    <t>1. Chi phí hàng năm</t>
  </si>
  <si>
    <t>Bán heo</t>
  </si>
  <si>
    <t>Bán tôm càng</t>
  </si>
  <si>
    <t>Doanh thu 1 vòng</t>
  </si>
  <si>
    <t xml:space="preserve">Tiêu dùng gia đình: Mua sắm vật dụng </t>
  </si>
  <si>
    <t>Chi phí nhân công</t>
  </si>
  <si>
    <t>Chi phí thuốc</t>
  </si>
  <si>
    <t>Mua thức ăn công nghiệp</t>
  </si>
  <si>
    <t>Mua heo giống</t>
  </si>
  <si>
    <t>Chu kỳ nuôi heo 1 lứa/năm</t>
  </si>
  <si>
    <t>Chu kỳ sản xuất 1 vòng/năm (đối với nuôi tôm)</t>
  </si>
  <si>
    <t>Chu kỳ sản xuất lúa 1 vụ/năm</t>
  </si>
  <si>
    <t>Trồng lúa, chăn nuôi tổng hợp</t>
  </si>
  <si>
    <t>Vốn vay Agribank</t>
  </si>
  <si>
    <t xml:space="preserve">- Nhu cầu vốn lưu động kỳ kế hoạch = Tổng chi phí SXKD kỳ kế hoạch/ Vòng quay vốn lưu động kỳ kế hoạch </t>
  </si>
  <si>
    <t xml:space="preserve">- Tổng chi phí SXKD kỳ kế hoạch (trừ lãi vay, khấu hao): </t>
  </si>
  <si>
    <t>vòng</t>
  </si>
  <si>
    <t>Vòng quay VLĐ dự kiến năm 2019</t>
  </si>
  <si>
    <t>C=B-A</t>
  </si>
  <si>
    <t>Kinh doanh cám</t>
  </si>
  <si>
    <t>Khấu hao cửa hàng</t>
  </si>
  <si>
    <t>Chi lãi vay Agribank</t>
  </si>
  <si>
    <t>Công lao động: 1 nguời</t>
  </si>
  <si>
    <t>Cám cho vịt ngan từ 22 - xuất chuồng</t>
  </si>
  <si>
    <t>Cám cho vịt ngan từ 1- 21 ngày tuổi</t>
  </si>
  <si>
    <t>Cám cho gà từ 22 - xuất chuồng</t>
  </si>
  <si>
    <t>Cám cho gà từ 1 - 10 ngày tuổi</t>
  </si>
  <si>
    <t>Cám HH cho gia cầm</t>
  </si>
  <si>
    <t xml:space="preserve">Cám:H16-25- HH cho lợn nái                       </t>
  </si>
  <si>
    <t>Cám:H12076-25- HH cc cho lợn siêu nạc từ 15kg – 30kg</t>
  </si>
  <si>
    <t>Cám: H1076-25-HH cc cho lợn siêu nạc từ 12kg – 30kg</t>
  </si>
  <si>
    <t>Cám: H11-25-HHcc cho lợn con từ tập ăn – 15kg</t>
  </si>
  <si>
    <t>Kinh doanh thức ăn chăn nuôi.</t>
  </si>
  <si>
    <t>Chi phí kinh doanh = I+II</t>
  </si>
  <si>
    <t xml:space="preserve">Danh mục </t>
  </si>
  <si>
    <t>Vòng quay VLĐ dự kiến năm 2023</t>
  </si>
  <si>
    <t>Khấu hao TSCĐ</t>
  </si>
  <si>
    <t>Các loại phụ kiện khác</t>
  </si>
  <si>
    <t>Đệm ghế</t>
  </si>
  <si>
    <t>M2</t>
  </si>
  <si>
    <t>Thảm chải sản hội trường</t>
  </si>
  <si>
    <t>Thảm chải sản phòng khách</t>
  </si>
  <si>
    <t>Màn khung</t>
  </si>
  <si>
    <t>Rèm che nắng hiên</t>
  </si>
  <si>
    <t>Rèm cầu vồng</t>
  </si>
  <si>
    <t>Rèm gỗ</t>
  </si>
  <si>
    <t>Rèm vải</t>
  </si>
  <si>
    <t>Kinh doanh rèm, màn khung, thảm chải sàn</t>
  </si>
  <si>
    <t>Kinh doanh rèm cửa, màn khung</t>
  </si>
  <si>
    <r>
      <rPr>
        <b/>
        <sz val="13"/>
        <rFont val="Times New Roman"/>
        <family val="1"/>
      </rPr>
      <t xml:space="preserve">- Nguồn trả nợ vay </t>
    </r>
    <r>
      <rPr>
        <sz val="13"/>
        <rFont val="Times New Roman"/>
        <family val="1"/>
      </rPr>
      <t>: Doanh thu từ phương án</t>
    </r>
  </si>
  <si>
    <t xml:space="preserve">                            Lợi nhuận = Doanh thu - Chi phí :</t>
  </si>
  <si>
    <t>Lợi nhuận :</t>
  </si>
  <si>
    <t xml:space="preserve">Doanh thu: </t>
  </si>
  <si>
    <t xml:space="preserve">Nhu cầu vay vốn = Tổng chi phí - (Lãi vay + Thuế + Khấu hao) </t>
  </si>
  <si>
    <t>Chi khác: điện, nước, bao bì…</t>
  </si>
  <si>
    <t>Chi Khấu hao cửa hàng</t>
  </si>
  <si>
    <t>LN/DT</t>
  </si>
  <si>
    <t>Chi trả thuế</t>
  </si>
  <si>
    <t>LN/VTC</t>
  </si>
  <si>
    <t xml:space="preserve"> %</t>
  </si>
  <si>
    <t>Trả lãi tiền vay (LS bình quân)</t>
  </si>
  <si>
    <t xml:space="preserve"> Người </t>
  </si>
  <si>
    <t>Trả lương lao động</t>
  </si>
  <si>
    <t>Chi phí hoạt động cho 01 năm:</t>
  </si>
  <si>
    <t>Tổng Doanh Thu</t>
  </si>
  <si>
    <t>Chiếc</t>
  </si>
  <si>
    <t>Bạc Càng</t>
  </si>
  <si>
    <t>Doanh Thu từ bán phụ tùng</t>
  </si>
  <si>
    <t>Giỏ Xe</t>
  </si>
  <si>
    <t>CLĐVĐR</t>
  </si>
  <si>
    <t>Garde Boue Sau</t>
  </si>
  <si>
    <t>Sửa chữa</t>
  </si>
  <si>
    <t>Garde Boue Trước</t>
  </si>
  <si>
    <t>Tay Xách</t>
  </si>
  <si>
    <t>Giảm sóc Sau</t>
  </si>
  <si>
    <t>Giảm sóc Trước</t>
  </si>
  <si>
    <t>Bô Xe</t>
  </si>
  <si>
    <t>Yên Xe</t>
  </si>
  <si>
    <t>Đề</t>
  </si>
  <si>
    <t>Chế Xe Máy</t>
  </si>
  <si>
    <t>Còi Xe</t>
  </si>
  <si>
    <t>Dây Ga</t>
  </si>
  <si>
    <t>STV</t>
  </si>
  <si>
    <t>Dây Phanh</t>
  </si>
  <si>
    <t>Má Phanh</t>
  </si>
  <si>
    <t>Tổng NCV</t>
  </si>
  <si>
    <t>Vòng Bi</t>
  </si>
  <si>
    <t>Bình Ắc Quy</t>
  </si>
  <si>
    <t>Xăm Sao Vàng</t>
  </si>
  <si>
    <t>Lốp Sao Vàng</t>
  </si>
  <si>
    <t>Lốp KenĐa</t>
  </si>
  <si>
    <t>Chi phí giá vốn tính cho 01 năm:</t>
  </si>
  <si>
    <t>Tên hàng hoá</t>
  </si>
  <si>
    <t>Doanh Thu từ ….</t>
  </si>
  <si>
    <t>- Nguồn trả nợ vay : Doanh thu từ phương án</t>
  </si>
  <si>
    <t>* Lợi nhuận :  Lợi nhuận = Doanh thu - Chi phí :</t>
  </si>
  <si>
    <t xml:space="preserve">* Doanh thu: </t>
  </si>
  <si>
    <t>TN/DT</t>
  </si>
  <si>
    <t xml:space="preserve">Nhu cầu vay vốn = Tổng chi phí - (Lãi vay + thuế + Khấu hao) </t>
  </si>
  <si>
    <t>Tổng chi phí (A+B)</t>
  </si>
  <si>
    <t xml:space="preserve">Chi khác: </t>
  </si>
  <si>
    <t>Chi điện, nước, vận chuyển</t>
  </si>
  <si>
    <t>Trả lãi tiền vay</t>
  </si>
  <si>
    <t>Quần áo các loại</t>
  </si>
  <si>
    <t>Tờ</t>
  </si>
  <si>
    <t>Giấy gió</t>
  </si>
  <si>
    <t>Dây</t>
  </si>
  <si>
    <t>Dây xu</t>
  </si>
  <si>
    <t>Quạt bé</t>
  </si>
  <si>
    <t>Thuyền</t>
  </si>
  <si>
    <t>Thuyền đèn</t>
  </si>
  <si>
    <t>Thùng xếp</t>
  </si>
  <si>
    <t>Bao táo</t>
  </si>
  <si>
    <t>Hoa Đại</t>
  </si>
  <si>
    <t>Đai đen</t>
  </si>
  <si>
    <t>Chi phí giá vốn tính cho 01 năm (Đồ vàng mã các loại):</t>
  </si>
  <si>
    <t>Thành tiền (VNĐ)</t>
  </si>
  <si>
    <t>Kinh doanh hàng mã</t>
  </si>
  <si>
    <t>Nhu cầu vay vốn = Tổng chi phí - (Lãi vay + thuế + Khấu hao)</t>
  </si>
  <si>
    <t>Chi trả tiền thuê ô chợ</t>
  </si>
  <si>
    <t>Chi Khấu hao máy móc, giá để hàng</t>
  </si>
  <si>
    <t>Doanh Thu từ KD</t>
  </si>
  <si>
    <t>Chậu nhựa Việt Nhật</t>
  </si>
  <si>
    <t>Xô nhựa Việt Nhật</t>
  </si>
  <si>
    <t>Ấm chén thờ</t>
  </si>
  <si>
    <t>Ống đựng hương</t>
  </si>
  <si>
    <t>Lọ hoa thủy tinh</t>
  </si>
  <si>
    <t>Chén rượu</t>
  </si>
  <si>
    <t>Âu cơm</t>
  </si>
  <si>
    <t>Bát, đĩa chấm</t>
  </si>
  <si>
    <t>Đĩa bầu dục to</t>
  </si>
  <si>
    <t>Đĩa bằng, đĩa sâu</t>
  </si>
  <si>
    <t>Bát tô</t>
  </si>
  <si>
    <t>Bát con</t>
  </si>
  <si>
    <t>Bộ ấm chén</t>
  </si>
  <si>
    <t>Kinh doanh bát đĩa, đồ nhựa</t>
  </si>
  <si>
    <t xml:space="preserve">Doanh Thu từ </t>
  </si>
  <si>
    <t>Doanh thu - Chi phí :</t>
  </si>
  <si>
    <t xml:space="preserve">                                                                                                                                                                                   </t>
  </si>
  <si>
    <t>Khấu hao máy tính, giá để hàng</t>
  </si>
  <si>
    <t>Chi thuê địa điểm kinh doanh</t>
  </si>
  <si>
    <t>Kẹp</t>
  </si>
  <si>
    <t>Van</t>
  </si>
  <si>
    <t>Máy hút mùi</t>
  </si>
  <si>
    <t>Bếp ga các loại</t>
  </si>
  <si>
    <t>Xoong, nồi các loại</t>
  </si>
  <si>
    <t>Kinh doanh bếp gas các loại</t>
  </si>
  <si>
    <t>Kinh doanh phân bón, thuốc bảo vệ thực vật, lúa giống…</t>
  </si>
  <si>
    <t xml:space="preserve">Chi phí bảo dưỡng máy bơm, nâng cấp hệ thống tưới + chi phí khác </t>
  </si>
  <si>
    <t>Kinh doanh thức ăn chăn nuôi (cám lợn)</t>
  </si>
  <si>
    <t>Kinh doanh thức ăn chăn nuôi (cám gà, vịt)</t>
  </si>
  <si>
    <t>Kinh doanh thủy hải sản, trồng lúa, nuôi tôm, cua</t>
  </si>
  <si>
    <t>Chăn nuôi bò sữa</t>
  </si>
  <si>
    <t>Trồng, chăm sóc hoa cúc đóa</t>
  </si>
  <si>
    <t>Phụ kiện khác</t>
  </si>
  <si>
    <t>OK</t>
  </si>
  <si>
    <t>Sagami</t>
  </si>
  <si>
    <t>Durex</t>
  </si>
  <si>
    <t>Kinh doanh Bao cao su</t>
  </si>
  <si>
    <t>400.000.000đ</t>
  </si>
  <si>
    <t>Năm thứ năm:</t>
  </si>
  <si>
    <t>Năm thứ tư:</t>
  </si>
  <si>
    <t>Năm thứ ba:</t>
  </si>
  <si>
    <t>Năm thứ hai:</t>
  </si>
  <si>
    <t>Năm thứ nhất:</t>
  </si>
  <si>
    <t>60 tháng</t>
  </si>
  <si>
    <t>Thời hạn trả nợ:</t>
  </si>
  <si>
    <t>Nguồn trả nợ từ thực lãi và doanh thu bán mai</t>
  </si>
  <si>
    <t>5/ Thực lãi:</t>
  </si>
  <si>
    <t>4/ Chi phí lãi vay:</t>
  </si>
  <si>
    <t>3/ Lãi gộp:</t>
  </si>
  <si>
    <t>+ Cho thuê mai ghép</t>
  </si>
  <si>
    <t>+ Mai ghép gốc trung</t>
  </si>
  <si>
    <t>+ Mai ghép gốc lớn</t>
  </si>
  <si>
    <t>+ Năm thứ 5:</t>
  </si>
  <si>
    <t>+ Năm thứ 4:</t>
  </si>
  <si>
    <t>+ Năm thứ 3:</t>
  </si>
  <si>
    <t>+ Năm thứ 2:</t>
  </si>
  <si>
    <t>+ Năm thứ 1:</t>
  </si>
  <si>
    <t xml:space="preserve">Doanh thu dự kiến khoảng </t>
  </si>
  <si>
    <t>2/ Tổng doanh thu:</t>
  </si>
  <si>
    <t>+ Hệ thống tưới nước, tường rào</t>
  </si>
  <si>
    <t>+ Cải tạo đất</t>
  </si>
  <si>
    <t>+ Nhân công:</t>
  </si>
  <si>
    <t>+ Điện nước :</t>
  </si>
  <si>
    <t>+ Phân tro, thuốc trừ sâu, dưỡng cây</t>
  </si>
  <si>
    <t>+ Chậu:</t>
  </si>
  <si>
    <t xml:space="preserve"> + Gốc trung</t>
  </si>
  <si>
    <t>+ Gốc lớn</t>
  </si>
  <si>
    <t>1/ Tổng chi phí:</t>
  </si>
  <si>
    <t xml:space="preserve">II/ Tính toán hiệu quả kinh tế : </t>
  </si>
  <si>
    <t>Vốn vay ngân hàng:</t>
  </si>
  <si>
    <t>I/Tổng nhu cầu vốn:</t>
  </si>
  <si>
    <t>Quy mô đầu tư : 2.814   m2</t>
  </si>
  <si>
    <t>Trồng, chăm sóc mai ghép</t>
  </si>
  <si>
    <t>sheet "HOME"). Khi thêm hoặc xoá sheet, chỉ cần bấm "CẬP NHẬT" thì sẽ tự động chèn thêm nút</t>
  </si>
  <si>
    <t>"HOME", nút "MENU" ở sheet vừa thêm. Tên của PAVV được lấy tự động từ ô C1 của sheet</t>
  </si>
  <si>
    <t>Thời hạn HMTD</t>
  </si>
  <si>
    <t>Nhu cầu vay vốn ngân hàng</t>
  </si>
  <si>
    <t>Vốn tự có tham gia</t>
  </si>
  <si>
    <t>Vốn lưu động cần thiết</t>
  </si>
  <si>
    <t>Vòng quay vốn lưu động dự kiến</t>
  </si>
  <si>
    <t>Tổng chi phí cần thiết trong kỳ</t>
  </si>
  <si>
    <t>* Xác định hạn mức tín dụng</t>
  </si>
  <si>
    <t>LỢI NHUẬN DỰ KIẾN:</t>
  </si>
  <si>
    <t>Chi phí cần thiết khác:</t>
  </si>
  <si>
    <t>Chi phí điện, nước, điện thoại:</t>
  </si>
  <si>
    <t>Chi phí khấu hao quầy bán hàng:</t>
  </si>
  <si>
    <t>Chi phí trả lãi vay: 600.000.000đ x 11%/năm</t>
  </si>
  <si>
    <t>Chi phí nhân công: 5.000.000đ/tháng x12 tháng x 1 người</t>
  </si>
  <si>
    <t>CHI HOẠT ĐỘNG:</t>
  </si>
  <si>
    <t>CHÊNH LỆCH (DOANH THU - CHI PHÍ):</t>
  </si>
  <si>
    <t>Bánh kẹo các loại</t>
  </si>
  <si>
    <t>Vòng đeo tay các loai</t>
  </si>
  <si>
    <t>Tiêu, sáo các loại</t>
  </si>
  <si>
    <t>Kính kiểu các loại</t>
  </si>
  <si>
    <t>Đồng hồ đeo tay các loại</t>
  </si>
  <si>
    <t>Túi mang ba lô thổ cẩm các loại</t>
  </si>
  <si>
    <t>Túi xách các loại</t>
  </si>
  <si>
    <t>Áo thổ cẩm các loại</t>
  </si>
  <si>
    <t>mét</t>
  </si>
  <si>
    <t>Vải thổ cẩm các loại</t>
  </si>
  <si>
    <t>Áo Quần các loại</t>
  </si>
  <si>
    <t>Đồ gỗ mỹ nghệ các loại</t>
  </si>
  <si>
    <t>Gốm sứ mỹ nghệ các loại</t>
  </si>
  <si>
    <t>TỔNG DOANH THU DỰ KIẾN:</t>
  </si>
  <si>
    <t>TỔNG CHI PHÍ DỰ KIẾN:</t>
  </si>
  <si>
    <t>Đơn giá BQ</t>
  </si>
  <si>
    <t>/năm</t>
  </si>
  <si>
    <t>Lãi suất vay vốn</t>
  </si>
  <si>
    <t xml:space="preserve"> đồng </t>
  </si>
  <si>
    <t>Nhu cầu vay vốn Agribank:</t>
  </si>
  <si>
    <t xml:space="preserve">Vốn đối ứng tham gia: </t>
  </si>
  <si>
    <t xml:space="preserve"> -</t>
  </si>
  <si>
    <t>Vốn lưu động cần thiết:</t>
  </si>
  <si>
    <t>vòng/năm</t>
  </si>
  <si>
    <t>Vòng quay VLĐ:</t>
  </si>
  <si>
    <t>Tổng nhu cầu vốn SXKD trong kỳ:</t>
  </si>
  <si>
    <t>Xác định Hạn mức tín dụng:</t>
  </si>
  <si>
    <t>Lãi vay Ngân hàng: 2.000.000.000 đ x 10%/năm</t>
  </si>
  <si>
    <t>TỔNG CP</t>
  </si>
  <si>
    <t>Nộp thuế các loại: 300.000 đ/tháng x 12 tháng</t>
  </si>
  <si>
    <t>Chi phí mua Gas, giấy ăn, chất tẩy rửa các loại…</t>
  </si>
  <si>
    <t>Chi tiền điện, nước, điện thoại, wifi: 2.000.000 đ/tháng x 12 tháng</t>
  </si>
  <si>
    <t>Trả lương bếp trưởng: 02 người x 15.000.000 đ/tháng x 12 tháng</t>
  </si>
  <si>
    <t>Trả lương nhân viên: 5 người x 5.000.000 đ/tháng x 12 tháng</t>
  </si>
  <si>
    <t>Chi phí hoạt động</t>
  </si>
  <si>
    <t>Lợi nhuận gộp</t>
  </si>
  <si>
    <t>90 suất/ngày x 70.000 đ/suất x 25 ngày/tháng x 12 tháng</t>
  </si>
  <si>
    <t xml:space="preserve">Thu từ dịch vụ đồ ăn: </t>
  </si>
  <si>
    <t>Nước giải khát các loại</t>
  </si>
  <si>
    <t>két</t>
  </si>
  <si>
    <t>Bia chai các loại</t>
  </si>
  <si>
    <t>Bia lon các loại</t>
  </si>
  <si>
    <t>Thu từ dịch vụ đồ uống:</t>
  </si>
  <si>
    <t>Các loại thực phẩm khác</t>
  </si>
  <si>
    <t>Rau, củ, quả, và gia vị các loại</t>
  </si>
  <si>
    <t>Hải sản các loại</t>
  </si>
  <si>
    <t>Thịt vịt các loại</t>
  </si>
  <si>
    <t>Thịt gà các loại</t>
  </si>
  <si>
    <t>Thịt Bò các loại</t>
  </si>
  <si>
    <t>Thịt Heo các loại</t>
  </si>
  <si>
    <t>Doanh số mua vào trong năm</t>
  </si>
  <si>
    <t>e) Lợi nhuận:</t>
  </si>
  <si>
    <t>+</t>
  </si>
  <si>
    <t>d) Tổng chi phí:</t>
  </si>
  <si>
    <t>Chi khác:</t>
  </si>
  <si>
    <t>Nộp thuế:</t>
  </si>
  <si>
    <t>Khấu hao quán:</t>
  </si>
  <si>
    <t>c) Chi phí hoạt động trong kỳ</t>
  </si>
  <si>
    <t>Đơn giá b/q</t>
  </si>
  <si>
    <t>Đ/V</t>
  </si>
  <si>
    <t>b) Doanh số bán ra:</t>
  </si>
  <si>
    <t>Sắn củ</t>
  </si>
  <si>
    <t>Lúa</t>
  </si>
  <si>
    <t>Đậu lạc</t>
  </si>
  <si>
    <t>a) Chi phí mua vào:</t>
  </si>
  <si>
    <t>Chi phí cần thiết khác</t>
  </si>
  <si>
    <t>Chi phí khấu hao quầy bán hàng</t>
  </si>
  <si>
    <t>Chi phí trả lãi vay: 2.000.000.000 đ x 9%/năm</t>
  </si>
  <si>
    <t>Chi phí nhân công: 7.000.000 đ x12 tháng x 2 người</t>
  </si>
  <si>
    <t>CHI HOẠT ĐỘNG</t>
  </si>
  <si>
    <t>CHÊNH LỆCH (DTHU - CHI PHÍ)</t>
  </si>
  <si>
    <t>Nhớt Shell Rimula R4 15W-40 18L</t>
  </si>
  <si>
    <t>Nhớt Castron Vecton 15W-40 18L</t>
  </si>
  <si>
    <t>Nhớt Yuko Turbo Diesel 15W-40 20L</t>
  </si>
  <si>
    <t>Nhớt Yuko Diesel Mã Extra 20W-50 20L</t>
  </si>
  <si>
    <t>Nhớt Wolver Turbo Super 20W-50 20L</t>
  </si>
  <si>
    <t>Nhớt Wolver Turbo Power 20W-50 20L</t>
  </si>
  <si>
    <t>Lốp xe tải DRC BIAS 7,00/16/14 PR-54B</t>
  </si>
  <si>
    <t>Lốp xe tải DRC BIAS 9,00R20/16PR-53D</t>
  </si>
  <si>
    <t>Lốp xe tải DRC BIAS 12,00R20/20PR-55B</t>
  </si>
  <si>
    <t>Lốp xe tải Michelin 205/75R17.5 XZE2 TL 124/122M</t>
  </si>
  <si>
    <t>Lốp xe tải bố kẽm Michelin 700R16</t>
  </si>
  <si>
    <t>TỔNG DOANH THU DỰ KIẾN</t>
  </si>
  <si>
    <t>Lốp xe tải DRC BIAS 7.00/16/14 PR-54B</t>
  </si>
  <si>
    <t>Lốp xe tải DRC BIAS 9.00R20/16PR-53D</t>
  </si>
  <si>
    <t>Lốp xe tải DRC BIAS 12.00R20/20PR-55B</t>
  </si>
  <si>
    <t>Các mặt hàng khác</t>
  </si>
  <si>
    <t>Vải pun các loại</t>
  </si>
  <si>
    <t>Vải áo dài</t>
  </si>
  <si>
    <t>Vải nhung</t>
  </si>
  <si>
    <t>Vải áo Puri</t>
  </si>
  <si>
    <t>Vải áo pulip</t>
  </si>
  <si>
    <t>Vải áo tơ tằm</t>
  </si>
  <si>
    <t>Vải áo lụa sáng</t>
  </si>
  <si>
    <t>Vải áo lụa Thái Tuấn</t>
  </si>
  <si>
    <t>Vải áo tơ</t>
  </si>
  <si>
    <t>Vải lon sọc</t>
  </si>
  <si>
    <t>Vải áo len xù</t>
  </si>
  <si>
    <t>Vải áo len</t>
  </si>
  <si>
    <t>Vải biên chữ 100</t>
  </si>
  <si>
    <t>Vải quần láng</t>
  </si>
  <si>
    <t>Vải kaki xịn</t>
  </si>
  <si>
    <t>Vải bố sọc</t>
  </si>
  <si>
    <t>Vải Kaki</t>
  </si>
  <si>
    <t>Vải quần cháy</t>
  </si>
  <si>
    <t xml:space="preserve"> Vải quần tây</t>
  </si>
  <si>
    <t>Tỷ lệ vốn tự có tham gia vào dự án:</t>
  </si>
  <si>
    <t>+ Nhu cầu vốn vay Ngân hàng:</t>
  </si>
  <si>
    <t xml:space="preserve">đ. </t>
  </si>
  <si>
    <t>+ Vốn tự có và huy động khác:</t>
  </si>
  <si>
    <t>Nhu cầu vốn lưu động cần thiết:</t>
  </si>
  <si>
    <t>Vòng quay vốn lưu động dự kiến:</t>
  </si>
  <si>
    <t>Tổng chi phí SXKD trong kỳ:</t>
  </si>
  <si>
    <t>Xác định hạn mức tín dụng:</t>
  </si>
  <si>
    <t>a.</t>
  </si>
  <si>
    <t>6-</t>
  </si>
  <si>
    <t>e.</t>
  </si>
  <si>
    <t>Khấu hao TSCĐ:</t>
  </si>
  <si>
    <t>2.000.000.000 đ  x  9,50%/năm</t>
  </si>
  <si>
    <t xml:space="preserve">Chi trả lãi vay NH:           </t>
  </si>
  <si>
    <t>Nôp thuế các loại:</t>
  </si>
  <si>
    <t>1,000,000 đ/tháng  x  12 tháng</t>
  </si>
  <si>
    <t xml:space="preserve">Chi phí vận chuyển, bốc dỡ:     </t>
  </si>
  <si>
    <t>650,000 đ/th  x  12 tháng</t>
  </si>
  <si>
    <t xml:space="preserve">Chi phí điện nước, điện thoại:     </t>
  </si>
  <si>
    <t>7,000,000đ/ng  x  12 tháng  x 03 ng</t>
  </si>
  <si>
    <t xml:space="preserve">Chi phí nhân công:     </t>
  </si>
  <si>
    <t>Chi phí hoạt động:</t>
  </si>
  <si>
    <t>d.</t>
  </si>
  <si>
    <t>Chênh lệch giá bán  (BQ/năm)</t>
  </si>
  <si>
    <t>c.</t>
  </si>
  <si>
    <t>Xích cam</t>
  </si>
  <si>
    <t>Xăm</t>
  </si>
  <si>
    <t>Má phanh</t>
  </si>
  <si>
    <t>Còi</t>
  </si>
  <si>
    <t>Ống Bô</t>
  </si>
  <si>
    <t>Tăm</t>
  </si>
  <si>
    <t>Dây phanh</t>
  </si>
  <si>
    <t>Bình</t>
  </si>
  <si>
    <t>Dầu cầu</t>
  </si>
  <si>
    <t>Dầu- nhớt</t>
  </si>
  <si>
    <t>Bi</t>
  </si>
  <si>
    <t>Mi ơ</t>
  </si>
  <si>
    <t>Vành xe</t>
  </si>
  <si>
    <t>Ổ khóa</t>
  </si>
  <si>
    <t>I xê</t>
  </si>
  <si>
    <t>Bình điện</t>
  </si>
  <si>
    <t>Võ nhựa xe máy</t>
  </si>
  <si>
    <t>Lốp</t>
  </si>
  <si>
    <t>Nhong xích</t>
  </si>
  <si>
    <t>Doanh số bán ra (BQ/năm)</t>
  </si>
  <si>
    <t>b.</t>
  </si>
  <si>
    <t>Doanh số mua vào (BQ/năm)</t>
  </si>
  <si>
    <t>Đơn giá 
(Giá BQ)</t>
  </si>
  <si>
    <t>Chi phí trả lãi vay: 1.500.000.000 đ x 12%/năm</t>
  </si>
  <si>
    <t>Chi phí nhân công: 5.000.000đ x12 tháng x 6 người</t>
  </si>
  <si>
    <t>CHÊNH LỆCH (DTHU - CHI PHÍ):</t>
  </si>
  <si>
    <t>Đá thành phẩm: 40.000 kg/tháng x 12 tháng x 5.000 đ/kg</t>
  </si>
  <si>
    <t>Chi mua nguyên, nhiên liệu khác:</t>
  </si>
  <si>
    <t>Chi mua nước sạch: 6.000 m³/tháng x 12 tháng x 15.000 đ/lít</t>
  </si>
  <si>
    <t>Kinh doanh chế biến đá lạnh</t>
  </si>
  <si>
    <t>Trả lãi vay:                                      2.000.000.000 x 9%/năm</t>
  </si>
  <si>
    <t>Công lao động:                               4.000.000 đ/tháng x 12 tháng x 2 người</t>
  </si>
  <si>
    <t>c) Chi phí hoạt động trong kỳ:</t>
  </si>
  <si>
    <t>Vòng đeo cổ gỗ hương</t>
  </si>
  <si>
    <t>Vòng đeo cổ gỗ huê</t>
  </si>
  <si>
    <t>Vòng đeo cổ gỗ gõ</t>
  </si>
  <si>
    <t>Vòng đeo tay gỗ hương</t>
  </si>
  <si>
    <t>Vòng đeo tay gỗ huê</t>
  </si>
  <si>
    <t>Vòng đeo tay gỗ gõ</t>
  </si>
  <si>
    <t>b) Doanh số bán ra</t>
  </si>
  <si>
    <t>Các loại gỗ khác</t>
  </si>
  <si>
    <t>Gỗ hương</t>
  </si>
  <si>
    <t>Gỗ huê</t>
  </si>
  <si>
    <t>Gỗ gõ</t>
  </si>
  <si>
    <t>Kinh doanh sản xuất cườm hạt</t>
  </si>
  <si>
    <r>
      <t xml:space="preserve">Trả lãi vay:                                          </t>
    </r>
    <r>
      <rPr>
        <sz val="13"/>
        <color rgb="FFFF0000"/>
        <rFont val="Times New Roman"/>
        <family val="1"/>
      </rPr>
      <t>1.800.000.000</t>
    </r>
    <r>
      <rPr>
        <sz val="13"/>
        <rFont val="Times New Roman"/>
        <family val="1"/>
      </rPr>
      <t xml:space="preserve">đ x </t>
    </r>
    <r>
      <rPr>
        <sz val="13"/>
        <color rgb="FFFF0000"/>
        <rFont val="Times New Roman"/>
        <family val="1"/>
      </rPr>
      <t>9</t>
    </r>
    <r>
      <rPr>
        <sz val="13"/>
        <rFont val="Times New Roman"/>
        <family val="1"/>
      </rPr>
      <t>%/năm</t>
    </r>
  </si>
  <si>
    <t>Công lao động:                                  5.000.000 đ/tháng x 12 tháng x 3 người</t>
  </si>
  <si>
    <t>Giá sách Melamine An Cường cốt MDF chống ẩm</t>
  </si>
  <si>
    <t>Giá sách Melamine MINH LONG  ván MDF chống ẩm</t>
  </si>
  <si>
    <t>Giá sách Ván MDF melamin chống ẩm Thái Lan</t>
  </si>
  <si>
    <t>Cánh Acrylic, thùng Melamine MDF cốt xanh An Cường tủ đựng quần áo</t>
  </si>
  <si>
    <t>Cánh LAMINATE, thùng Melamine MDF cốt xanh An Cường tủ đựng quần áo</t>
  </si>
  <si>
    <t>Tủ đựng quần áo Melamine An Cường cốt MDF chống ẩm</t>
  </si>
  <si>
    <t>Tủ đựng quần áo Melamine MINH LONG  ván MDF chống ẩm</t>
  </si>
  <si>
    <t>Tủ đựng quần áo Ván MDF melamin chống ẩm Thái Lan</t>
  </si>
  <si>
    <t>Cánh Acrylic, thùng Melamine MDF cốt xanh An Cường</t>
  </si>
  <si>
    <t>Cánh LAMINATE, thùng Melamine MDF cốt xanh An Cường</t>
  </si>
  <si>
    <t>Melamine An Cường cốt MDF chống ẩm</t>
  </si>
  <si>
    <t>Melamine MINH LONG  ván MDF chống ẩm</t>
  </si>
  <si>
    <t>Ván MDF melamin chống ẩm Thái Lan</t>
  </si>
  <si>
    <t>Sản xuất sản phẩm từ gỗ công nghiệp</t>
  </si>
  <si>
    <t>y</t>
  </si>
  <si>
    <t>vốn va</t>
  </si>
  <si>
    <t>VLĐ cần thiết</t>
  </si>
  <si>
    <t>vòng quay</t>
  </si>
  <si>
    <t>Doanh thu (dự kiến bằng 125% giá vốn hàng bán)</t>
  </si>
  <si>
    <t>Điện thoại</t>
  </si>
  <si>
    <t>Lãi tiền vay ngân hàng (8%/năm)</t>
  </si>
  <si>
    <t>Chi phí trực tiếp khác</t>
  </si>
  <si>
    <t>Quần sooc bò</t>
  </si>
  <si>
    <t>Áo len nam</t>
  </si>
  <si>
    <t>Áo len nữ</t>
  </si>
  <si>
    <t xml:space="preserve">Ba lô </t>
  </si>
  <si>
    <t>Chân váy</t>
  </si>
  <si>
    <t>Quần baggy</t>
  </si>
  <si>
    <t>Khắn tắm</t>
  </si>
  <si>
    <t>Quần gió</t>
  </si>
  <si>
    <t>Quần hộp nhỏ 120</t>
  </si>
  <si>
    <t>Quần hộp 902</t>
  </si>
  <si>
    <t>Bộ pijama</t>
  </si>
  <si>
    <t>Áo gió</t>
  </si>
  <si>
    <t>Quần đùi gió</t>
  </si>
  <si>
    <t>Áo da cá mũ</t>
  </si>
  <si>
    <t>Áo sơ mi len</t>
  </si>
  <si>
    <t>Áo giữ nhiệt nam, nữ</t>
  </si>
  <si>
    <t>Áo nỉ nam</t>
  </si>
  <si>
    <t>Áo gió lót lông nữ</t>
  </si>
  <si>
    <t>Áo phông cổ tròn</t>
  </si>
  <si>
    <t>Quần bò dài</t>
  </si>
  <si>
    <t>Quần thô cộc</t>
  </si>
  <si>
    <t>Quần bò ngố</t>
  </si>
  <si>
    <t>Áo gió điều hòa</t>
  </si>
  <si>
    <t>Dép tổ ong</t>
  </si>
  <si>
    <t xml:space="preserve">Quần lót </t>
  </si>
  <si>
    <t>Áo con cúp ngực</t>
  </si>
  <si>
    <t>Áo con</t>
  </si>
  <si>
    <t>Bộ lính rằn ri</t>
  </si>
  <si>
    <t>Bộ CN phối màu</t>
  </si>
  <si>
    <t>Hàng nhập vào</t>
  </si>
  <si>
    <t>2. Lợi nhuận trước thuế</t>
  </si>
  <si>
    <t>Tỷ lệ hoàn thành</t>
  </si>
  <si>
    <t>Thực hiện đến 31/10/2023</t>
  </si>
  <si>
    <t>Kế hoạch 2023 - 2024</t>
  </si>
  <si>
    <t>Thực hiện</t>
  </si>
  <si>
    <t>Kế hoạch 2022 - 2023</t>
  </si>
  <si>
    <t>10 tháng đầu năm 2023</t>
  </si>
  <si>
    <t>Năm 2022</t>
  </si>
  <si>
    <t>ĐVT: Triệu Đồng</t>
  </si>
  <si>
    <t>(Giá trên chưa bao gồm VAT)</t>
  </si>
  <si>
    <t>Chiếm</t>
  </si>
  <si>
    <t>Vốn vay Agribank TP CB</t>
  </si>
  <si>
    <t>Vốn chiếm dụng</t>
  </si>
  <si>
    <t>Vốn vay Vietinbank Cao Bằng</t>
  </si>
  <si>
    <t>Vốn lưu động ròng</t>
  </si>
  <si>
    <t>G</t>
  </si>
  <si>
    <t>Tổng chi phí không bao gồm khấu hao và lãi vay</t>
  </si>
  <si>
    <t>Lợi nhuận sau thuế</t>
  </si>
  <si>
    <t>Thuế thu nhập doanh nghiệp (20%)</t>
  </si>
  <si>
    <t>Lợi nhuận trước thuế</t>
  </si>
  <si>
    <t>Thuê đất</t>
  </si>
  <si>
    <t>Khấu hao phương tiện vận tải, trạm trộn bê tông</t>
  </si>
  <si>
    <t>Thuê xe bồn ( 2 xe)</t>
  </si>
  <si>
    <t>Thuê xe bơm</t>
  </si>
  <si>
    <t>Xăng dầu</t>
  </si>
  <si>
    <t>Phụ gia bê tông</t>
  </si>
  <si>
    <t>Xi măng PCB 40</t>
  </si>
  <si>
    <t>Đá 1x2</t>
  </si>
  <si>
    <t>M3</t>
  </si>
  <si>
    <t>Cát bê tông</t>
  </si>
  <si>
    <t>Chi phí nguyên vật liệu</t>
  </si>
  <si>
    <t>lãi sau</t>
  </si>
  <si>
    <t>Bê tông tươi M350</t>
  </si>
  <si>
    <t>TNDN</t>
  </si>
  <si>
    <t>Bê tông tươi M300 phụ gia R7</t>
  </si>
  <si>
    <t>lãi tt</t>
  </si>
  <si>
    <t>Bê tông tươi M300</t>
  </si>
  <si>
    <t>Bê tông tươi M250 phụ gia R7</t>
  </si>
  <si>
    <t>Bê tông tươi M250</t>
  </si>
  <si>
    <t>PG</t>
  </si>
  <si>
    <t>Bê tông tươi M200 phụ gia R7</t>
  </si>
  <si>
    <t>dá</t>
  </si>
  <si>
    <t>Bê tông tươi M200</t>
  </si>
  <si>
    <t>cát</t>
  </si>
  <si>
    <t>Bê tông tươi M150</t>
  </si>
  <si>
    <t>XM</t>
  </si>
  <si>
    <t>Bê tông tươi M100</t>
  </si>
  <si>
    <t>Tổng doanh Thu</t>
  </si>
  <si>
    <t xml:space="preserve"> Thành tiền </t>
  </si>
  <si>
    <t xml:space="preserve"> Số lượng </t>
  </si>
  <si>
    <t>ĐVT: VNĐ</t>
  </si>
  <si>
    <t>Sản xuất bê tông tươi</t>
  </si>
  <si>
    <t>Thực hiện đến 31/8/2023</t>
  </si>
  <si>
    <t>08 tháng đầu năm 2023</t>
  </si>
  <si>
    <t xml:space="preserve">Vốn vay Agribank </t>
  </si>
  <si>
    <t>X</t>
  </si>
  <si>
    <t xml:space="preserve">Vốn đối ứng </t>
  </si>
  <si>
    <t>IX</t>
  </si>
  <si>
    <t>VIII</t>
  </si>
  <si>
    <t>VII</t>
  </si>
  <si>
    <t>Thuế thu nhập DN</t>
  </si>
  <si>
    <t>Dầu mỡ nhớt các loại</t>
  </si>
  <si>
    <t>Dầu Diesel</t>
  </si>
  <si>
    <t>Xăng RON 95</t>
  </si>
  <si>
    <t>Xăng RON 92</t>
  </si>
  <si>
    <t>(Hao hụt 0.003/lít)</t>
  </si>
  <si>
    <t>Chi hao hụt xăng dầu</t>
  </si>
  <si>
    <t>(700,000,đ x 12 tháng)</t>
  </si>
  <si>
    <t>Chi phí điện thoại, điện, nước</t>
  </si>
  <si>
    <t>Bảo dưỡng máy móc,…</t>
  </si>
  <si>
    <t>Chi sửa chữa thường xuyên</t>
  </si>
  <si>
    <t>(500,000,đ x 12 tháng)</t>
  </si>
  <si>
    <t>Chi phòng cháy chữa cháy</t>
  </si>
  <si>
    <t>(4,000,000,đ x 12 tháng)</t>
  </si>
  <si>
    <t>Chi phí quản lý DN</t>
  </si>
  <si>
    <t>Chi phí mua hàng</t>
  </si>
  <si>
    <t>ĐƠN GIÁ 
(bình quân)</t>
  </si>
  <si>
    <t>Đơn vị tính: VNĐ</t>
  </si>
  <si>
    <t> Trọn gói </t>
  </si>
  <si>
    <t>Hệ thống nước</t>
  </si>
  <si>
    <t>Hệ thống điện</t>
  </si>
  <si>
    <t>Hệ vì kèo</t>
  </si>
  <si>
    <t>Cửa gỗ</t>
  </si>
  <si>
    <t> kg </t>
  </si>
  <si>
    <t>Xi măng trắng</t>
  </si>
  <si>
    <t>Ventolít</t>
  </si>
  <si>
    <t>Sơn phủ</t>
  </si>
  <si>
    <t>Sơn lót</t>
  </si>
  <si>
    <t> Viên </t>
  </si>
  <si>
    <t>Ngói bò</t>
  </si>
  <si>
    <t>Gạch lát nền, ốp vệ sinh</t>
  </si>
  <si>
    <t>Đá trang trí</t>
  </si>
  <si>
    <t>Xi măng </t>
  </si>
  <si>
    <t> Tấn </t>
  </si>
  <si>
    <t>Thép tròn D&gt;18</t>
  </si>
  <si>
    <t>Thép tròn 10&lt;D&lt;18</t>
  </si>
  <si>
    <t>Thép tròn D&lt;10</t>
  </si>
  <si>
    <t>Gạch chỉ 6,5x10,5x22</t>
  </si>
  <si>
    <t>Đinh</t>
  </si>
  <si>
    <t>Đá 4x6</t>
  </si>
  <si>
    <t>Dây thép</t>
  </si>
  <si>
    <t>Cát Vàng</t>
  </si>
  <si>
    <t>Cát mịn</t>
  </si>
  <si>
    <t>Đơn giá (VNĐ/ĐVT)</t>
  </si>
  <si>
    <t>Tên hạng mục đầu tư</t>
  </si>
  <si>
    <t>Xây nhà ở 2</t>
  </si>
  <si>
    <t>địa phương</t>
  </si>
  <si>
    <t xml:space="preserve">- Mật độ trồng, năng suất, sản lượng thu hoạch/ha … tùy theo điều kiện thổ nhưỡng, kỹ thuật trồng của từng </t>
  </si>
  <si>
    <t>- Giá phân bón, giá bán, công lao động …. có thể thay đổi tùy theo từng thời điểm thẩm định</t>
  </si>
  <si>
    <t>* Vốn vay ngân hàng</t>
  </si>
  <si>
    <t>* Vốn tự có</t>
  </si>
  <si>
    <t>Phân bón hóa học năm 1: 2 kg; năm 2: 4 kg; năm 3: 4 kg; Nhân công 100 công/năm; Phân chuồng năm 1: 10 kg; năm 2: 20 kg; năm 3: 30 kg/ năm =&gt; thời kỳ kiến thiết.</t>
  </si>
  <si>
    <t>(Phân hóa học 3 năm 280*10kg/c*20.000đ/kg, bq 100 công x3 năm x220.000 đ/c, phân chuồng 280*50 kg*2000 đ/kg, chi khác 3 năm: 9.000.000 đ)</t>
  </si>
  <si>
    <t>* Phân bổ phân bón, công chăm sóc giai đọan kiến thiết cơ bản (159 triệu đ/15 năm )</t>
  </si>
  <si>
    <t>* Phân bổ CCDC khác...  (15 triệu đ/5 năm )</t>
  </si>
  <si>
    <t>* Phân bổ hệ thống tưới (40 triệu đ/5 năm )</t>
  </si>
  <si>
    <t>* Phân bổ chi phí cải tạo đất ban đầu (28 triệu đ/15 năm)</t>
  </si>
  <si>
    <t>* Phân bổ chi phí cây giống ( 14 triệu đ/dự kiến 15 năm)</t>
  </si>
  <si>
    <t xml:space="preserve"> / cây</t>
  </si>
  <si>
    <t>* Chi khác (thuốc dưỡng hoa, trái, điện, dầu..): bình quân 30.000 đ/cây</t>
  </si>
  <si>
    <t>* Thuốc BVTV: bình quân 30.000 đ/cây</t>
  </si>
  <si>
    <t>* Nhân công ( làm bồn, chăm sóc, thu hoạch, .....)</t>
  </si>
  <si>
    <t>kg/cây</t>
  </si>
  <si>
    <t>* Phân chuồng : 200 cây x 50 kg/cây</t>
  </si>
  <si>
    <t>* Phân bón hóa học ( 4 đợt/năm): 280 cây x 8 kg/cây</t>
  </si>
  <si>
    <t>Chi phí đầu tư trực tiếp</t>
  </si>
  <si>
    <t xml:space="preserve"> - Thời gian thu hoạch: từ tháng 5 đến tháng 12 hàng năm</t>
  </si>
  <si>
    <t xml:space="preserve"> - Thời gian chăm sóc:      12 tháng    </t>
  </si>
  <si>
    <t xml:space="preserve"> - Suất đầu tư cho 1 ha:  280 cây/ha</t>
  </si>
  <si>
    <t xml:space="preserve"> - Kỹ thuật canh tác: Canh tác theo truyền thống và kết hợp khuyến nông</t>
  </si>
  <si>
    <t>Trồng, chăm sóc bưởi</t>
  </si>
  <si>
    <t>chi phí khoảng 264 triệu đ/năm, lợi nhuận khoảng 248 triệu đ/năm</t>
  </si>
  <si>
    <t xml:space="preserve">- Từ năm thứ 5 trở đi, hiệu quả của dự án sẽ phát huy rõ nét, với doanh thu khoảng 512 triệu đ/năm, </t>
  </si>
  <si>
    <t>- Giá cây giống, phân bón, giá bán, công lao động …. có thể thay đổi tùy theo từng thời điểm thẩm định</t>
  </si>
  <si>
    <t>* Lãi vay ngân hàng</t>
  </si>
  <si>
    <t>* Phân bổ CCDC, khác...(5 năm )</t>
  </si>
  <si>
    <t>* Phân bổ hệ thống tưới (5 năm )</t>
  </si>
  <si>
    <t>* Phân bổ chi phí cải tạo đất cải tạo đất ban đầu (15 năm)</t>
  </si>
  <si>
    <t>* Phân bổ chi phí cây giống ( dự kiến 15 năm)</t>
  </si>
  <si>
    <t>Chi phí gián tiếp trong 5 năm</t>
  </si>
  <si>
    <t>(2.2+2.1 c, d,e,g)</t>
  </si>
  <si>
    <t>Chi phí đầu tư trực tiếp không phân bổ của dự án</t>
  </si>
  <si>
    <t>1/ha</t>
  </si>
  <si>
    <t>* Chi khác ( thuốc BVTV + Điện, nước…)</t>
  </si>
  <si>
    <t>kg/cây/4 năm</t>
  </si>
  <si>
    <t>* Phân bón hóa học các loại ( 04 đợt / năm)</t>
  </si>
  <si>
    <t>* Phân chuồng: 200 cây xbq50kg/cây x 2.000 đ/cây</t>
  </si>
  <si>
    <t>* Công chăm sóc</t>
  </si>
  <si>
    <t>Chi phí đầu tư trực tiếp (tính cho 4 năm, Năm thứ 2, 3, 4, 5)</t>
  </si>
  <si>
    <t>* Chi khác ( thuốc BVTV + Điện, nước</t>
  </si>
  <si>
    <t>g</t>
  </si>
  <si>
    <t>* Hệ thống tưới</t>
  </si>
  <si>
    <t>f</t>
  </si>
  <si>
    <t>* Phân chuồng: 200 cây x 30kg/cây x 2.000 đ/cây</t>
  </si>
  <si>
    <t>e</t>
  </si>
  <si>
    <t>* Phân bón các loại ( 04 đợt / năm)</t>
  </si>
  <si>
    <t xml:space="preserve">* Cải tạo đất </t>
  </si>
  <si>
    <t>* Cây giống</t>
  </si>
  <si>
    <t>Chi phí đầu tư trực tiếp (Năm thứ 1)</t>
  </si>
  <si>
    <t>Sản lượng bình quân sau 5 năm ước đạt 80kg/cây x 200 cây. Năng suất cây cho ra quả bình quân 80%</t>
  </si>
  <si>
    <t>Sản lượng bói năm thứ 4 ước đạt 40kg/cây x 200 cây. Năng suất cây cho ra quả bình quân 80%</t>
  </si>
  <si>
    <t xml:space="preserve"> - Thời gian thu hoạch: sau 4 năm thu hoạch bói, từ năm thứ 5 thu kinh doanh</t>
  </si>
  <si>
    <t>HIỆU QUẢ DỰ ÁN TÍNH TRONG 5 NĂM ĐẦU TIÊN</t>
  </si>
  <si>
    <t xml:space="preserve">                                    Tổng cộng</t>
  </si>
  <si>
    <t>* Phân chuồng: 200 cây x 50kg/cây x 2.000 đ/cây</t>
  </si>
  <si>
    <t xml:space="preserve">* Công chăm sóc </t>
  </si>
  <si>
    <t>* Phân chuồng</t>
  </si>
  <si>
    <t>* Phân bón các loại (04 đợt / năm): 200 cây x 3 kg/cây/năm</t>
  </si>
  <si>
    <t>* Cải tạo đất (múc đất, đào luống, đào hố, xới đất…)</t>
  </si>
  <si>
    <t xml:space="preserve"> - Suất đầu tư 1 ha: 200cây/ha</t>
  </si>
  <si>
    <t>Các loại mặt hàng tạp hóa khác</t>
  </si>
  <si>
    <t>Bán sữa hộp các loại</t>
  </si>
  <si>
    <t>Bán sữa cô đặc các loại</t>
  </si>
  <si>
    <t>Bán đường</t>
  </si>
  <si>
    <t>Bán chè các loại</t>
  </si>
  <si>
    <t>Dầu ăn</t>
  </si>
  <si>
    <t>Nước Bò Húc</t>
  </si>
  <si>
    <t>Nước Bí Đao</t>
  </si>
  <si>
    <t>Bia HALI DA</t>
  </si>
  <si>
    <t>Bia Na Da</t>
  </si>
  <si>
    <t>Bia Hà nội</t>
  </si>
  <si>
    <t>Kẹo Hải Hà</t>
  </si>
  <si>
    <t>Bánh Hữu Nghị</t>
  </si>
  <si>
    <t>Bánh ChoCopie</t>
  </si>
  <si>
    <t>Bánh Kinh Đô</t>
  </si>
  <si>
    <t>Thuốc lá Hoàn Kiếm</t>
  </si>
  <si>
    <t>Thuốc lá ngựa</t>
  </si>
  <si>
    <t>Thuốc vina</t>
  </si>
  <si>
    <t>Chi nộp thuế+ các khoản khác</t>
  </si>
  <si>
    <t>Trả lãi ngân hàng 500.000.000 x 9.5%/ năm</t>
  </si>
  <si>
    <t>Tiền công bán hàng 3.000.000 x1N/1T x 12 T</t>
  </si>
  <si>
    <t>Sữa bột các loại</t>
  </si>
  <si>
    <t>Sữa cô đặc các loại</t>
  </si>
  <si>
    <t xml:space="preserve">Mua đường </t>
  </si>
  <si>
    <t>Mua chè các loại</t>
  </si>
  <si>
    <t>Chi phí lao động</t>
  </si>
  <si>
    <t>Vốn tiền mặt</t>
  </si>
  <si>
    <t>Nhu cầu vay vốn</t>
  </si>
  <si>
    <t>Tỷ lệ</t>
  </si>
  <si>
    <t>Tổng nhu cầu vay vốn</t>
  </si>
  <si>
    <t>Các chi phí khác ( chi phí điện,chi phí xăng xe, bảo trì,…)</t>
  </si>
  <si>
    <t>Các khoản thuế</t>
  </si>
  <si>
    <t>Chi phí tài chính</t>
  </si>
  <si>
    <t>Chi phí hàng bán</t>
  </si>
  <si>
    <t>Vật liệu xây dựng khác</t>
  </si>
  <si>
    <t>Ống nước</t>
  </si>
  <si>
    <t>Ống thép mạ kẽm</t>
  </si>
  <si>
    <t>Cáp CU các loại</t>
  </si>
  <si>
    <t>Cáp điện các loại</t>
  </si>
  <si>
    <t xml:space="preserve">Doanh số </t>
  </si>
  <si>
    <t>Sản lượng tiêu thụ</t>
  </si>
  <si>
    <t>Chi phí NVL</t>
  </si>
  <si>
    <t>Đơn giá đầu vào</t>
  </si>
  <si>
    <t>Sản lượng sản xuất</t>
  </si>
  <si>
    <t>Tên SP</t>
  </si>
  <si>
    <t>Kinh doanh đồ điện, nước</t>
  </si>
  <si>
    <t>- Tỷ suất lợi nhuận ST/DTT (ROS):</t>
  </si>
  <si>
    <t>- Tỷ suất  lợi  nhuận/VCSH (ROE):</t>
  </si>
  <si>
    <t>* Các chỉ tiêu sinh lời của dự án</t>
  </si>
  <si>
    <t>Doanh thu - Chi phí</t>
  </si>
  <si>
    <t xml:space="preserve">Lợi nhuận    = </t>
  </si>
  <si>
    <t>* Hiệu quả kinh doanh của phương án:</t>
  </si>
  <si>
    <t>Chi phí Vốn lưu động cho 1 vòng quay là:</t>
  </si>
  <si>
    <t>Bình quân 01 năm vốn lưu động quay 2 vòng</t>
  </si>
  <si>
    <t>Cửa thép vân gỗ</t>
  </si>
  <si>
    <t>Cửa kính cường lực</t>
  </si>
  <si>
    <t>Cửa cuốn</t>
  </si>
  <si>
    <t>Cửa nhôm kính</t>
  </si>
  <si>
    <t>v</t>
  </si>
  <si>
    <t>ĐVT: đồng</t>
  </si>
  <si>
    <t>Các chi phí khác ( Điện, nước, ….)</t>
  </si>
  <si>
    <t>Hao hụt NVL ( 0,5%)</t>
  </si>
  <si>
    <t>Khấu hao khác</t>
  </si>
  <si>
    <t xml:space="preserve">Khấu hao máy móc, thiết bị </t>
  </si>
  <si>
    <t>Thuế các loại</t>
  </si>
  <si>
    <t>Chi phí nhân công (3 người)</t>
  </si>
  <si>
    <t>6m2/bộ</t>
  </si>
  <si>
    <t>Cửa thép</t>
  </si>
  <si>
    <t>Chi phí cửa thép vân gỗ</t>
  </si>
  <si>
    <t>Bản lề</t>
  </si>
  <si>
    <t>15m2/bộ</t>
  </si>
  <si>
    <t>Kính cường lực 12mm</t>
  </si>
  <si>
    <t>Chi phí cửa kính cường lực</t>
  </si>
  <si>
    <t>Hộp nhận</t>
  </si>
  <si>
    <t>Mô tơ</t>
  </si>
  <si>
    <t>Chi phí cửa cuốn</t>
  </si>
  <si>
    <t>Phụ kiện</t>
  </si>
  <si>
    <t>Nhôm thanh tĩnh điện</t>
  </si>
  <si>
    <t>Kính 6,38mm</t>
  </si>
  <si>
    <t>Chi phí cửa nhôm kính</t>
  </si>
  <si>
    <t>Sản xuất cửa nhôm kính</t>
  </si>
  <si>
    <t>Vốn vay ngắn hạn</t>
  </si>
  <si>
    <t>Vốn bằng sức lao động trực tiếp tham gia</t>
  </si>
  <si>
    <t>Vốn bằn tài sản khác</t>
  </si>
  <si>
    <t xml:space="preserve"> Tỷ lệ </t>
  </si>
  <si>
    <t>Tổng chí phí SXKD =(mục A–Chi phí DTXDCB-chi phí lãi vay-Chi phí khấu hao)</t>
  </si>
  <si>
    <t>Vốn vay trung hạn</t>
  </si>
  <si>
    <t>Tổng nhu cầu vốn XDCB</t>
  </si>
  <si>
    <t>Kế hoạch sử dụng vốn</t>
  </si>
  <si>
    <t xml:space="preserve"> Tháng </t>
  </si>
  <si>
    <t>Lợi nhuận trước thuế (mục B–(A.II+A.III)</t>
  </si>
  <si>
    <t xml:space="preserve">Lợi nhuận </t>
  </si>
  <si>
    <t>Các khoản giảm trừ (nếu có như: chiết khấu, giảm giá hàng bán, hao hụt)</t>
  </si>
  <si>
    <t xml:space="preserve"> Kg </t>
  </si>
  <si>
    <t>Tôm nguyên liệu</t>
  </si>
  <si>
    <t>Doanh thu thuần (I.B – II.B)</t>
  </si>
  <si>
    <t>Chi phí khác (Sinh hoạt, điện, nước,…)</t>
  </si>
  <si>
    <t xml:space="preserve"> Năm </t>
  </si>
  <si>
    <t>Chi phí lãi vay TH</t>
  </si>
  <si>
    <t>Chi phí lãi vay NH</t>
  </si>
  <si>
    <t>Chi phí ngoài giá thành</t>
  </si>
  <si>
    <t xml:space="preserve"> Kwh </t>
  </si>
  <si>
    <t xml:space="preserve">Nhiên liệu(điện...) </t>
  </si>
  <si>
    <t xml:space="preserve"> Lit </t>
  </si>
  <si>
    <t>Vi sinh</t>
  </si>
  <si>
    <t xml:space="preserve"> Chai </t>
  </si>
  <si>
    <t>Thuốc phòng trị bệnh</t>
  </si>
  <si>
    <t xml:space="preserve">Vôi xử lý </t>
  </si>
  <si>
    <t xml:space="preserve"> Bao </t>
  </si>
  <si>
    <t>Thức ăn</t>
  </si>
  <si>
    <t xml:space="preserve"> Con </t>
  </si>
  <si>
    <t>Tôm sú giống</t>
  </si>
  <si>
    <t>Chi phí giá vốn</t>
  </si>
  <si>
    <t>Chi phí khác(Mô tơ, khung, phao, ống,…)</t>
  </si>
  <si>
    <t>Máy phát điện (D15)</t>
  </si>
  <si>
    <t xml:space="preserve"> Bộ </t>
  </si>
  <si>
    <t>Hệ thống tạo oxy</t>
  </si>
  <si>
    <t xml:space="preserve"> m2 </t>
  </si>
  <si>
    <t>Bạc đáy ao</t>
  </si>
  <si>
    <t>Lưới lang</t>
  </si>
  <si>
    <t xml:space="preserve"> ha </t>
  </si>
  <si>
    <t xml:space="preserve">Cải tạo ao nuôi tôm </t>
  </si>
  <si>
    <t>Chi phí đầu tư XDCB</t>
  </si>
  <si>
    <t>A Chi phí sản xuất kinh doanh(= I.A+II.A+III.A)</t>
  </si>
  <si>
    <t xml:space="preserve"> Đvt </t>
  </si>
  <si>
    <t>Chăn nuôi tôm</t>
  </si>
  <si>
    <t xml:space="preserve">Doanh thu </t>
  </si>
  <si>
    <t>Tổng cộng doanh thu</t>
  </si>
  <si>
    <t>Rèm cửa</t>
  </si>
  <si>
    <t>Mền</t>
  </si>
  <si>
    <t>Ruột chăn</t>
  </si>
  <si>
    <t>Ruột gối</t>
  </si>
  <si>
    <t>Bọc giường</t>
  </si>
  <si>
    <t>Ra giường</t>
  </si>
  <si>
    <t>Áo gối</t>
  </si>
  <si>
    <t>Khăn mặt</t>
  </si>
  <si>
    <t>Khăn tay</t>
  </si>
  <si>
    <t>Khăn tắm</t>
  </si>
  <si>
    <t>Tên Hàng</t>
  </si>
  <si>
    <t>ĐVT :  Đồng</t>
  </si>
  <si>
    <t>tỉ lệ VTC</t>
  </si>
  <si>
    <t>vốn vay</t>
  </si>
  <si>
    <t>tháng</t>
  </si>
  <si>
    <t>Nước, điện thoại</t>
  </si>
  <si>
    <t>Lương nhân viên (4 nhân viên x 7.000.000 đồng x 12 tháng</t>
  </si>
  <si>
    <t>Chi phí lãi vay</t>
  </si>
  <si>
    <t>Chí phí lao động trực tiếp</t>
  </si>
  <si>
    <t>Kwh</t>
  </si>
  <si>
    <t>Điện</t>
  </si>
  <si>
    <t>Gas</t>
  </si>
  <si>
    <t>Sản phẩm hóa chất Las</t>
  </si>
  <si>
    <t>Lit</t>
  </si>
  <si>
    <t>Nước xả Siu Sop</t>
  </si>
  <si>
    <t>Nước tẩy Javel</t>
  </si>
  <si>
    <t>Hóa chất</t>
  </si>
  <si>
    <t>Nước xả Comfort</t>
  </si>
  <si>
    <t>Bột giặt Omo</t>
  </si>
  <si>
    <t>Bột giặt Vì Dân</t>
  </si>
  <si>
    <t>Kinh doanh giặt sấy</t>
  </si>
  <si>
    <t>Chi trả lãi vay: 1.500.000.000 đ * 12%/ năm</t>
  </si>
  <si>
    <t>Chi phí bốc xếp và may bao</t>
  </si>
  <si>
    <t>Lao động</t>
  </si>
  <si>
    <t>Chi phí giao dịch</t>
  </si>
  <si>
    <t>Chi phí quản lý, công lao động</t>
  </si>
  <si>
    <t xml:space="preserve">Hàng nông sản khác </t>
  </si>
  <si>
    <t>HÀNG HOÁ DỊCH VỤ</t>
  </si>
  <si>
    <t>TÊN LOẠI</t>
  </si>
  <si>
    <t>VND/NĂM</t>
  </si>
  <si>
    <t>THỜI HẠN VAY</t>
  </si>
  <si>
    <t xml:space="preserve">TÍNH TOÁN SỰ HỢP LÝ </t>
  </si>
  <si>
    <t>Hàng nông sản khác ( Giá bán  bằng 115% giá mua vào)</t>
  </si>
  <si>
    <t>Hạt điều</t>
  </si>
  <si>
    <t>Mía nguyên liệu</t>
  </si>
  <si>
    <t>LÃI SUẤT</t>
  </si>
  <si>
    <t>Mì tươi</t>
  </si>
  <si>
    <t>Mè đen</t>
  </si>
  <si>
    <t>Cà phê nhân</t>
  </si>
  <si>
    <t>SO SÁNH</t>
  </si>
  <si>
    <t>Đậu đen</t>
  </si>
  <si>
    <t>Đậu xanh</t>
  </si>
  <si>
    <t>VỐN VAY NGÂN HÀNG</t>
  </si>
  <si>
    <t>Bắp hạt</t>
  </si>
  <si>
    <t>VỐN TỰ CÓ</t>
  </si>
  <si>
    <t>VẬT TƯ</t>
  </si>
  <si>
    <t>NHU CẦU VỐN/VÒNG</t>
  </si>
  <si>
    <t>TÊN HÀNG HÓA</t>
  </si>
  <si>
    <t>SỐ VÒNG QUAY VỐN</t>
  </si>
  <si>
    <t>DOANH THU</t>
  </si>
  <si>
    <t>TỶ LỆ</t>
  </si>
  <si>
    <t>TỔNG NHU CẦU VỐN</t>
  </si>
  <si>
    <t>Các loại mặt hàng khác</t>
  </si>
  <si>
    <t>Lọ</t>
  </si>
  <si>
    <t>Sáp tạo kiểu hiệu ứng màu</t>
  </si>
  <si>
    <t>Dầu gội + dầu xả</t>
  </si>
  <si>
    <t>Bột tẩy</t>
  </si>
  <si>
    <t>Thuốc uốn ép đa năng</t>
  </si>
  <si>
    <t>Tuýp</t>
  </si>
  <si>
    <t>Màu nhuộm</t>
  </si>
  <si>
    <t>Trả lãi ngân hàng 200.000.000 x 10.5%/ năm</t>
  </si>
  <si>
    <t>Tiền công bán hàng 2.000.000 x1N/1T x 12 T</t>
  </si>
  <si>
    <t>Kinh doanh phụ liệu làm tóc</t>
  </si>
  <si>
    <t>Kinh doanh hàng lưu niệm 1</t>
  </si>
  <si>
    <t>Kinh doanh hàng lưu niệm 2</t>
  </si>
  <si>
    <t>Kinh doanh hàng nông sản 1</t>
  </si>
  <si>
    <t>Kinh doanh hàng nông sản 2</t>
  </si>
  <si>
    <t>Kinh doanh hàng nông sản 3</t>
  </si>
  <si>
    <t>Kinh doanh nhà hàng ăn uống 1</t>
  </si>
  <si>
    <t>Kinh doanh nhà hàng ăn uống 2</t>
  </si>
  <si>
    <t>Kinh doanh phụ tùng xe máy 1</t>
  </si>
  <si>
    <t>Kinh doanh phụ tùng xe máy 2</t>
  </si>
  <si>
    <t>Kinh doanh phụ tùng ô tô 1</t>
  </si>
  <si>
    <t>Kinh doanh phụ tùng ô tô 2</t>
  </si>
  <si>
    <r>
      <t xml:space="preserve">Ghi chú: </t>
    </r>
    <r>
      <rPr>
        <i/>
        <sz val="13"/>
        <rFont val="Times New Roman"/>
        <family val="1"/>
      </rPr>
      <t>Do gia đình bỏ nhiều loại phân bón khác nhau trong thời kỳ chăm sóc (SA, Lân, Kali, Urê, Phân hữu cơ) nên số lượng, giá phân bón mua vào để chăm sóc là giá mang tính tương đối.</t>
    </r>
  </si>
  <si>
    <r>
      <t xml:space="preserve">Nguồn thu từ </t>
    </r>
    <r>
      <rPr>
        <sz val="13"/>
        <color indexed="10"/>
        <rFont val="Times New Roman"/>
        <family val="1"/>
      </rPr>
      <t>vườn cà phê</t>
    </r>
    <r>
      <rPr>
        <sz val="13"/>
        <rFont val="Times New Roman"/>
        <family val="1"/>
      </rPr>
      <t>, hàng năm thu hoạch trung bình 4 tấn/Ha/năm</t>
    </r>
  </si>
  <si>
    <r>
      <t xml:space="preserve">Công lao động:            </t>
    </r>
    <r>
      <rPr>
        <sz val="13"/>
        <color indexed="10"/>
        <rFont val="Times New Roman"/>
        <family val="1"/>
      </rPr>
      <t>5.000.000 đ/tháng x 12 tháng x 4 người</t>
    </r>
  </si>
  <si>
    <r>
      <t xml:space="preserve">Trả lãi vay:                   </t>
    </r>
    <r>
      <rPr>
        <sz val="13"/>
        <color indexed="10"/>
        <rFont val="Times New Roman"/>
        <family val="1"/>
      </rPr>
      <t>2.000.000.000 x 10%/năm</t>
    </r>
  </si>
  <si>
    <r>
      <t xml:space="preserve">Thành tiền 
</t>
    </r>
    <r>
      <rPr>
        <i/>
        <sz val="13"/>
        <rFont val="Times New Roman"/>
        <family val="1"/>
      </rPr>
      <t>(Đvt: đồng)</t>
    </r>
  </si>
  <si>
    <r>
      <t>Trong đó</t>
    </r>
    <r>
      <rPr>
        <b/>
        <sz val="13"/>
        <rFont val="Times New Roman"/>
        <family val="1"/>
      </rPr>
      <t xml:space="preserve">: </t>
    </r>
  </si>
  <si>
    <r>
      <rPr>
        <u/>
        <sz val="13"/>
        <rFont val="Times New Roman"/>
        <family val="1"/>
      </rPr>
      <t>Nhận xét:</t>
    </r>
    <r>
      <rPr>
        <sz val="13"/>
        <rFont val="Times New Roman"/>
        <family val="1"/>
      </rPr>
      <t xml:space="preserve"> Các hệ số phản ánh khả năng sinh lời của phương án ở hợp lý, phương án kinh doanh là khả thi và có hiệu quả</t>
    </r>
  </si>
  <si>
    <r>
      <t xml:space="preserve">* </t>
    </r>
    <r>
      <rPr>
        <u/>
        <sz val="13"/>
        <color rgb="FFFF0000"/>
        <rFont val="Times New Roman"/>
        <family val="1"/>
      </rPr>
      <t>Ghi chú</t>
    </r>
    <r>
      <rPr>
        <sz val="13"/>
        <color rgb="FFFF0000"/>
        <rFont val="Times New Roman"/>
        <family val="1"/>
      </rPr>
      <t>:</t>
    </r>
  </si>
  <si>
    <r>
      <t xml:space="preserve">Sản lượng bình quân/năm: </t>
    </r>
    <r>
      <rPr>
        <sz val="13"/>
        <rFont val="Times New Roman"/>
        <family val="1"/>
      </rPr>
      <t>280 cây x50 kg/cây. Năng suất cây cho ra quả bình quân 70%</t>
    </r>
  </si>
  <si>
    <r>
      <t xml:space="preserve">* Tiền lãi: </t>
    </r>
    <r>
      <rPr>
        <sz val="13"/>
        <rFont val="Times New Roman"/>
        <family val="1"/>
      </rPr>
      <t>dư nợ x LS 8%/năm</t>
    </r>
  </si>
  <si>
    <t> m3 </t>
  </si>
  <si>
    <t> m2 </t>
  </si>
  <si>
    <t>Kinh doanh nước giải khát 2</t>
  </si>
  <si>
    <t>Kinh doanh dịch vụ Internet</t>
  </si>
  <si>
    <t>Quét mã QR code để xem video hướng dẫn</t>
  </si>
  <si>
    <t>151. Xây nhà ở 2</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</si>
</sst>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_(* \(#,##0\);_(* &quot;-&quot;_);_(@_)"/>
    <numFmt numFmtId="43" formatCode="_(* #,##0.00_);_(* \(#,##0.00\);_(* &quot;-&quot;??_);_(@_)"/>
    <numFmt numFmtId="164" formatCode="_(* #,##0_);_(* \(#,##0\);_(* &quot;-&quot;??_);_(@_)"/>
    <numFmt numFmtId="165" formatCode="0.0%"/>
    <numFmt numFmtId="166" formatCode="_-* #,##0_$_-;\-* #,##0_$_-;_-* &quot;-&quot;??_$_-;_-@_-"/>
    <numFmt numFmtId="167" formatCode="_(* #,##0_);_(* \(#,##0\);_(* &quot;-&quot;?_);_(@_)"/>
    <numFmt numFmtId="168" formatCode="_-* #,##0.00_-;\-* #,##0.00_-;_-* &quot;-&quot;??_-;_-@_-"/>
    <numFmt numFmtId="169" formatCode="_-* #,##0_-;\-* #,##0_-;_-* &quot;-&quot;??_-;_-@_-"/>
    <numFmt numFmtId="170" formatCode="_-* #,##0_-;\-* #,##0_-;_-* &quot;-&quot;?_-;_-@_-"/>
    <numFmt numFmtId="171" formatCode="_(* #,##0.0_);_(* \(#,##0.0\);_(* &quot;-&quot;??_);_(@_)"/>
    <numFmt numFmtId="172" formatCode="_-* #,##0\ _₫_-;\-* #,##0\ _₫_-;_-* &quot;-&quot;??\ _₫_-;_-@_-"/>
    <numFmt numFmtId="173" formatCode="###\ ###\ ###"/>
    <numFmt numFmtId="174" formatCode="\ \ 0\ \ \ \ \ "/>
    <numFmt numFmtId="175" formatCode="#\ ##0.00\ \ "/>
    <numFmt numFmtId="176" formatCode="_(* #.##0.00_);_(* \(#.##0.00\);_(* &quot;-&quot;??_);_(@_)"/>
    <numFmt numFmtId="177" formatCode="_-* #,##0.00\ _₫_-;\-* #,##0.00\ _₫_-;_-* &quot;-&quot;??\ _₫_-;_-@_-"/>
    <numFmt numFmtId="178" formatCode="\$#,##0\ ;\(\$#,##0\)"/>
    <numFmt numFmtId="179" formatCode="#,##0\ &quot;$&quot;_);[Red]\(#,##0\ &quot;$&quot;\)"/>
    <numFmt numFmtId="180" formatCode="&quot;$&quot;###,0&quot;.&quot;00_);[Red]\(&quot;$&quot;###,0&quot;.&quot;00\)"/>
    <numFmt numFmtId="181" formatCode="&quot;\&quot;#,##0;[Red]&quot;\&quot;&quot;\&quot;\-#,##0"/>
    <numFmt numFmtId="182" formatCode="&quot;\&quot;#,##0.00;[Red]&quot;\&quot;&quot;\&quot;&quot;\&quot;&quot;\&quot;&quot;\&quot;&quot;\&quot;\-#,##0.00"/>
    <numFmt numFmtId="183" formatCode="&quot;\&quot;#,##0.00;[Red]&quot;\&quot;\-#,##0.00"/>
    <numFmt numFmtId="184" formatCode="&quot;\&quot;#,##0;[Red]&quot;\&quot;\-#,##0"/>
    <numFmt numFmtId="185" formatCode="_-* #,##0_-;\-* #,##0_-;_-* &quot;-&quot;_-;_-@_-"/>
    <numFmt numFmtId="186" formatCode="_-&quot;$&quot;* #,##0_-;\-&quot;$&quot;* #,##0_-;_-&quot;$&quot;* &quot;-&quot;_-;_-@_-"/>
    <numFmt numFmtId="187" formatCode="&quot;$&quot;#,##0;[Red]\-&quot;$&quot;#,##0"/>
    <numFmt numFmtId="188" formatCode="_-&quot;$&quot;* #,##0.00_-;\-&quot;$&quot;* #,##0.00_-;_-&quot;$&quot;* &quot;-&quot;??_-;_-@_-"/>
    <numFmt numFmtId="189" formatCode="#,##0;[Red]#,##0"/>
    <numFmt numFmtId="190" formatCode="0.0"/>
    <numFmt numFmtId="191" formatCode="_(* #,##0.00000_);_(* \(#,##0.00000\);_(* &quot;-&quot;_);_(@_)"/>
    <numFmt numFmtId="192" formatCode="_-* #,##0.0000\ _₫_-;\-* #,##0.0000\ _₫_-;_-* &quot;-&quot;??\ _₫_-;_-@_-"/>
    <numFmt numFmtId="193" formatCode="#,##0.0"/>
    <numFmt numFmtId="194" formatCode="_ * #,##0_ ;_ * \-#,##0_ ;_ * &quot;-&quot;??_ ;_ @_ "/>
    <numFmt numFmtId="195" formatCode="#,##0.0_);\(#,##0.0\)"/>
    <numFmt numFmtId="196" formatCode="#,#00"/>
    <numFmt numFmtId="197" formatCode="&quot;- Kế hoạch rả nợ gốc: 12 tháng/ kỳ; Số kỳ trả nợ gốc: &quot;#,##0&quot; kỳ&quot;"/>
    <numFmt numFmtId="198" formatCode="#,##0&quot;đ&quot;"/>
    <numFmt numFmtId="199" formatCode="&quot;+ Trích &quot;#,###&quot;% thu nhập của phương án&quot;"/>
    <numFmt numFmtId="200" formatCode="&quot;- Thời hạn vay &quot;#,##0&quot; tháng&quot;"/>
    <numFmt numFmtId="201" formatCode="_-* #,##0.0_-;\-* #,##0.0_-;_-* &quot;-&quot;??_-;_-@_-"/>
    <numFmt numFmtId="202" formatCode="#,##0\ &quot;đồng&quot;"/>
    <numFmt numFmtId="203" formatCode="#,##0\ &quot;Đồng&quot;"/>
    <numFmt numFmtId="204" formatCode="#,##0\ &quot;tháng/lần&quot;"/>
    <numFmt numFmtId="205" formatCode="&quot;- Thời gian xin vay vốn: &quot;00&quot; tháng &quot;"/>
    <numFmt numFmtId="206" formatCode="#,##0\ &quot;tháng&quot;"/>
    <numFmt numFmtId="207" formatCode="#,##0&quot; Năm&quot;"/>
    <numFmt numFmtId="208" formatCode="0.0%&quot;/Năm&quot;"/>
    <numFmt numFmtId="209" formatCode="0\ &quot;Ngày/Tháng&quot;"/>
    <numFmt numFmtId="210" formatCode="0.000%"/>
    <numFmt numFmtId="211" formatCode="_-* #,##0.000\ _₫_-;\-* #,##0.000\ _₫_-;_-* &quot;-&quot;??\ _₫_-;_-@_-"/>
    <numFmt numFmtId="212" formatCode="#,##0&quot;đ -&quot;"/>
    <numFmt numFmtId="213" formatCode="#,##0&quot;đ x&quot;"/>
    <numFmt numFmtId="214" formatCode="#,##0&quot;cây x&quot;"/>
    <numFmt numFmtId="215" formatCode="#,##0&quot;đ/cây&quot;"/>
    <numFmt numFmtId="216" formatCode="#,##0&quot;đ/th x&quot;"/>
    <numFmt numFmtId="217" formatCode="#,##0&quot; tháng &quot;"/>
    <numFmt numFmtId="218" formatCode="#,##0&quot;đ/chậu&quot;"/>
    <numFmt numFmtId="219" formatCode="_(* #,##0.0000_);_(* \(#,##0.0000\);_(* &quot;-&quot;??_);_(@_)"/>
    <numFmt numFmtId="220" formatCode="0.00_)"/>
    <numFmt numFmtId="221" formatCode="#,##0.0000"/>
    <numFmt numFmtId="222" formatCode="#,##0.00\ &quot;F&quot;;\-#,##0.00\ &quot;F&quot;"/>
    <numFmt numFmtId="223" formatCode="&quot;£&quot;#,##0;\-&quot;£&quot;#,##0"/>
    <numFmt numFmtId="224" formatCode="#,##0.00\ &quot;F&quot;;[Red]\-#,##0.00\ &quot;F&quot;"/>
    <numFmt numFmtId="225" formatCode="#,##0\ &quot;F&quot;;\-#,##0\ &quot;F&quot;"/>
    <numFmt numFmtId="226" formatCode="#,##0\ &quot;F&quot;;[Red]\-#,##0\ &quot;F&quot;"/>
    <numFmt numFmtId="227" formatCode="_(* #,##0.000_);_(* \(#,##0.000\);_(* &quot;-&quot;??_);_(@_)"/>
    <numFmt numFmtId="228" formatCode="#,##0.00000"/>
    <numFmt numFmtId="229" formatCode="_(* #,##0.0_);_(* \(#,##0.0\);_(* &quot;-&quot;?_);_(@_)"/>
  </numFmts>
  <fonts count="75">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3"/>
      <name val="Times New Roman"/>
      <family val="1"/>
    </font>
    <font>
      <b/>
      <sz val="13"/>
      <name val="Times New Roman"/>
      <family val="1"/>
    </font>
    <font>
      <i/>
      <sz val="13"/>
      <name val="Times New Roman"/>
      <family val="1"/>
    </font>
    <font>
      <b/>
      <i/>
      <sz val="13"/>
      <name val="Times New Roman"/>
      <family val="1"/>
    </font>
    <font>
      <sz val="11"/>
      <name val="Calibri"/>
      <family val="2"/>
      <scheme val="minor"/>
    </font>
    <font>
      <sz val="11"/>
      <color theme="1"/>
      <name val="Tahoma"/>
      <family val="2"/>
    </font>
    <font>
      <b/>
      <sz val="12"/>
      <color rgb="FF0000FF"/>
      <name val="Tahoma"/>
      <family val="2"/>
    </font>
    <font>
      <sz val="10"/>
      <color rgb="FFC00000"/>
      <name val="Tahoma"/>
      <family val="2"/>
    </font>
    <font>
      <i/>
      <sz val="11"/>
      <color rgb="FF0000FF"/>
      <name val="Calibri"/>
      <family val="2"/>
      <scheme val="minor"/>
    </font>
    <font>
      <b/>
      <sz val="13"/>
      <color theme="1"/>
      <name val="Times New Roman"/>
      <family val="1"/>
    </font>
    <font>
      <sz val="13"/>
      <color theme="1"/>
      <name val="Times New Roman"/>
      <family val="1"/>
    </font>
    <font>
      <sz val="10"/>
      <name val="Arial"/>
      <family val="2"/>
    </font>
    <font>
      <b/>
      <sz val="11"/>
      <color theme="1"/>
      <name val="Tahoma"/>
      <family val="2"/>
    </font>
    <font>
      <sz val="13"/>
      <color rgb="FFFF0000"/>
      <name val="Times New Roman"/>
      <family val="1"/>
    </font>
    <font>
      <b/>
      <i/>
      <sz val="13"/>
      <color theme="1"/>
      <name val="Times New Roman"/>
      <family val="1"/>
    </font>
    <font>
      <sz val="13"/>
      <color rgb="FF333333"/>
      <name val="Times New Roman"/>
      <family val="1"/>
    </font>
    <font>
      <sz val="13"/>
      <color indexed="12"/>
      <name val="Times New Roman"/>
      <family val="1"/>
    </font>
    <font>
      <sz val="12"/>
      <name val="VNtimes new roman"/>
    </font>
    <font>
      <sz val="12"/>
      <name val="Times New Roman"/>
      <family val="1"/>
    </font>
    <font>
      <sz val="14"/>
      <name val="??"/>
      <family val="3"/>
      <charset val="129"/>
    </font>
    <font>
      <sz val="10"/>
      <name val="???"/>
      <family val="3"/>
      <charset val="129"/>
    </font>
    <font>
      <sz val="10"/>
      <name val=".VnArial Narrow"/>
      <family val="2"/>
    </font>
    <font>
      <sz val="14"/>
      <color theme="1"/>
      <name val="Times New Roman"/>
      <family val="2"/>
    </font>
    <font>
      <b/>
      <sz val="12"/>
      <name val="Arial"/>
      <family val="2"/>
    </font>
    <font>
      <b/>
      <sz val="14"/>
      <name val=".VnTimeH"/>
      <family val="2"/>
    </font>
    <font>
      <sz val="10"/>
      <name val="MS Sans Serif"/>
      <family val="2"/>
    </font>
    <font>
      <sz val="12"/>
      <name val="Arial"/>
      <family val="2"/>
    </font>
    <font>
      <sz val="13"/>
      <color theme="1"/>
      <name val="Times New Roman"/>
      <family val="2"/>
    </font>
    <font>
      <sz val="10"/>
      <name val=" "/>
      <family val="1"/>
      <charset val="136"/>
    </font>
    <font>
      <sz val="14"/>
      <name val="뼻뮝"/>
      <family val="3"/>
      <charset val="129"/>
    </font>
    <font>
      <sz val="12"/>
      <name val="바탕체"/>
      <family val="3"/>
    </font>
    <font>
      <sz val="12"/>
      <name val="뼻뮝"/>
      <family val="1"/>
      <charset val="129"/>
    </font>
    <font>
      <sz val="12"/>
      <name val="바탕체"/>
      <family val="1"/>
      <charset val="129"/>
    </font>
    <font>
      <sz val="10"/>
      <name val="굴림체"/>
      <family val="3"/>
      <charset val="129"/>
    </font>
    <font>
      <b/>
      <sz val="9"/>
      <name val="Arial"/>
      <family val="2"/>
    </font>
    <font>
      <sz val="12"/>
      <name val="新細明體"/>
      <charset val="136"/>
    </font>
    <font>
      <sz val="12"/>
      <name val="Courier"/>
      <family val="3"/>
    </font>
    <font>
      <b/>
      <sz val="13"/>
      <color rgb="FFFF0000"/>
      <name val="Times New Roman"/>
      <family val="1"/>
    </font>
    <font>
      <u/>
      <sz val="13"/>
      <name val="Times New Roman"/>
      <family val="1"/>
    </font>
    <font>
      <sz val="10"/>
      <name val="Times New Roman"/>
      <family val="1"/>
    </font>
    <font>
      <b/>
      <sz val="13"/>
      <color indexed="9"/>
      <name val="Times New Roman"/>
      <family val="1"/>
    </font>
    <font>
      <b/>
      <u/>
      <sz val="13"/>
      <name val="Times New Roman"/>
      <family val="1"/>
    </font>
    <font>
      <i/>
      <sz val="13"/>
      <color theme="1"/>
      <name val="Times New Roman"/>
      <family val="1"/>
    </font>
    <font>
      <b/>
      <u val="singleAccounting"/>
      <sz val="13"/>
      <name val="Times New Roman"/>
      <family val="1"/>
    </font>
    <font>
      <b/>
      <i/>
      <u/>
      <sz val="13"/>
      <name val="Times New Roman"/>
      <family val="1"/>
    </font>
    <font>
      <sz val="14"/>
      <name val="VNI-Times"/>
    </font>
    <font>
      <sz val="13"/>
      <name val="Times New Roman"/>
      <family val="2"/>
    </font>
    <font>
      <b/>
      <sz val="13"/>
      <name val="Times New Roman"/>
      <family val="2"/>
    </font>
    <font>
      <i/>
      <sz val="13"/>
      <name val="Times New Roman"/>
      <family val="2"/>
    </font>
    <font>
      <sz val="13"/>
      <color rgb="FFFF0000"/>
      <name val="Times New Roman"/>
      <family val="2"/>
    </font>
    <font>
      <sz val="12"/>
      <name val="¹UAAA¼"/>
      <family val="3"/>
      <charset val="129"/>
    </font>
    <font>
      <b/>
      <sz val="18"/>
      <name val="Arial"/>
      <family val="2"/>
    </font>
    <font>
      <b/>
      <i/>
      <sz val="16"/>
      <name val="Helv"/>
    </font>
    <font>
      <sz val="13"/>
      <name val=".VnTime"/>
      <family val="2"/>
    </font>
    <font>
      <sz val="12"/>
      <name val=".VnTime"/>
      <family val="2"/>
    </font>
    <font>
      <sz val="13"/>
      <color theme="3" tint="0.39997558519241921"/>
      <name val="Times New Roman"/>
      <family val="1"/>
    </font>
    <font>
      <sz val="13"/>
      <color theme="0"/>
      <name val="Times New Roman"/>
      <family val="1"/>
    </font>
    <font>
      <b/>
      <sz val="13"/>
      <color rgb="FF000000"/>
      <name val="Times New Roman"/>
      <family val="1"/>
    </font>
    <font>
      <sz val="11"/>
      <color theme="1"/>
      <name val="Calibri"/>
      <family val="2"/>
      <charset val="163"/>
      <scheme val="minor"/>
    </font>
    <font>
      <i/>
      <u/>
      <sz val="13"/>
      <name val="Times New Roman"/>
      <family val="1"/>
    </font>
    <font>
      <sz val="13"/>
      <color indexed="10"/>
      <name val="Times New Roman"/>
      <family val="1"/>
    </font>
    <font>
      <sz val="13"/>
      <color rgb="FF000000"/>
      <name val="Times New Roman"/>
      <family val="1"/>
    </font>
    <font>
      <sz val="13"/>
      <color rgb="FFC00000"/>
      <name val="Times New Roman"/>
      <family val="1"/>
    </font>
    <font>
      <sz val="13"/>
      <color indexed="9"/>
      <name val="Times New Roman"/>
      <family val="1"/>
    </font>
    <font>
      <b/>
      <i/>
      <sz val="13"/>
      <color rgb="FF000000"/>
      <name val="Times New Roman"/>
      <family val="1"/>
    </font>
    <font>
      <b/>
      <sz val="13"/>
      <color indexed="10"/>
      <name val="Times New Roman"/>
      <family val="1"/>
    </font>
    <font>
      <b/>
      <sz val="13"/>
      <color rgb="FFC00000"/>
      <name val="Times New Roman"/>
      <family val="1"/>
    </font>
    <font>
      <u/>
      <sz val="13"/>
      <color rgb="FFFF0000"/>
      <name val="Times New Roman"/>
      <family val="1"/>
    </font>
    <font>
      <sz val="13"/>
      <color rgb="FF00B050"/>
      <name val="Times New Roman"/>
      <family val="1"/>
    </font>
    <font>
      <sz val="13"/>
      <color indexed="8"/>
      <name val="Times New Roman"/>
      <family val="1"/>
    </font>
    <font>
      <sz val="11"/>
      <name val="Tahoma"/>
      <family val="2"/>
    </font>
  </fonts>
  <fills count="16">
    <fill>
      <patternFill patternType="none"/>
    </fill>
    <fill>
      <patternFill patternType="gray125"/>
    </fill>
    <fill>
      <patternFill patternType="solid">
        <fgColor rgb="FFFFFF00"/>
        <bgColor indexed="64"/>
      </patternFill>
    </fill>
    <fill>
      <patternFill patternType="solid">
        <fgColor indexed="42"/>
        <bgColor indexed="64"/>
      </patternFill>
    </fill>
    <fill>
      <patternFill patternType="solid">
        <fgColor indexed="13"/>
        <bgColor indexed="64"/>
      </patternFill>
    </fill>
    <fill>
      <patternFill patternType="solid">
        <fgColor theme="0"/>
        <bgColor indexed="64"/>
      </patternFill>
    </fill>
    <fill>
      <patternFill patternType="solid">
        <fgColor theme="3" tint="0.79998168889431442"/>
        <bgColor indexed="64"/>
      </patternFill>
    </fill>
    <fill>
      <patternFill patternType="solid">
        <fgColor indexed="9"/>
        <bgColor indexed="64"/>
      </patternFill>
    </fill>
    <fill>
      <patternFill patternType="solid">
        <fgColor indexed="21"/>
        <bgColor indexed="64"/>
      </patternFill>
    </fill>
    <fill>
      <patternFill patternType="solid">
        <fgColor indexed="2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FFFFF"/>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59999389629810485"/>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style="hair">
        <color indexed="64"/>
      </right>
      <top style="hair">
        <color indexed="64"/>
      </top>
      <bottom style="hair">
        <color indexed="64"/>
      </bottom>
      <diagonal/>
    </border>
    <border>
      <left/>
      <right/>
      <top style="medium">
        <color indexed="64"/>
      </top>
      <bottom style="medium">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bottom style="dotted">
        <color indexed="64"/>
      </bottom>
      <diagonal/>
    </border>
    <border>
      <left style="thin">
        <color indexed="64"/>
      </left>
      <right style="double">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double">
        <color indexed="64"/>
      </left>
      <right style="thin">
        <color indexed="64"/>
      </right>
      <top style="hair">
        <color indexed="64"/>
      </top>
      <bottom style="double">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double">
        <color indexed="64"/>
      </left>
      <right style="thin">
        <color indexed="64"/>
      </right>
      <top style="hair">
        <color indexed="64"/>
      </top>
      <bottom style="hair">
        <color indexed="64"/>
      </bottom>
      <diagonal/>
    </border>
    <border>
      <left style="thin">
        <color indexed="64"/>
      </left>
      <right style="double">
        <color indexed="64"/>
      </right>
      <top/>
      <bottom style="hair">
        <color indexed="64"/>
      </bottom>
      <diagonal/>
    </border>
    <border>
      <left style="thin">
        <color indexed="64"/>
      </left>
      <right style="thin">
        <color indexed="64"/>
      </right>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hair">
        <color indexed="64"/>
      </top>
      <bottom/>
      <diagonal/>
    </border>
    <border>
      <left style="thin">
        <color indexed="64"/>
      </left>
      <right style="thin">
        <color indexed="64"/>
      </right>
      <top style="hair">
        <color indexed="64"/>
      </top>
      <bottom/>
      <diagonal/>
    </border>
    <border>
      <left style="double">
        <color indexed="64"/>
      </left>
      <right style="thin">
        <color indexed="64"/>
      </right>
      <top style="hair">
        <color indexed="64"/>
      </top>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right style="double">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thin">
        <color indexed="64"/>
      </top>
      <bottom style="thin">
        <color indexed="64"/>
      </bottom>
      <diagonal/>
    </border>
    <border>
      <left style="double">
        <color indexed="64"/>
      </left>
      <right/>
      <top/>
      <bottom style="thin">
        <color indexed="64"/>
      </bottom>
      <diagonal/>
    </border>
    <border>
      <left/>
      <right style="double">
        <color indexed="64"/>
      </right>
      <top/>
      <bottom/>
      <diagonal/>
    </border>
    <border>
      <left style="double">
        <color indexed="64"/>
      </left>
      <right/>
      <top/>
      <bottom/>
      <diagonal/>
    </border>
    <border>
      <left/>
      <right style="double">
        <color indexed="64"/>
      </right>
      <top style="double">
        <color indexed="64"/>
      </top>
      <bottom/>
      <diagonal/>
    </border>
    <border>
      <left/>
      <right/>
      <top style="double">
        <color indexed="64"/>
      </top>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style="double">
        <color indexed="64"/>
      </right>
      <top style="double">
        <color indexed="64"/>
      </top>
      <bottom/>
      <diagonal/>
    </border>
    <border>
      <left style="double">
        <color indexed="64"/>
      </left>
      <right/>
      <top style="double">
        <color indexed="64"/>
      </top>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right style="double">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double">
        <color indexed="64"/>
      </right>
      <top style="hair">
        <color indexed="64"/>
      </top>
      <bottom style="double">
        <color indexed="64"/>
      </bottom>
      <diagonal/>
    </border>
    <border>
      <left style="thin">
        <color indexed="64"/>
      </left>
      <right/>
      <top style="hair">
        <color indexed="64"/>
      </top>
      <bottom style="double">
        <color indexed="64"/>
      </bottom>
      <diagonal/>
    </border>
    <border>
      <left/>
      <right style="double">
        <color indexed="64"/>
      </right>
      <top/>
      <bottom style="thin">
        <color indexed="64"/>
      </bottom>
      <diagonal/>
    </border>
    <border>
      <left style="double">
        <color indexed="64"/>
      </left>
      <right style="thin">
        <color indexed="64"/>
      </right>
      <top/>
      <bottom/>
      <diagonal/>
    </border>
    <border>
      <left/>
      <right style="thin">
        <color indexed="64"/>
      </right>
      <top style="double">
        <color indexed="64"/>
      </top>
      <bottom/>
      <diagonal/>
    </border>
    <border>
      <left/>
      <right/>
      <top style="hair">
        <color indexed="64"/>
      </top>
      <bottom/>
      <diagonal/>
    </border>
    <border>
      <left/>
      <right/>
      <top style="hair">
        <color indexed="64"/>
      </top>
      <bottom style="hair">
        <color indexed="64"/>
      </bottom>
      <diagonal/>
    </border>
    <border>
      <left style="double">
        <color indexed="64"/>
      </left>
      <right/>
      <top style="double">
        <color indexed="64"/>
      </top>
      <bottom style="thin">
        <color indexed="64"/>
      </bottom>
      <diagonal/>
    </border>
    <border>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diagonal/>
    </border>
    <border>
      <left/>
      <right/>
      <top style="dotted">
        <color indexed="64"/>
      </top>
      <bottom/>
      <diagonal/>
    </border>
    <border>
      <left style="thin">
        <color indexed="64"/>
      </left>
      <right/>
      <top style="dotted">
        <color indexed="64"/>
      </top>
      <bottom/>
      <diagonal/>
    </border>
    <border>
      <left style="thin">
        <color indexed="64"/>
      </left>
      <right style="thin">
        <color indexed="64"/>
      </right>
      <top style="dotted">
        <color indexed="64"/>
      </top>
      <bottom/>
      <diagonal/>
    </border>
    <border>
      <left/>
      <right/>
      <top style="dotted">
        <color indexed="64"/>
      </top>
      <bottom style="dotted">
        <color indexed="64"/>
      </bottom>
      <diagonal/>
    </border>
    <border>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top/>
      <bottom style="dotted">
        <color indexed="64"/>
      </bottom>
      <diagonal/>
    </border>
    <border>
      <left style="medium">
        <color indexed="64"/>
      </left>
      <right style="thin">
        <color indexed="64"/>
      </right>
      <top style="thin">
        <color indexed="64"/>
      </top>
      <bottom style="thin">
        <color indexed="64"/>
      </bottom>
      <diagonal/>
    </border>
    <border>
      <left style="thin">
        <color indexed="64"/>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top/>
      <bottom style="hair">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s>
  <cellStyleXfs count="140">
    <xf numFmtId="0" fontId="0"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15" fillId="0" borderId="0"/>
    <xf numFmtId="168" fontId="3"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21" fillId="0" borderId="0"/>
    <xf numFmtId="9" fontId="21" fillId="0" borderId="0" applyFont="0" applyFill="0" applyBorder="0" applyAlignment="0" applyProtection="0"/>
    <xf numFmtId="43" fontId="21" fillId="0" borderId="0" applyFont="0" applyFill="0" applyBorder="0" applyAlignment="0" applyProtection="0"/>
    <xf numFmtId="174" fontId="2" fillId="0" borderId="0" applyFont="0" applyFill="0" applyBorder="0" applyAlignment="0" applyProtection="0"/>
    <xf numFmtId="0" fontId="23" fillId="0" borderId="0" applyFont="0" applyFill="0" applyBorder="0" applyAlignment="0" applyProtection="0"/>
    <xf numFmtId="175" fontId="2" fillId="0" borderId="0" applyFont="0" applyFill="0" applyBorder="0" applyAlignment="0" applyProtection="0"/>
    <xf numFmtId="40" fontId="23" fillId="0" borderId="0" applyFont="0" applyFill="0" applyBorder="0" applyAlignment="0" applyProtection="0"/>
    <xf numFmtId="38" fontId="23" fillId="0" borderId="0" applyFont="0" applyFill="0" applyBorder="0" applyAlignment="0" applyProtection="0"/>
    <xf numFmtId="10" fontId="2" fillId="0" borderId="0" applyFont="0" applyFill="0" applyBorder="0" applyAlignment="0" applyProtection="0"/>
    <xf numFmtId="0" fontId="24" fillId="0" borderId="0"/>
    <xf numFmtId="0" fontId="22" fillId="0" borderId="0"/>
    <xf numFmtId="0" fontId="22" fillId="0" borderId="0"/>
    <xf numFmtId="0" fontId="22" fillId="0" borderId="0"/>
    <xf numFmtId="0" fontId="2" fillId="0" borderId="0"/>
    <xf numFmtId="41" fontId="15" fillId="0" borderId="0" applyFont="0" applyFill="0" applyBorder="0" applyAlignment="0" applyProtection="0"/>
    <xf numFmtId="41" fontId="2" fillId="0" borderId="0" applyFont="0" applyFill="0" applyBorder="0" applyAlignment="0" applyProtection="0"/>
    <xf numFmtId="43" fontId="25"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 fillId="0" borderId="0" applyFont="0" applyFill="0" applyBorder="0" applyAlignment="0" applyProtection="0"/>
    <xf numFmtId="43" fontId="22" fillId="0" borderId="0" applyFont="0" applyFill="0" applyBorder="0" applyAlignment="0" applyProtection="0"/>
    <xf numFmtId="43" fontId="15" fillId="0" borderId="0" applyFont="0" applyFill="0" applyBorder="0" applyAlignment="0" applyProtection="0"/>
    <xf numFmtId="43" fontId="2" fillId="0" borderId="0" applyFont="0" applyFill="0" applyBorder="0" applyAlignment="0" applyProtection="0"/>
    <xf numFmtId="43" fontId="22" fillId="0" borderId="0" applyFont="0" applyFill="0" applyBorder="0" applyAlignment="0" applyProtection="0"/>
    <xf numFmtId="176" fontId="22" fillId="0" borderId="0" applyFont="0" applyFill="0" applyBorder="0" applyAlignment="0" applyProtection="0"/>
    <xf numFmtId="43" fontId="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5" fillId="0" borderId="0" applyFont="0" applyFill="0" applyBorder="0" applyAlignment="0" applyProtection="0"/>
    <xf numFmtId="43" fontId="26" fillId="0" borderId="0" applyFont="0" applyFill="0" applyBorder="0" applyAlignment="0" applyProtection="0"/>
    <xf numFmtId="177" fontId="3" fillId="0" borderId="0" applyFont="0" applyFill="0" applyBorder="0" applyAlignment="0" applyProtection="0"/>
    <xf numFmtId="3" fontId="2" fillId="0" borderId="0" applyFont="0" applyFill="0" applyBorder="0" applyAlignment="0" applyProtection="0"/>
    <xf numFmtId="178" fontId="2" fillId="0" borderId="0" applyFont="0" applyFill="0" applyBorder="0" applyAlignment="0" applyProtection="0"/>
    <xf numFmtId="0" fontId="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2" fontId="2" fillId="0" borderId="0" applyFont="0" applyFill="0" applyBorder="0" applyAlignment="0" applyProtection="0"/>
    <xf numFmtId="0" fontId="27" fillId="0" borderId="20" applyNumberFormat="0" applyAlignment="0" applyProtection="0">
      <alignment horizontal="left" vertical="center"/>
    </xf>
    <xf numFmtId="0" fontId="27" fillId="0" borderId="13">
      <alignment horizontal="left" vertical="center"/>
    </xf>
    <xf numFmtId="49" fontId="28" fillId="0" borderId="1">
      <alignment vertical="center"/>
    </xf>
    <xf numFmtId="38" fontId="29" fillId="0" borderId="0" applyFont="0" applyFill="0" applyBorder="0" applyAlignment="0" applyProtection="0"/>
    <xf numFmtId="40" fontId="29" fillId="0" borderId="0" applyFont="0" applyFill="0" applyBorder="0" applyAlignment="0" applyProtection="0"/>
    <xf numFmtId="179" fontId="29" fillId="0" borderId="0" applyFont="0" applyFill="0" applyBorder="0" applyAlignment="0" applyProtection="0"/>
    <xf numFmtId="180" fontId="29" fillId="0" borderId="0" applyFont="0" applyFill="0" applyBorder="0" applyAlignment="0" applyProtection="0"/>
    <xf numFmtId="0" fontId="30" fillId="0" borderId="0" applyNumberFormat="0" applyFont="0" applyFill="0" applyAlignment="0"/>
    <xf numFmtId="0" fontId="2" fillId="0" borderId="0"/>
    <xf numFmtId="0" fontId="22" fillId="0" borderId="0"/>
    <xf numFmtId="0" fontId="3" fillId="0" borderId="0"/>
    <xf numFmtId="0" fontId="22" fillId="0" borderId="0"/>
    <xf numFmtId="0" fontId="2" fillId="0" borderId="0"/>
    <xf numFmtId="0" fontId="22" fillId="0" borderId="0"/>
    <xf numFmtId="0" fontId="15" fillId="0" borderId="0"/>
    <xf numFmtId="0" fontId="2" fillId="0" borderId="0"/>
    <xf numFmtId="0" fontId="31" fillId="0" borderId="0"/>
    <xf numFmtId="0" fontId="2" fillId="0" borderId="0"/>
    <xf numFmtId="0" fontId="15" fillId="0" borderId="0"/>
    <xf numFmtId="0" fontId="22" fillId="0" borderId="0"/>
    <xf numFmtId="0" fontId="26" fillId="0" borderId="0"/>
    <xf numFmtId="0" fontId="25" fillId="0" borderId="0"/>
    <xf numFmtId="9" fontId="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3"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2" fillId="0" borderId="0" applyFont="0" applyFill="0" applyBorder="0" applyAlignment="0" applyProtection="0"/>
    <xf numFmtId="9" fontId="2" fillId="0" borderId="0" applyFont="0" applyFill="0" applyBorder="0" applyAlignment="0" applyProtection="0"/>
    <xf numFmtId="9" fontId="26" fillId="0" borderId="0" applyFont="0" applyFill="0" applyBorder="0" applyAlignment="0" applyProtection="0"/>
    <xf numFmtId="9" fontId="25" fillId="0" borderId="0" applyFont="0" applyFill="0" applyBorder="0" applyAlignment="0" applyProtection="0"/>
    <xf numFmtId="9" fontId="2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22" fillId="0" borderId="0">
      <alignment vertical="center"/>
    </xf>
    <xf numFmtId="40" fontId="33" fillId="0" borderId="0" applyFont="0" applyFill="0" applyBorder="0" applyAlignment="0" applyProtection="0"/>
    <xf numFmtId="38" fontId="33" fillId="0" borderId="0" applyFont="0" applyFill="0" applyBorder="0" applyAlignment="0" applyProtection="0"/>
    <xf numFmtId="0" fontId="33" fillId="0" borderId="0" applyFont="0" applyFill="0" applyBorder="0" applyAlignment="0" applyProtection="0"/>
    <xf numFmtId="0" fontId="33" fillId="0" borderId="0" applyFont="0" applyFill="0" applyBorder="0" applyAlignment="0" applyProtection="0"/>
    <xf numFmtId="9" fontId="34" fillId="0" borderId="0" applyFont="0" applyFill="0" applyBorder="0" applyAlignment="0" applyProtection="0"/>
    <xf numFmtId="0" fontId="35" fillId="0" borderId="0"/>
    <xf numFmtId="181" fontId="2" fillId="0" borderId="0" applyFont="0" applyFill="0" applyBorder="0" applyAlignment="0" applyProtection="0"/>
    <xf numFmtId="182" fontId="2" fillId="0" borderId="0" applyFont="0" applyFill="0" applyBorder="0" applyAlignment="0" applyProtection="0"/>
    <xf numFmtId="183" fontId="36" fillId="0" borderId="0" applyFont="0" applyFill="0" applyBorder="0" applyAlignment="0" applyProtection="0"/>
    <xf numFmtId="184" fontId="36" fillId="0" borderId="0" applyFont="0" applyFill="0" applyBorder="0" applyAlignment="0" applyProtection="0"/>
    <xf numFmtId="0" fontId="37" fillId="0" borderId="0"/>
    <xf numFmtId="0" fontId="38" fillId="0" borderId="0" applyProtection="0"/>
    <xf numFmtId="185" fontId="39" fillId="0" borderId="0" applyFont="0" applyFill="0" applyBorder="0" applyAlignment="0" applyProtection="0"/>
    <xf numFmtId="40" fontId="40" fillId="0" borderId="0" applyFont="0" applyFill="0" applyBorder="0" applyAlignment="0" applyProtection="0"/>
    <xf numFmtId="186" fontId="39" fillId="0" borderId="0" applyFont="0" applyFill="0" applyBorder="0" applyAlignment="0" applyProtection="0"/>
    <xf numFmtId="187" fontId="40" fillId="0" borderId="0" applyFont="0" applyFill="0" applyBorder="0" applyAlignment="0" applyProtection="0"/>
    <xf numFmtId="188" fontId="39" fillId="0" borderId="0" applyFont="0" applyFill="0" applyBorder="0" applyAlignment="0" applyProtection="0"/>
    <xf numFmtId="0" fontId="49" fillId="0" borderId="0"/>
    <xf numFmtId="43" fontId="31" fillId="0" borderId="0" applyFont="0" applyFill="0" applyBorder="0" applyAlignment="0" applyProtection="0"/>
    <xf numFmtId="9" fontId="31" fillId="0" borderId="0" applyFont="0" applyFill="0" applyBorder="0" applyAlignment="0" applyProtection="0"/>
    <xf numFmtId="168" fontId="3"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0" fontId="43" fillId="0" borderId="0"/>
    <xf numFmtId="43" fontId="43"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54" fillId="0" borderId="0"/>
    <xf numFmtId="0" fontId="55" fillId="0" borderId="0" applyNumberFormat="0" applyFill="0" applyBorder="0" applyAlignment="0" applyProtection="0"/>
    <xf numFmtId="0" fontId="27" fillId="0" borderId="0" applyNumberFormat="0" applyFill="0" applyBorder="0" applyAlignment="0" applyProtection="0"/>
    <xf numFmtId="220" fontId="56" fillId="0" borderId="0"/>
    <xf numFmtId="0" fontId="2" fillId="0" borderId="0"/>
    <xf numFmtId="0" fontId="57" fillId="0" borderId="0"/>
    <xf numFmtId="0" fontId="58" fillId="0" borderId="0"/>
    <xf numFmtId="221" fontId="2" fillId="0" borderId="0"/>
    <xf numFmtId="222" fontId="57" fillId="0" borderId="4">
      <alignment horizontal="right" vertical="center"/>
    </xf>
    <xf numFmtId="223" fontId="57" fillId="0" borderId="4">
      <alignment horizontal="right" vertical="center"/>
    </xf>
    <xf numFmtId="224" fontId="57" fillId="0" borderId="4">
      <alignment horizontal="center"/>
    </xf>
    <xf numFmtId="0" fontId="2" fillId="0" borderId="59" applyNumberFormat="0" applyFont="0" applyFill="0" applyAlignment="0" applyProtection="0"/>
    <xf numFmtId="225" fontId="57" fillId="0" borderId="0"/>
    <xf numFmtId="226" fontId="57" fillId="0" borderId="1"/>
    <xf numFmtId="43" fontId="2" fillId="0" borderId="0" applyFont="0" applyFill="0" applyBorder="0" applyAlignment="0" applyProtection="0"/>
    <xf numFmtId="0" fontId="58" fillId="0" borderId="0"/>
    <xf numFmtId="43" fontId="58" fillId="0" borderId="0" applyFont="0" applyFill="0" applyBorder="0" applyAlignment="0" applyProtection="0"/>
    <xf numFmtId="9" fontId="58" fillId="0" borderId="0" applyFont="0" applyFill="0" applyBorder="0" applyAlignment="0" applyProtection="0"/>
    <xf numFmtId="0" fontId="62" fillId="0" borderId="0"/>
    <xf numFmtId="177" fontId="62" fillId="0" borderId="0" applyFont="0" applyFill="0" applyBorder="0" applyAlignment="0" applyProtection="0"/>
    <xf numFmtId="177" fontId="3" fillId="0" borderId="0" applyFont="0" applyFill="0" applyBorder="0" applyAlignment="0" applyProtection="0"/>
    <xf numFmtId="0" fontId="57" fillId="0" borderId="0"/>
  </cellStyleXfs>
  <cellXfs count="2826">
    <xf numFmtId="0" fontId="0" fillId="0" borderId="0" xfId="0"/>
    <xf numFmtId="0" fontId="1" fillId="0" borderId="0" xfId="0" applyFont="1"/>
    <xf numFmtId="0" fontId="0" fillId="0" borderId="0" xfId="0" applyProtection="1">
      <protection locked="0"/>
    </xf>
    <xf numFmtId="0" fontId="1" fillId="0" borderId="0" xfId="0" applyFont="1" applyProtection="1">
      <protection locked="0"/>
    </xf>
    <xf numFmtId="0" fontId="4" fillId="0" borderId="1" xfId="1" applyFont="1" applyBorder="1" applyAlignment="1">
      <alignment horizontal="center" vertical="top" wrapText="1"/>
    </xf>
    <xf numFmtId="0" fontId="5" fillId="0" borderId="1" xfId="1" applyFont="1" applyBorder="1" applyAlignment="1">
      <alignment horizontal="center" vertical="top" wrapText="1"/>
    </xf>
    <xf numFmtId="0" fontId="4" fillId="0" borderId="0" xfId="1" applyFont="1"/>
    <xf numFmtId="0" fontId="5" fillId="0" borderId="1" xfId="1" applyFont="1" applyBorder="1" applyAlignment="1">
      <alignment horizontal="justify" vertical="top" wrapText="1"/>
    </xf>
    <xf numFmtId="164" fontId="4" fillId="0" borderId="0" xfId="2" applyNumberFormat="1" applyFont="1"/>
    <xf numFmtId="0" fontId="6" fillId="0" borderId="1" xfId="1" applyFont="1" applyBorder="1" applyAlignment="1">
      <alignment vertical="top" wrapText="1"/>
    </xf>
    <xf numFmtId="3" fontId="5" fillId="0" borderId="1" xfId="1" applyNumberFormat="1" applyFont="1" applyBorder="1" applyAlignment="1">
      <alignment horizontal="center" vertical="center"/>
    </xf>
    <xf numFmtId="0" fontId="4" fillId="0" borderId="1" xfId="1" applyFont="1" applyBorder="1" applyAlignment="1">
      <alignment horizontal="justify" vertical="top" wrapText="1"/>
    </xf>
    <xf numFmtId="3" fontId="4" fillId="0" borderId="1" xfId="1" applyNumberFormat="1" applyFont="1" applyBorder="1" applyAlignment="1">
      <alignment horizontal="center" vertical="center"/>
    </xf>
    <xf numFmtId="3" fontId="4" fillId="0" borderId="1" xfId="1" applyNumberFormat="1" applyFont="1" applyBorder="1" applyAlignment="1">
      <alignment horizontal="center" vertical="center" wrapText="1"/>
    </xf>
    <xf numFmtId="0" fontId="7" fillId="0" borderId="1" xfId="1" applyFont="1" applyBorder="1" applyAlignment="1">
      <alignment vertical="top" wrapText="1"/>
    </xf>
    <xf numFmtId="10" fontId="4" fillId="0" borderId="0" xfId="3" applyNumberFormat="1" applyFont="1"/>
    <xf numFmtId="0" fontId="5" fillId="0" borderId="1" xfId="1" applyFont="1" applyBorder="1" applyAlignment="1">
      <alignment horizontal="center"/>
    </xf>
    <xf numFmtId="0" fontId="5" fillId="0" borderId="1" xfId="1" applyFont="1" applyBorder="1"/>
    <xf numFmtId="0" fontId="4" fillId="0" borderId="1" xfId="1" applyFont="1" applyBorder="1"/>
    <xf numFmtId="164" fontId="5" fillId="0" borderId="1" xfId="2" applyNumberFormat="1" applyFont="1" applyBorder="1" applyAlignment="1">
      <alignment horizontal="right" vertical="center"/>
    </xf>
    <xf numFmtId="164" fontId="4" fillId="0" borderId="1" xfId="2" applyNumberFormat="1" applyFont="1" applyBorder="1" applyAlignment="1">
      <alignment horizontal="right"/>
    </xf>
    <xf numFmtId="49" fontId="4" fillId="0" borderId="1" xfId="1" applyNumberFormat="1" applyFont="1" applyBorder="1"/>
    <xf numFmtId="0" fontId="6" fillId="0" borderId="1" xfId="1" applyFont="1" applyBorder="1"/>
    <xf numFmtId="0" fontId="5" fillId="3" borderId="1" xfId="1" applyFont="1" applyFill="1" applyBorder="1"/>
    <xf numFmtId="0" fontId="4" fillId="3" borderId="1" xfId="1" applyFont="1" applyFill="1" applyBorder="1"/>
    <xf numFmtId="164" fontId="4" fillId="3" borderId="1" xfId="2" applyNumberFormat="1" applyFont="1" applyFill="1" applyBorder="1"/>
    <xf numFmtId="164" fontId="6" fillId="0" borderId="0" xfId="2" applyNumberFormat="1" applyFont="1"/>
    <xf numFmtId="164" fontId="5" fillId="0" borderId="0" xfId="2" applyNumberFormat="1" applyFont="1"/>
    <xf numFmtId="0" fontId="5" fillId="0" borderId="0" xfId="1" applyFont="1"/>
    <xf numFmtId="164" fontId="4" fillId="0" borderId="1" xfId="2" applyNumberFormat="1" applyFont="1" applyBorder="1" applyAlignment="1">
      <alignment vertical="center"/>
    </xf>
    <xf numFmtId="164" fontId="4" fillId="0" borderId="1" xfId="2" applyNumberFormat="1" applyFont="1" applyBorder="1" applyAlignment="1">
      <alignment horizontal="center" vertical="center"/>
    </xf>
    <xf numFmtId="0" fontId="5" fillId="0" borderId="1" xfId="1" applyFont="1" applyBorder="1" applyAlignment="1">
      <alignment vertical="top" wrapText="1"/>
    </xf>
    <xf numFmtId="0" fontId="5" fillId="0" borderId="1" xfId="1" applyFont="1" applyFill="1" applyBorder="1" applyAlignment="1">
      <alignment vertical="top" wrapText="1"/>
    </xf>
    <xf numFmtId="164" fontId="5" fillId="0" borderId="1" xfId="1" applyNumberFormat="1" applyFont="1" applyBorder="1" applyAlignment="1">
      <alignment vertical="top" wrapText="1"/>
    </xf>
    <xf numFmtId="0" fontId="4" fillId="0" borderId="1" xfId="1" applyFont="1" applyBorder="1" applyAlignment="1">
      <alignment vertical="top" wrapText="1"/>
    </xf>
    <xf numFmtId="164" fontId="4" fillId="0" borderId="1" xfId="1" applyNumberFormat="1" applyFont="1" applyBorder="1" applyAlignment="1">
      <alignment vertical="top" wrapText="1"/>
    </xf>
    <xf numFmtId="164" fontId="4" fillId="0" borderId="1" xfId="1" applyNumberFormat="1" applyFont="1" applyBorder="1"/>
    <xf numFmtId="164" fontId="5" fillId="0" borderId="1" xfId="2" applyNumberFormat="1" applyFont="1" applyBorder="1" applyAlignment="1">
      <alignment horizontal="center" vertical="top" wrapText="1"/>
    </xf>
    <xf numFmtId="164" fontId="5" fillId="0" borderId="1" xfId="2" applyNumberFormat="1" applyFont="1" applyBorder="1" applyAlignment="1">
      <alignment vertical="top" wrapText="1"/>
    </xf>
    <xf numFmtId="164" fontId="5" fillId="0" borderId="1" xfId="2" applyNumberFormat="1" applyFont="1" applyBorder="1" applyAlignment="1">
      <alignment horizontal="right" vertical="top" wrapText="1"/>
    </xf>
    <xf numFmtId="3" fontId="5" fillId="0" borderId="1" xfId="1" applyNumberFormat="1" applyFont="1" applyBorder="1" applyAlignment="1">
      <alignment horizontal="right" vertical="top" wrapText="1"/>
    </xf>
    <xf numFmtId="3" fontId="4" fillId="0" borderId="1" xfId="1" applyNumberFormat="1" applyFont="1" applyBorder="1" applyAlignment="1">
      <alignment horizontal="right" vertical="top" wrapText="1"/>
    </xf>
    <xf numFmtId="164" fontId="4" fillId="0" borderId="1" xfId="2" applyNumberFormat="1" applyFont="1" applyBorder="1" applyAlignment="1">
      <alignment vertical="top" wrapText="1"/>
    </xf>
    <xf numFmtId="164" fontId="4" fillId="0" borderId="1" xfId="2" applyNumberFormat="1" applyFont="1" applyBorder="1" applyAlignment="1">
      <alignment horizontal="right" vertical="top" wrapText="1"/>
    </xf>
    <xf numFmtId="0" fontId="7" fillId="0" borderId="1" xfId="1" applyFont="1" applyBorder="1" applyAlignment="1">
      <alignment horizontal="center" vertical="top" wrapText="1"/>
    </xf>
    <xf numFmtId="3" fontId="7" fillId="0" borderId="1" xfId="1" applyNumberFormat="1" applyFont="1" applyBorder="1" applyAlignment="1">
      <alignment horizontal="right" vertical="top" wrapText="1"/>
    </xf>
    <xf numFmtId="165" fontId="4" fillId="0" borderId="0" xfId="3" applyNumberFormat="1" applyFont="1"/>
    <xf numFmtId="0" fontId="4" fillId="0" borderId="1" xfId="1" applyFont="1" applyBorder="1" applyAlignment="1">
      <alignment horizontal="center"/>
    </xf>
    <xf numFmtId="164" fontId="4" fillId="0" borderId="1" xfId="2" applyNumberFormat="1" applyFont="1" applyBorder="1"/>
    <xf numFmtId="164" fontId="5" fillId="0" borderId="1" xfId="2" applyNumberFormat="1" applyFont="1" applyBorder="1"/>
    <xf numFmtId="0" fontId="5" fillId="0" borderId="0" xfId="1" applyFont="1" applyBorder="1"/>
    <xf numFmtId="0" fontId="5" fillId="0" borderId="0" xfId="1" applyFont="1" applyBorder="1" applyAlignment="1">
      <alignment horizontal="center"/>
    </xf>
    <xf numFmtId="164" fontId="5" fillId="0" borderId="0" xfId="2" applyNumberFormat="1" applyFont="1" applyBorder="1"/>
    <xf numFmtId="0" fontId="5" fillId="0" borderId="1" xfId="1" applyFont="1" applyBorder="1" applyAlignment="1">
      <alignment horizontal="center" vertical="center" wrapText="1"/>
    </xf>
    <xf numFmtId="0" fontId="5" fillId="0" borderId="1" xfId="1" applyFont="1" applyFill="1" applyBorder="1" applyAlignment="1">
      <alignment horizontal="center" vertical="center" wrapText="1"/>
    </xf>
    <xf numFmtId="10" fontId="6" fillId="0" borderId="1" xfId="3" applyNumberFormat="1" applyFont="1" applyBorder="1"/>
    <xf numFmtId="164" fontId="4" fillId="0" borderId="0" xfId="1" applyNumberFormat="1" applyFont="1"/>
    <xf numFmtId="164" fontId="4" fillId="0" borderId="0" xfId="2" applyNumberFormat="1" applyFont="1" applyFill="1"/>
    <xf numFmtId="10" fontId="4" fillId="0" borderId="0" xfId="1" applyNumberFormat="1" applyFont="1" applyFill="1"/>
    <xf numFmtId="9" fontId="6" fillId="0" borderId="1" xfId="3" applyFont="1" applyBorder="1" applyAlignment="1">
      <alignment horizontal="right" vertical="top" wrapText="1"/>
    </xf>
    <xf numFmtId="9" fontId="4" fillId="0" borderId="0" xfId="3" applyFont="1"/>
    <xf numFmtId="10" fontId="4" fillId="0" borderId="0" xfId="1" applyNumberFormat="1" applyFont="1"/>
    <xf numFmtId="49" fontId="5" fillId="0" borderId="1" xfId="1" applyNumberFormat="1" applyFont="1" applyBorder="1" applyAlignment="1">
      <alignment horizontal="center" vertical="top" wrapText="1"/>
    </xf>
    <xf numFmtId="49" fontId="4" fillId="0" borderId="1" xfId="1" applyNumberFormat="1" applyFont="1" applyBorder="1" applyAlignment="1">
      <alignment horizontal="justify" vertical="top" wrapText="1"/>
    </xf>
    <xf numFmtId="49" fontId="4" fillId="0" borderId="0" xfId="1" applyNumberFormat="1" applyFont="1" applyBorder="1" applyAlignment="1">
      <alignment horizontal="justify" vertical="top" wrapText="1"/>
    </xf>
    <xf numFmtId="0" fontId="4" fillId="0" borderId="0" xfId="1" applyFont="1" applyBorder="1" applyAlignment="1">
      <alignment horizontal="justify" vertical="top" wrapText="1"/>
    </xf>
    <xf numFmtId="164" fontId="4" fillId="0" borderId="0" xfId="2" applyNumberFormat="1" applyFont="1" applyBorder="1" applyAlignment="1">
      <alignment horizontal="right" vertical="top" wrapText="1"/>
    </xf>
    <xf numFmtId="164" fontId="4" fillId="0" borderId="0" xfId="1" applyNumberFormat="1" applyFont="1" applyBorder="1" applyAlignment="1">
      <alignment horizontal="right" vertical="top" wrapText="1"/>
    </xf>
    <xf numFmtId="49" fontId="5" fillId="0" borderId="1" xfId="1" applyNumberFormat="1" applyFont="1" applyBorder="1" applyAlignment="1">
      <alignment horizontal="center"/>
    </xf>
    <xf numFmtId="49" fontId="5" fillId="0" borderId="1" xfId="1" applyNumberFormat="1" applyFont="1" applyBorder="1"/>
    <xf numFmtId="164" fontId="5" fillId="0" borderId="1" xfId="1" applyNumberFormat="1" applyFont="1" applyBorder="1" applyAlignment="1">
      <alignment horizontal="right"/>
    </xf>
    <xf numFmtId="164" fontId="5" fillId="0" borderId="1" xfId="2" applyNumberFormat="1" applyFont="1" applyBorder="1" applyAlignment="1">
      <alignment horizontal="right"/>
    </xf>
    <xf numFmtId="0" fontId="4" fillId="0" borderId="1" xfId="1" applyFont="1" applyBorder="1" applyAlignment="1">
      <alignment horizontal="right"/>
    </xf>
    <xf numFmtId="49" fontId="6" fillId="0" borderId="1" xfId="1" applyNumberFormat="1" applyFont="1" applyBorder="1"/>
    <xf numFmtId="164" fontId="6" fillId="0" borderId="1" xfId="1" applyNumberFormat="1" applyFont="1" applyBorder="1"/>
    <xf numFmtId="0" fontId="5" fillId="0" borderId="1" xfId="1" applyFont="1" applyBorder="1" applyAlignment="1">
      <alignment horizontal="center" wrapText="1"/>
    </xf>
    <xf numFmtId="9" fontId="6" fillId="0" borderId="1" xfId="1" applyNumberFormat="1" applyFont="1" applyBorder="1" applyAlignment="1">
      <alignment horizontal="right" vertical="top" wrapText="1"/>
    </xf>
    <xf numFmtId="3" fontId="4" fillId="0" borderId="0" xfId="1" applyNumberFormat="1" applyFont="1"/>
    <xf numFmtId="164" fontId="4" fillId="0" borderId="0" xfId="2" applyNumberFormat="1" applyFont="1" applyAlignment="1">
      <alignment horizontal="right"/>
    </xf>
    <xf numFmtId="165" fontId="4" fillId="0" borderId="0" xfId="1" applyNumberFormat="1" applyFont="1"/>
    <xf numFmtId="0" fontId="5" fillId="0" borderId="18" xfId="1" applyFont="1" applyFill="1" applyBorder="1" applyAlignment="1">
      <alignment vertical="top" wrapText="1"/>
    </xf>
    <xf numFmtId="0" fontId="5" fillId="0" borderId="1" xfId="1" applyFont="1" applyBorder="1" applyAlignment="1">
      <alignment horizontal="right" vertical="top" wrapText="1"/>
    </xf>
    <xf numFmtId="0" fontId="4" fillId="0" borderId="1" xfId="1" applyFont="1" applyBorder="1" applyAlignment="1">
      <alignment horizontal="right" vertical="top" wrapText="1"/>
    </xf>
    <xf numFmtId="0" fontId="7" fillId="0" borderId="1" xfId="1" applyFont="1" applyBorder="1" applyAlignment="1">
      <alignment horizontal="right" vertical="top" wrapText="1"/>
    </xf>
    <xf numFmtId="0" fontId="5" fillId="0" borderId="1" xfId="1" applyFont="1" applyBorder="1" applyAlignment="1">
      <alignment horizontal="center" vertical="center"/>
    </xf>
    <xf numFmtId="3" fontId="4" fillId="0" borderId="1" xfId="1" applyNumberFormat="1" applyFont="1" applyBorder="1" applyAlignment="1">
      <alignment horizontal="right"/>
    </xf>
    <xf numFmtId="0" fontId="4" fillId="0" borderId="0" xfId="1" applyFont="1" applyBorder="1"/>
    <xf numFmtId="3" fontId="4" fillId="0" borderId="0" xfId="1" applyNumberFormat="1" applyFont="1" applyBorder="1" applyAlignment="1">
      <alignment horizontal="right"/>
    </xf>
    <xf numFmtId="0" fontId="4" fillId="0" borderId="3" xfId="1" applyFont="1" applyBorder="1" applyAlignment="1">
      <alignment horizontal="center" vertical="top" wrapText="1"/>
    </xf>
    <xf numFmtId="0" fontId="4" fillId="0" borderId="3" xfId="1" applyFont="1" applyBorder="1" applyAlignment="1">
      <alignment vertical="top" wrapText="1"/>
    </xf>
    <xf numFmtId="3" fontId="4" fillId="0" borderId="3" xfId="1" applyNumberFormat="1" applyFont="1" applyBorder="1" applyAlignment="1">
      <alignment horizontal="right" vertical="top" wrapText="1"/>
    </xf>
    <xf numFmtId="0" fontId="5" fillId="0" borderId="3" xfId="1" applyFont="1" applyBorder="1" applyAlignment="1">
      <alignment horizontal="center" vertical="top" wrapText="1"/>
    </xf>
    <xf numFmtId="0" fontId="5" fillId="0" borderId="3" xfId="1" applyFont="1" applyBorder="1" applyAlignment="1">
      <alignment vertical="top" wrapText="1"/>
    </xf>
    <xf numFmtId="3" fontId="5" fillId="0" borderId="3" xfId="1" applyNumberFormat="1" applyFont="1" applyBorder="1" applyAlignment="1">
      <alignment horizontal="right" vertical="top" wrapText="1"/>
    </xf>
    <xf numFmtId="0" fontId="6" fillId="0" borderId="13" xfId="1" applyFont="1" applyBorder="1" applyAlignment="1">
      <alignment vertical="top" wrapText="1"/>
    </xf>
    <xf numFmtId="10" fontId="6" fillId="0" borderId="5" xfId="3" applyNumberFormat="1" applyFont="1" applyBorder="1" applyAlignment="1">
      <alignment vertical="top" wrapText="1"/>
    </xf>
    <xf numFmtId="0" fontId="4" fillId="2" borderId="1" xfId="1" applyFont="1" applyFill="1" applyBorder="1"/>
    <xf numFmtId="164" fontId="4" fillId="2" borderId="1" xfId="2" applyNumberFormat="1" applyFont="1" applyFill="1" applyBorder="1"/>
    <xf numFmtId="164" fontId="4" fillId="2" borderId="1" xfId="1" applyNumberFormat="1" applyFont="1" applyFill="1" applyBorder="1"/>
    <xf numFmtId="10" fontId="4" fillId="2" borderId="1" xfId="3" applyNumberFormat="1" applyFont="1" applyFill="1" applyBorder="1"/>
    <xf numFmtId="0" fontId="5" fillId="0" borderId="1" xfId="0" applyFont="1" applyFill="1" applyBorder="1" applyAlignment="1">
      <alignment horizontal="center" vertical="center" wrapText="1"/>
    </xf>
    <xf numFmtId="0" fontId="5" fillId="0" borderId="1" xfId="0" applyFont="1" applyFill="1" applyBorder="1"/>
    <xf numFmtId="164" fontId="5" fillId="0" borderId="1" xfId="0" applyNumberFormat="1" applyFont="1" applyFill="1" applyBorder="1"/>
    <xf numFmtId="0" fontId="4" fillId="0" borderId="1" xfId="0" applyFont="1" applyFill="1" applyBorder="1"/>
    <xf numFmtId="164" fontId="4" fillId="0" borderId="1" xfId="4" applyNumberFormat="1" applyFont="1" applyFill="1" applyBorder="1"/>
    <xf numFmtId="0" fontId="4" fillId="0" borderId="1" xfId="0" applyFont="1" applyFill="1" applyBorder="1" applyAlignment="1">
      <alignment wrapText="1"/>
    </xf>
    <xf numFmtId="164" fontId="4" fillId="0" borderId="1" xfId="4" applyNumberFormat="1" applyFont="1" applyFill="1" applyBorder="1" applyAlignment="1">
      <alignment wrapText="1"/>
    </xf>
    <xf numFmtId="0" fontId="8" fillId="0" borderId="0" xfId="0" applyFont="1" applyFill="1" applyProtection="1">
      <protection locked="0"/>
    </xf>
    <xf numFmtId="0" fontId="9" fillId="0" borderId="0" xfId="0" applyFont="1"/>
    <xf numFmtId="0" fontId="4" fillId="0" borderId="0" xfId="1" applyFont="1" applyAlignment="1">
      <alignment wrapText="1"/>
    </xf>
    <xf numFmtId="0" fontId="6" fillId="0" borderId="0" xfId="1" applyFont="1"/>
    <xf numFmtId="0" fontId="4" fillId="0" borderId="0" xfId="1" applyFont="1" applyAlignment="1">
      <alignment horizontal="center"/>
    </xf>
    <xf numFmtId="0" fontId="4" fillId="0" borderId="0" xfId="1" applyFont="1" applyAlignment="1">
      <alignment horizontal="center" vertical="center"/>
    </xf>
    <xf numFmtId="0" fontId="5" fillId="0" borderId="2" xfId="1" applyFont="1" applyBorder="1" applyAlignment="1">
      <alignment horizontal="center" vertical="top" wrapText="1"/>
    </xf>
    <xf numFmtId="0" fontId="5" fillId="0" borderId="2" xfId="1" applyFont="1" applyBorder="1" applyAlignment="1">
      <alignment vertical="top" wrapText="1"/>
    </xf>
    <xf numFmtId="3" fontId="5" fillId="0" borderId="2" xfId="1" applyNumberFormat="1" applyFont="1" applyBorder="1" applyAlignment="1">
      <alignment vertical="top" wrapText="1"/>
    </xf>
    <xf numFmtId="0" fontId="4" fillId="0" borderId="1" xfId="1" applyFont="1" applyBorder="1" applyAlignment="1">
      <alignment horizontal="left" vertical="top" wrapText="1"/>
    </xf>
    <xf numFmtId="3" fontId="4" fillId="0" borderId="1" xfId="1" applyNumberFormat="1" applyFont="1" applyBorder="1" applyAlignment="1">
      <alignment vertical="top" wrapText="1"/>
    </xf>
    <xf numFmtId="0" fontId="4" fillId="0" borderId="2" xfId="1" applyFont="1" applyBorder="1" applyAlignment="1">
      <alignment horizontal="center" vertical="top" wrapText="1"/>
    </xf>
    <xf numFmtId="0" fontId="4" fillId="0" borderId="2" xfId="1" applyFont="1" applyBorder="1" applyAlignment="1">
      <alignment horizontal="left" vertical="top" wrapText="1"/>
    </xf>
    <xf numFmtId="3" fontId="4" fillId="0" borderId="2" xfId="1" applyNumberFormat="1" applyFont="1" applyBorder="1" applyAlignment="1">
      <alignment vertical="top" wrapText="1"/>
    </xf>
    <xf numFmtId="164" fontId="4" fillId="0" borderId="2" xfId="2" applyNumberFormat="1" applyFont="1" applyBorder="1" applyAlignment="1">
      <alignment horizontal="right" vertical="top" wrapText="1"/>
    </xf>
    <xf numFmtId="0" fontId="5" fillId="0" borderId="1" xfId="1" applyFont="1" applyFill="1" applyBorder="1" applyAlignment="1">
      <alignment horizontal="left" vertical="top" wrapText="1"/>
    </xf>
    <xf numFmtId="3" fontId="5" fillId="0" borderId="1" xfId="1" applyNumberFormat="1" applyFont="1" applyBorder="1"/>
    <xf numFmtId="0" fontId="5" fillId="0" borderId="0" xfId="1" applyFont="1" applyFill="1" applyBorder="1" applyAlignment="1">
      <alignment horizontal="left" vertical="top" wrapText="1"/>
    </xf>
    <xf numFmtId="3" fontId="5" fillId="0" borderId="0" xfId="1" applyNumberFormat="1" applyFont="1" applyBorder="1"/>
    <xf numFmtId="0" fontId="4" fillId="0" borderId="2" xfId="1" applyFont="1" applyBorder="1" applyAlignment="1">
      <alignment vertical="top" wrapText="1"/>
    </xf>
    <xf numFmtId="0" fontId="7" fillId="0" borderId="2" xfId="1" applyFont="1" applyBorder="1" applyAlignment="1">
      <alignment horizontal="center" vertical="top" wrapText="1"/>
    </xf>
    <xf numFmtId="0" fontId="7" fillId="0" borderId="2" xfId="1" applyFont="1" applyBorder="1" applyAlignment="1">
      <alignment vertical="top" wrapText="1"/>
    </xf>
    <xf numFmtId="3" fontId="7" fillId="0" borderId="2" xfId="1" applyNumberFormat="1" applyFont="1" applyBorder="1" applyAlignment="1">
      <alignment vertical="top" wrapText="1"/>
    </xf>
    <xf numFmtId="0" fontId="6" fillId="0" borderId="4" xfId="1" applyFont="1" applyBorder="1" applyAlignment="1">
      <alignment vertical="top" wrapText="1"/>
    </xf>
    <xf numFmtId="0" fontId="5" fillId="0" borderId="1" xfId="1" applyFont="1" applyBorder="1" applyAlignment="1">
      <alignment vertical="center"/>
    </xf>
    <xf numFmtId="3" fontId="5" fillId="0" borderId="1" xfId="1" applyNumberFormat="1" applyFont="1" applyBorder="1" applyAlignment="1">
      <alignment horizontal="right" vertical="center"/>
    </xf>
    <xf numFmtId="0" fontId="4" fillId="0" borderId="1" xfId="1" applyFont="1" applyBorder="1" applyAlignment="1">
      <alignment vertical="center"/>
    </xf>
    <xf numFmtId="3" fontId="4" fillId="0" borderId="1" xfId="1" applyNumberFormat="1" applyFont="1" applyBorder="1" applyAlignment="1">
      <alignment horizontal="right" vertical="center"/>
    </xf>
    <xf numFmtId="164" fontId="4" fillId="0" borderId="1" xfId="1" applyNumberFormat="1" applyFont="1" applyBorder="1" applyAlignment="1">
      <alignment horizontal="right" vertical="center"/>
    </xf>
    <xf numFmtId="164" fontId="4" fillId="0" borderId="1" xfId="2" applyNumberFormat="1" applyFont="1" applyBorder="1" applyAlignment="1">
      <alignment horizontal="right" vertical="center"/>
    </xf>
    <xf numFmtId="0" fontId="4" fillId="0" borderId="1" xfId="1" applyFont="1" applyBorder="1" applyAlignment="1">
      <alignment horizontal="right" vertical="center"/>
    </xf>
    <xf numFmtId="0" fontId="6" fillId="0" borderId="1" xfId="1" applyFont="1" applyBorder="1" applyAlignment="1">
      <alignment vertical="center"/>
    </xf>
    <xf numFmtId="3" fontId="6" fillId="0" borderId="1" xfId="1" applyNumberFormat="1" applyFont="1" applyBorder="1" applyAlignment="1">
      <alignment horizontal="right" vertical="center"/>
    </xf>
    <xf numFmtId="0" fontId="4" fillId="0" borderId="0" xfId="1" applyFont="1" applyFill="1" applyBorder="1"/>
    <xf numFmtId="10" fontId="4" fillId="0" borderId="0" xfId="2" applyNumberFormat="1" applyFont="1"/>
    <xf numFmtId="0" fontId="4" fillId="0" borderId="0" xfId="1" applyFont="1" applyBorder="1" applyAlignment="1">
      <alignment horizontal="center"/>
    </xf>
    <xf numFmtId="164" fontId="4" fillId="0" borderId="1" xfId="2" applyNumberFormat="1" applyFont="1" applyBorder="1" applyAlignment="1">
      <alignment horizontal="center"/>
    </xf>
    <xf numFmtId="43" fontId="4" fillId="0" borderId="1" xfId="2" applyNumberFormat="1" applyFont="1" applyBorder="1" applyAlignment="1">
      <alignment horizontal="center"/>
    </xf>
    <xf numFmtId="164" fontId="5" fillId="0" borderId="1" xfId="2" applyNumberFormat="1" applyFont="1" applyBorder="1" applyAlignment="1">
      <alignment horizontal="center"/>
    </xf>
    <xf numFmtId="0" fontId="5" fillId="0" borderId="1" xfId="1" applyFont="1" applyBorder="1" applyAlignment="1">
      <alignment horizontal="right"/>
    </xf>
    <xf numFmtId="0" fontId="6" fillId="0" borderId="1" xfId="1" applyFont="1" applyBorder="1" applyAlignment="1">
      <alignment horizontal="center"/>
    </xf>
    <xf numFmtId="0" fontId="6" fillId="0" borderId="1" xfId="1" applyFont="1" applyBorder="1" applyAlignment="1">
      <alignment horizontal="right"/>
    </xf>
    <xf numFmtId="164" fontId="6" fillId="0" borderId="1" xfId="2" applyNumberFormat="1" applyFont="1" applyBorder="1" applyAlignment="1">
      <alignment horizontal="right"/>
    </xf>
    <xf numFmtId="164" fontId="7" fillId="0" borderId="1" xfId="2" applyNumberFormat="1" applyFont="1" applyBorder="1"/>
    <xf numFmtId="0" fontId="4" fillId="0" borderId="0" xfId="0" applyFont="1"/>
    <xf numFmtId="164" fontId="4" fillId="0" borderId="0" xfId="0" applyNumberFormat="1" applyFont="1"/>
    <xf numFmtId="10" fontId="4" fillId="0" borderId="0" xfId="5" applyNumberFormat="1" applyFont="1"/>
    <xf numFmtId="0" fontId="4" fillId="0" borderId="0" xfId="0" applyFont="1" applyFill="1" applyBorder="1"/>
    <xf numFmtId="0" fontId="5" fillId="0" borderId="1" xfId="0" applyFont="1" applyBorder="1" applyAlignment="1">
      <alignment vertical="center" wrapText="1"/>
    </xf>
    <xf numFmtId="0" fontId="5" fillId="0" borderId="0" xfId="0" applyFont="1"/>
    <xf numFmtId="0" fontId="5" fillId="0" borderId="1" xfId="0" applyFont="1" applyBorder="1"/>
    <xf numFmtId="0" fontId="4" fillId="0" borderId="1" xfId="0" applyFont="1" applyBorder="1"/>
    <xf numFmtId="164" fontId="5" fillId="0" borderId="1" xfId="0" applyNumberFormat="1" applyFont="1" applyBorder="1"/>
    <xf numFmtId="164" fontId="4" fillId="0" borderId="1" xfId="4" applyNumberFormat="1" applyFont="1" applyBorder="1"/>
    <xf numFmtId="164" fontId="4" fillId="0" borderId="1" xfId="0" applyNumberFormat="1" applyFont="1" applyBorder="1"/>
    <xf numFmtId="9" fontId="4" fillId="0" borderId="0" xfId="5" applyFont="1"/>
    <xf numFmtId="164" fontId="4" fillId="0" borderId="0" xfId="4" applyNumberFormat="1" applyFont="1"/>
    <xf numFmtId="0" fontId="4" fillId="0" borderId="0" xfId="1" applyFont="1" applyBorder="1" applyAlignment="1"/>
    <xf numFmtId="165" fontId="4" fillId="0" borderId="1" xfId="3" applyNumberFormat="1" applyFont="1" applyBorder="1"/>
    <xf numFmtId="164" fontId="4" fillId="0" borderId="1" xfId="2" applyNumberFormat="1" applyFont="1" applyBorder="1" applyAlignment="1">
      <alignment horizontal="left"/>
    </xf>
    <xf numFmtId="164" fontId="5" fillId="0" borderId="1" xfId="2" applyNumberFormat="1" applyFont="1" applyBorder="1" applyAlignment="1">
      <alignment horizontal="left"/>
    </xf>
    <xf numFmtId="0" fontId="4" fillId="0" borderId="1" xfId="1" applyFont="1" applyBorder="1" applyAlignment="1">
      <alignment horizontal="left" vertical="center" wrapText="1"/>
    </xf>
    <xf numFmtId="43" fontId="4" fillId="0" borderId="0" xfId="4" applyFont="1"/>
    <xf numFmtId="164" fontId="6" fillId="0" borderId="1" xfId="2" applyNumberFormat="1" applyFont="1" applyBorder="1"/>
    <xf numFmtId="9" fontId="4" fillId="0" borderId="0" xfId="1" applyNumberFormat="1" applyFont="1"/>
    <xf numFmtId="9" fontId="5" fillId="0" borderId="0" xfId="1" applyNumberFormat="1" applyFont="1"/>
    <xf numFmtId="0" fontId="4" fillId="0" borderId="0" xfId="1" quotePrefix="1" applyFont="1"/>
    <xf numFmtId="0" fontId="4" fillId="2" borderId="1" xfId="1" applyFont="1" applyFill="1" applyBorder="1" applyAlignment="1">
      <alignment horizontal="center"/>
    </xf>
    <xf numFmtId="0" fontId="4" fillId="0" borderId="1" xfId="1" applyFont="1" applyFill="1" applyBorder="1" applyAlignment="1">
      <alignment horizontal="center"/>
    </xf>
    <xf numFmtId="164" fontId="5" fillId="0" borderId="1" xfId="4" applyNumberFormat="1" applyFont="1" applyFill="1" applyBorder="1"/>
    <xf numFmtId="0" fontId="4" fillId="0" borderId="1" xfId="0" applyFont="1" applyBorder="1" applyAlignment="1">
      <alignment horizontal="center" vertical="center"/>
    </xf>
    <xf numFmtId="10" fontId="4" fillId="0" borderId="1" xfId="5" applyNumberFormat="1" applyFont="1" applyBorder="1"/>
    <xf numFmtId="10" fontId="6" fillId="0" borderId="1" xfId="3" applyNumberFormat="1" applyFont="1" applyBorder="1" applyAlignment="1">
      <alignment vertical="top" wrapText="1"/>
    </xf>
    <xf numFmtId="0" fontId="4" fillId="0" borderId="0" xfId="1" applyFont="1" applyBorder="1" applyAlignment="1">
      <alignment horizontal="right" vertical="top" wrapText="1"/>
    </xf>
    <xf numFmtId="166" fontId="5" fillId="4" borderId="1" xfId="2" applyNumberFormat="1" applyFont="1" applyFill="1" applyBorder="1" applyAlignment="1">
      <alignment horizontal="center" vertical="center" wrapText="1" shrinkToFit="1"/>
    </xf>
    <xf numFmtId="166" fontId="4" fillId="0" borderId="1" xfId="2" applyNumberFormat="1" applyFont="1" applyBorder="1" applyAlignment="1">
      <alignment horizontal="center"/>
    </xf>
    <xf numFmtId="166" fontId="4" fillId="0" borderId="1" xfId="2" applyNumberFormat="1" applyFont="1" applyBorder="1"/>
    <xf numFmtId="166" fontId="5" fillId="0" borderId="1" xfId="2" applyNumberFormat="1" applyFont="1" applyBorder="1"/>
    <xf numFmtId="166" fontId="4" fillId="4" borderId="1" xfId="2" applyNumberFormat="1" applyFont="1" applyFill="1" applyBorder="1"/>
    <xf numFmtId="166" fontId="4" fillId="0" borderId="0" xfId="2" applyNumberFormat="1" applyFont="1" applyBorder="1"/>
    <xf numFmtId="166" fontId="4" fillId="0" borderId="6" xfId="2" applyNumberFormat="1" applyFont="1" applyBorder="1"/>
    <xf numFmtId="9" fontId="5" fillId="0" borderId="3" xfId="3" applyNumberFormat="1" applyFont="1" applyBorder="1"/>
    <xf numFmtId="0" fontId="4" fillId="0" borderId="12" xfId="1" applyFont="1" applyBorder="1"/>
    <xf numFmtId="164" fontId="4" fillId="0" borderId="4" xfId="2" applyNumberFormat="1" applyFont="1" applyBorder="1"/>
    <xf numFmtId="0" fontId="4" fillId="0" borderId="5" xfId="1" applyFont="1" applyBorder="1" applyAlignment="1">
      <alignment horizontal="left"/>
    </xf>
    <xf numFmtId="164" fontId="4" fillId="0" borderId="13" xfId="2" applyNumberFormat="1" applyFont="1" applyFill="1" applyBorder="1"/>
    <xf numFmtId="0" fontId="4" fillId="0" borderId="13" xfId="1" applyFont="1" applyBorder="1"/>
    <xf numFmtId="164" fontId="4" fillId="0" borderId="13" xfId="2" applyNumberFormat="1" applyFont="1" applyBorder="1"/>
    <xf numFmtId="164" fontId="4" fillId="0" borderId="5" xfId="2" applyNumberFormat="1" applyFont="1" applyBorder="1"/>
    <xf numFmtId="164" fontId="4" fillId="0" borderId="12" xfId="2" applyNumberFormat="1" applyFont="1" applyBorder="1"/>
    <xf numFmtId="0" fontId="4" fillId="0" borderId="11" xfId="1" applyFont="1" applyBorder="1" applyAlignment="1">
      <alignment horizontal="left"/>
    </xf>
    <xf numFmtId="164" fontId="4" fillId="0" borderId="14" xfId="2" applyNumberFormat="1" applyFont="1" applyFill="1" applyBorder="1"/>
    <xf numFmtId="0" fontId="4" fillId="0" borderId="14" xfId="1" applyFont="1" applyBorder="1"/>
    <xf numFmtId="164" fontId="4" fillId="0" borderId="14" xfId="2" applyNumberFormat="1" applyFont="1" applyBorder="1"/>
    <xf numFmtId="164" fontId="4" fillId="0" borderId="11" xfId="2" applyNumberFormat="1" applyFont="1" applyBorder="1"/>
    <xf numFmtId="0" fontId="4" fillId="0" borderId="6" xfId="1" applyFont="1" applyBorder="1" applyAlignment="1">
      <alignment horizontal="left"/>
    </xf>
    <xf numFmtId="164" fontId="4" fillId="0" borderId="0" xfId="2" applyNumberFormat="1" applyFont="1" applyFill="1" applyBorder="1"/>
    <xf numFmtId="164" fontId="4" fillId="0" borderId="0" xfId="2" applyNumberFormat="1" applyFont="1" applyBorder="1"/>
    <xf numFmtId="164" fontId="4" fillId="0" borderId="6" xfId="2" applyNumberFormat="1" applyFont="1" applyBorder="1"/>
    <xf numFmtId="0" fontId="4" fillId="0" borderId="13" xfId="1" applyFont="1" applyFill="1" applyBorder="1"/>
    <xf numFmtId="0" fontId="4" fillId="0" borderId="5" xfId="1" applyFont="1" applyBorder="1"/>
    <xf numFmtId="164" fontId="4" fillId="0" borderId="13" xfId="1" applyNumberFormat="1" applyFont="1" applyBorder="1"/>
    <xf numFmtId="0" fontId="4" fillId="0" borderId="6" xfId="1" applyFont="1" applyBorder="1"/>
    <xf numFmtId="0" fontId="4" fillId="0" borderId="4" xfId="1" applyFont="1" applyBorder="1"/>
    <xf numFmtId="167" fontId="5" fillId="0" borderId="0" xfId="1" applyNumberFormat="1" applyFont="1"/>
    <xf numFmtId="166" fontId="5" fillId="4" borderId="1" xfId="2" applyNumberFormat="1" applyFont="1" applyFill="1" applyBorder="1"/>
    <xf numFmtId="166" fontId="5" fillId="0" borderId="9" xfId="2" applyNumberFormat="1" applyFont="1" applyBorder="1"/>
    <xf numFmtId="0" fontId="5" fillId="0" borderId="6" xfId="1" applyFont="1" applyBorder="1" applyAlignment="1">
      <alignment horizontal="left"/>
    </xf>
    <xf numFmtId="164" fontId="5" fillId="0" borderId="0" xfId="2" applyNumberFormat="1" applyFont="1" applyFill="1" applyBorder="1"/>
    <xf numFmtId="0" fontId="6" fillId="0" borderId="6" xfId="1" applyFont="1" applyBorder="1" applyAlignment="1">
      <alignment horizontal="left"/>
    </xf>
    <xf numFmtId="0" fontId="6" fillId="0" borderId="6" xfId="1" applyFont="1" applyFill="1" applyBorder="1" applyAlignment="1">
      <alignment horizontal="left"/>
    </xf>
    <xf numFmtId="0" fontId="6" fillId="0" borderId="5" xfId="1" applyFont="1" applyBorder="1" applyAlignment="1">
      <alignment horizontal="left"/>
    </xf>
    <xf numFmtId="0" fontId="5" fillId="0" borderId="5" xfId="1" applyFont="1" applyBorder="1" applyAlignment="1">
      <alignment horizontal="left"/>
    </xf>
    <xf numFmtId="164" fontId="5" fillId="0" borderId="13" xfId="2" applyNumberFormat="1" applyFont="1" applyFill="1" applyBorder="1"/>
    <xf numFmtId="0" fontId="5" fillId="0" borderId="13" xfId="1" applyFont="1" applyFill="1" applyBorder="1"/>
    <xf numFmtId="0" fontId="4" fillId="0" borderId="15" xfId="1" applyFont="1" applyBorder="1"/>
    <xf numFmtId="0" fontId="5" fillId="0" borderId="16" xfId="1" applyFont="1" applyBorder="1"/>
    <xf numFmtId="164" fontId="5" fillId="0" borderId="17" xfId="1" applyNumberFormat="1" applyFont="1" applyBorder="1"/>
    <xf numFmtId="0" fontId="5" fillId="0" borderId="17" xfId="1" applyFont="1" applyFill="1" applyBorder="1"/>
    <xf numFmtId="0" fontId="4" fillId="0" borderId="17" xfId="1" applyFont="1" applyBorder="1"/>
    <xf numFmtId="0" fontId="4" fillId="0" borderId="16" xfId="1" applyFont="1" applyBorder="1"/>
    <xf numFmtId="0" fontId="5" fillId="0" borderId="5" xfId="1" applyFont="1" applyFill="1" applyBorder="1"/>
    <xf numFmtId="164" fontId="5" fillId="0" borderId="13" xfId="1" applyNumberFormat="1" applyFont="1" applyBorder="1"/>
    <xf numFmtId="0" fontId="5" fillId="0" borderId="0" xfId="1" applyFont="1" applyFill="1" applyBorder="1"/>
    <xf numFmtId="10" fontId="4" fillId="0" borderId="0" xfId="3" applyNumberFormat="1" applyFont="1" applyBorder="1"/>
    <xf numFmtId="49" fontId="4" fillId="4" borderId="0" xfId="1" applyNumberFormat="1" applyFont="1" applyFill="1"/>
    <xf numFmtId="164" fontId="4" fillId="4" borderId="0" xfId="2" applyNumberFormat="1" applyFont="1" applyFill="1"/>
    <xf numFmtId="49" fontId="4" fillId="0" borderId="0" xfId="1" applyNumberFormat="1" applyFont="1"/>
    <xf numFmtId="10" fontId="5" fillId="0" borderId="0" xfId="3" applyNumberFormat="1" applyFont="1"/>
    <xf numFmtId="49" fontId="5" fillId="0" borderId="0" xfId="1" applyNumberFormat="1" applyFont="1"/>
    <xf numFmtId="49" fontId="4" fillId="5" borderId="1" xfId="1" applyNumberFormat="1" applyFont="1" applyFill="1" applyBorder="1"/>
    <xf numFmtId="0" fontId="4" fillId="5" borderId="1" xfId="1" applyFont="1" applyFill="1" applyBorder="1"/>
    <xf numFmtId="0" fontId="5" fillId="0" borderId="0" xfId="1" applyFont="1" applyAlignment="1">
      <alignment vertical="center" wrapText="1"/>
    </xf>
    <xf numFmtId="164" fontId="5" fillId="0" borderId="0" xfId="2" applyNumberFormat="1" applyFont="1" applyAlignment="1">
      <alignment vertical="center" wrapText="1"/>
    </xf>
    <xf numFmtId="0" fontId="4" fillId="0" borderId="4" xfId="1" applyFont="1" applyBorder="1" applyAlignment="1"/>
    <xf numFmtId="0" fontId="4" fillId="0" borderId="5" xfId="1" applyFont="1" applyBorder="1" applyAlignment="1"/>
    <xf numFmtId="3" fontId="4" fillId="0" borderId="1" xfId="1" applyNumberFormat="1" applyFont="1" applyBorder="1"/>
    <xf numFmtId="10" fontId="4" fillId="0" borderId="1" xfId="3" applyNumberFormat="1" applyFont="1" applyBorder="1"/>
    <xf numFmtId="0" fontId="4" fillId="0" borderId="4" xfId="1" applyFont="1" applyFill="1" applyBorder="1" applyAlignment="1"/>
    <xf numFmtId="0" fontId="4" fillId="0" borderId="5" xfId="1" applyFont="1" applyFill="1" applyBorder="1" applyAlignment="1"/>
    <xf numFmtId="9" fontId="4" fillId="0" borderId="1" xfId="1" applyNumberFormat="1" applyFont="1" applyBorder="1"/>
    <xf numFmtId="43" fontId="4" fillId="0" borderId="1" xfId="1" applyNumberFormat="1" applyFont="1" applyBorder="1" applyAlignment="1">
      <alignment vertical="top" wrapText="1"/>
    </xf>
    <xf numFmtId="49" fontId="7" fillId="0" borderId="1" xfId="1" applyNumberFormat="1" applyFont="1" applyBorder="1" applyAlignment="1">
      <alignment vertical="top" wrapText="1"/>
    </xf>
    <xf numFmtId="3" fontId="6" fillId="0" borderId="1" xfId="1" applyNumberFormat="1" applyFont="1" applyBorder="1"/>
    <xf numFmtId="43" fontId="4" fillId="0" borderId="0" xfId="2" applyFont="1" applyBorder="1"/>
    <xf numFmtId="49" fontId="5" fillId="0" borderId="1" xfId="1" applyNumberFormat="1" applyFont="1" applyBorder="1" applyAlignment="1">
      <alignment horizontal="justify" vertical="top" wrapText="1"/>
    </xf>
    <xf numFmtId="1" fontId="5" fillId="0" borderId="1" xfId="1" applyNumberFormat="1" applyFont="1" applyBorder="1" applyAlignment="1">
      <alignment horizontal="center" vertical="center" wrapText="1"/>
    </xf>
    <xf numFmtId="164" fontId="5" fillId="0" borderId="1" xfId="2" applyNumberFormat="1" applyFont="1" applyBorder="1" applyAlignment="1">
      <alignment vertical="center" wrapText="1"/>
    </xf>
    <xf numFmtId="164" fontId="4" fillId="0" borderId="1" xfId="2" applyNumberFormat="1" applyFont="1" applyBorder="1" applyAlignment="1">
      <alignment vertical="center" wrapText="1"/>
    </xf>
    <xf numFmtId="49" fontId="7" fillId="0" borderId="1" xfId="1" applyNumberFormat="1" applyFont="1" applyBorder="1"/>
    <xf numFmtId="164" fontId="7" fillId="0" borderId="1" xfId="2" applyNumberFormat="1" applyFont="1" applyBorder="1" applyAlignment="1">
      <alignment vertical="center" wrapText="1"/>
    </xf>
    <xf numFmtId="0" fontId="6" fillId="0" borderId="0" xfId="1" applyFont="1" applyBorder="1"/>
    <xf numFmtId="164" fontId="6" fillId="0" borderId="0" xfId="2" applyNumberFormat="1" applyFont="1" applyBorder="1"/>
    <xf numFmtId="164" fontId="5" fillId="3" borderId="1" xfId="2" applyNumberFormat="1" applyFont="1" applyFill="1" applyBorder="1"/>
    <xf numFmtId="165" fontId="4" fillId="3" borderId="1" xfId="3" applyNumberFormat="1" applyFont="1" applyFill="1" applyBorder="1"/>
    <xf numFmtId="0" fontId="11" fillId="0" borderId="0" xfId="0" applyFont="1"/>
    <xf numFmtId="0" fontId="12" fillId="0" borderId="0" xfId="0" applyFont="1"/>
    <xf numFmtId="3" fontId="14" fillId="0" borderId="1" xfId="0" applyNumberFormat="1" applyFont="1" applyBorder="1" applyAlignment="1">
      <alignment horizontal="right" vertical="center"/>
    </xf>
    <xf numFmtId="0" fontId="16" fillId="0" borderId="0" xfId="0" applyFont="1"/>
    <xf numFmtId="0" fontId="4" fillId="0" borderId="17" xfId="0" applyFont="1" applyBorder="1" applyAlignment="1">
      <alignment horizontal="left"/>
    </xf>
    <xf numFmtId="0" fontId="5" fillId="0" borderId="4" xfId="0" applyFont="1" applyBorder="1" applyAlignment="1">
      <alignment horizontal="left"/>
    </xf>
    <xf numFmtId="164" fontId="4" fillId="0" borderId="1" xfId="0" applyNumberFormat="1" applyFont="1" applyBorder="1" applyAlignment="1">
      <alignment horizontal="right"/>
    </xf>
    <xf numFmtId="164" fontId="4" fillId="0" borderId="1" xfId="4" applyNumberFormat="1" applyFont="1" applyBorder="1" applyAlignment="1">
      <alignment horizontal="right"/>
    </xf>
    <xf numFmtId="41" fontId="5" fillId="0" borderId="1" xfId="0" applyNumberFormat="1" applyFont="1" applyBorder="1" applyAlignment="1">
      <alignment horizontal="right"/>
    </xf>
    <xf numFmtId="164" fontId="5" fillId="0" borderId="1" xfId="0" applyNumberFormat="1" applyFont="1" applyBorder="1" applyAlignment="1">
      <alignment horizontal="right"/>
    </xf>
    <xf numFmtId="164" fontId="5" fillId="0" borderId="1" xfId="4" applyNumberFormat="1" applyFont="1" applyBorder="1" applyAlignment="1">
      <alignment horizontal="right"/>
    </xf>
    <xf numFmtId="0" fontId="4" fillId="0" borderId="4" xfId="0" applyFont="1" applyBorder="1" applyAlignment="1">
      <alignment horizontal="left" wrapText="1"/>
    </xf>
    <xf numFmtId="164" fontId="4" fillId="0" borderId="1" xfId="4" applyNumberFormat="1" applyFont="1" applyBorder="1" applyAlignment="1">
      <alignment horizontal="right" vertical="center"/>
    </xf>
    <xf numFmtId="41" fontId="4" fillId="0" borderId="1" xfId="0" applyNumberFormat="1" applyFont="1" applyBorder="1" applyAlignment="1">
      <alignment horizontal="right" vertical="center"/>
    </xf>
    <xf numFmtId="0" fontId="4" fillId="0" borderId="4" xfId="0" applyFont="1" applyBorder="1" applyAlignment="1">
      <alignment horizontal="left"/>
    </xf>
    <xf numFmtId="41" fontId="4" fillId="0" borderId="1" xfId="0" applyNumberFormat="1" applyFont="1" applyBorder="1" applyAlignment="1">
      <alignment horizontal="right"/>
    </xf>
    <xf numFmtId="41" fontId="4" fillId="0" borderId="1" xfId="4" applyNumberFormat="1" applyFont="1" applyBorder="1" applyAlignment="1">
      <alignment horizontal="right"/>
    </xf>
    <xf numFmtId="0" fontId="4" fillId="0" borderId="4" xfId="0" applyFont="1" applyBorder="1" applyAlignment="1">
      <alignment horizontal="left" vertical="center"/>
    </xf>
    <xf numFmtId="164" fontId="4" fillId="0" borderId="1" xfId="0" applyNumberFormat="1" applyFont="1" applyBorder="1" applyAlignment="1">
      <alignment horizontal="right" vertical="center"/>
    </xf>
    <xf numFmtId="165" fontId="5" fillId="0" borderId="1" xfId="0" applyNumberFormat="1" applyFont="1" applyBorder="1" applyAlignment="1">
      <alignment horizontal="right"/>
    </xf>
    <xf numFmtId="165" fontId="4" fillId="0" borderId="1" xfId="0" quotePrefix="1" applyNumberFormat="1" applyFont="1" applyBorder="1" applyAlignment="1">
      <alignment horizontal="center"/>
    </xf>
    <xf numFmtId="164" fontId="4" fillId="0" borderId="1" xfId="4" applyNumberFormat="1" applyFont="1" applyBorder="1" applyAlignment="1">
      <alignment horizontal="center"/>
    </xf>
    <xf numFmtId="0" fontId="4" fillId="0" borderId="1" xfId="0" applyFont="1" applyBorder="1" applyAlignment="1">
      <alignment horizontal="right"/>
    </xf>
    <xf numFmtId="41" fontId="5" fillId="0" borderId="1" xfId="4" applyNumberFormat="1" applyFont="1" applyBorder="1" applyAlignment="1">
      <alignment horizontal="right"/>
    </xf>
    <xf numFmtId="0" fontId="4" fillId="0" borderId="1" xfId="0" applyFont="1" applyBorder="1" applyAlignment="1">
      <alignment horizontal="center" vertical="center" wrapText="1"/>
    </xf>
    <xf numFmtId="0" fontId="4" fillId="0" borderId="4" xfId="0" applyFont="1" applyBorder="1" applyAlignment="1">
      <alignment horizontal="left" vertical="center" wrapText="1"/>
    </xf>
    <xf numFmtId="37" fontId="4" fillId="0" borderId="1" xfId="0" applyNumberFormat="1" applyFont="1" applyBorder="1" applyAlignment="1">
      <alignment horizontal="right" vertical="center"/>
    </xf>
    <xf numFmtId="164" fontId="4" fillId="0" borderId="1" xfId="4" applyNumberFormat="1" applyFont="1" applyBorder="1" applyAlignment="1">
      <alignment horizontal="center" vertical="center" wrapText="1"/>
    </xf>
    <xf numFmtId="41" fontId="4" fillId="0" borderId="1" xfId="0" applyNumberFormat="1" applyFont="1" applyBorder="1" applyAlignment="1">
      <alignment horizontal="center" vertical="center" wrapText="1"/>
    </xf>
    <xf numFmtId="0" fontId="5" fillId="0" borderId="1" xfId="0" applyFont="1" applyBorder="1" applyAlignment="1">
      <alignment horizontal="right"/>
    </xf>
    <xf numFmtId="0" fontId="14" fillId="0" borderId="4" xfId="0" applyFont="1" applyBorder="1"/>
    <xf numFmtId="0" fontId="14" fillId="0" borderId="13" xfId="0" applyFont="1" applyBorder="1"/>
    <xf numFmtId="0" fontId="14" fillId="0" borderId="5" xfId="0" applyFont="1" applyBorder="1"/>
    <xf numFmtId="0" fontId="13" fillId="0" borderId="1" xfId="0" applyFont="1" applyBorder="1" applyAlignment="1">
      <alignment horizontal="center" vertical="center"/>
    </xf>
    <xf numFmtId="3" fontId="13" fillId="0" borderId="1" xfId="0" applyNumberFormat="1" applyFont="1" applyBorder="1" applyAlignment="1">
      <alignment horizontal="right" vertical="center"/>
    </xf>
    <xf numFmtId="0" fontId="14" fillId="0" borderId="1" xfId="0" applyFont="1" applyBorder="1" applyAlignment="1">
      <alignment horizontal="center" vertical="center" wrapText="1"/>
    </xf>
    <xf numFmtId="0" fontId="14" fillId="0" borderId="1" xfId="0" applyFont="1" applyBorder="1" applyAlignment="1">
      <alignment vertical="center"/>
    </xf>
    <xf numFmtId="0" fontId="14" fillId="0" borderId="1" xfId="0" applyFont="1" applyBorder="1" applyAlignment="1">
      <alignment horizontal="center" vertical="center"/>
    </xf>
    <xf numFmtId="3" fontId="14" fillId="0" borderId="1" xfId="0" applyNumberFormat="1" applyFont="1" applyBorder="1" applyAlignment="1">
      <alignment horizontal="center" vertical="center"/>
    </xf>
    <xf numFmtId="3" fontId="13" fillId="0" borderId="1" xfId="0" applyNumberFormat="1" applyFont="1" applyBorder="1" applyAlignment="1">
      <alignment horizontal="center" vertical="center"/>
    </xf>
    <xf numFmtId="10" fontId="14" fillId="0" borderId="1" xfId="0" applyNumberFormat="1" applyFont="1" applyBorder="1" applyAlignment="1">
      <alignment horizontal="center" vertical="center"/>
    </xf>
    <xf numFmtId="0" fontId="14" fillId="0" borderId="1" xfId="0" applyNumberFormat="1" applyFont="1" applyBorder="1" applyAlignment="1">
      <alignment horizontal="left" vertical="center" wrapText="1"/>
    </xf>
    <xf numFmtId="0" fontId="4" fillId="0" borderId="0" xfId="0" quotePrefix="1" applyFont="1"/>
    <xf numFmtId="19" fontId="4" fillId="0" borderId="0" xfId="1" applyNumberFormat="1" applyFont="1"/>
    <xf numFmtId="19" fontId="4" fillId="0" borderId="0" xfId="1" applyNumberFormat="1" applyFont="1" applyBorder="1" applyAlignment="1"/>
    <xf numFmtId="164" fontId="17" fillId="0" borderId="0" xfId="2" applyNumberFormat="1" applyFont="1"/>
    <xf numFmtId="0" fontId="17" fillId="0" borderId="0" xfId="1" applyFont="1"/>
    <xf numFmtId="0" fontId="17" fillId="0" borderId="0" xfId="0" applyFont="1"/>
    <xf numFmtId="0" fontId="17" fillId="0" borderId="0" xfId="1" applyFont="1" applyBorder="1"/>
    <xf numFmtId="0" fontId="14" fillId="0" borderId="0" xfId="0" applyFont="1"/>
    <xf numFmtId="0" fontId="14" fillId="0" borderId="0" xfId="0" applyFont="1" applyFill="1" applyBorder="1"/>
    <xf numFmtId="164" fontId="14" fillId="2" borderId="0" xfId="4" applyNumberFormat="1" applyFont="1" applyFill="1" applyBorder="1"/>
    <xf numFmtId="0" fontId="14" fillId="0" borderId="0" xfId="0" applyFont="1" applyBorder="1"/>
    <xf numFmtId="0" fontId="14" fillId="2" borderId="0" xfId="0" applyFont="1" applyFill="1" applyBorder="1"/>
    <xf numFmtId="0" fontId="14" fillId="0" borderId="14" xfId="0" applyFont="1" applyBorder="1"/>
    <xf numFmtId="41" fontId="14" fillId="0" borderId="0" xfId="0" applyNumberFormat="1" applyFont="1"/>
    <xf numFmtId="164" fontId="14" fillId="0" borderId="0" xfId="4" applyNumberFormat="1" applyFont="1"/>
    <xf numFmtId="0" fontId="14" fillId="0" borderId="1" xfId="0" applyFont="1" applyFill="1" applyBorder="1"/>
    <xf numFmtId="164" fontId="14" fillId="0" borderId="1" xfId="4" applyNumberFormat="1" applyFont="1" applyFill="1" applyBorder="1"/>
    <xf numFmtId="0" fontId="14" fillId="0" borderId="1" xfId="0" applyFont="1" applyFill="1" applyBorder="1" applyAlignment="1">
      <alignment vertical="center" wrapText="1"/>
    </xf>
    <xf numFmtId="164" fontId="14" fillId="0" borderId="1" xfId="0" applyNumberFormat="1" applyFont="1" applyFill="1" applyBorder="1"/>
    <xf numFmtId="165" fontId="14" fillId="0" borderId="1" xfId="5" applyNumberFormat="1" applyFont="1" applyFill="1" applyBorder="1"/>
    <xf numFmtId="3" fontId="14" fillId="0" borderId="0" xfId="0" applyNumberFormat="1" applyFont="1"/>
    <xf numFmtId="169" fontId="13" fillId="0" borderId="1" xfId="7" applyNumberFormat="1" applyFont="1" applyBorder="1" applyAlignment="1">
      <alignment horizontal="center" vertical="center" wrapText="1"/>
    </xf>
    <xf numFmtId="0" fontId="14" fillId="0" borderId="1" xfId="0" applyFont="1" applyBorder="1"/>
    <xf numFmtId="169" fontId="14" fillId="0" borderId="1" xfId="7" applyNumberFormat="1" applyFont="1" applyBorder="1"/>
    <xf numFmtId="0" fontId="4" fillId="0" borderId="1" xfId="0" applyFont="1" applyBorder="1" applyAlignment="1">
      <alignment vertical="top" wrapText="1"/>
    </xf>
    <xf numFmtId="164" fontId="4" fillId="0" borderId="1" xfId="7" applyNumberFormat="1" applyFont="1" applyBorder="1" applyAlignment="1">
      <alignment vertical="top" wrapText="1"/>
    </xf>
    <xf numFmtId="164" fontId="4" fillId="0" borderId="1" xfId="7" applyNumberFormat="1" applyFont="1" applyBorder="1" applyAlignment="1">
      <alignment vertical="center" wrapText="1"/>
    </xf>
    <xf numFmtId="0" fontId="4" fillId="0" borderId="1" xfId="0" applyFont="1" applyBorder="1" applyAlignment="1">
      <alignment vertical="center" wrapText="1"/>
    </xf>
    <xf numFmtId="164" fontId="4" fillId="0" borderId="1" xfId="7" applyNumberFormat="1" applyFont="1" applyBorder="1"/>
    <xf numFmtId="0" fontId="5" fillId="0" borderId="1" xfId="0" applyFont="1" applyBorder="1" applyAlignment="1">
      <alignment vertical="top" wrapText="1"/>
    </xf>
    <xf numFmtId="169" fontId="5" fillId="0" borderId="1" xfId="7" applyNumberFormat="1" applyFont="1" applyBorder="1" applyAlignment="1">
      <alignment vertical="top" wrapText="1"/>
    </xf>
    <xf numFmtId="169" fontId="13" fillId="0" borderId="1" xfId="7" applyNumberFormat="1" applyFont="1" applyBorder="1"/>
    <xf numFmtId="164" fontId="5" fillId="0" borderId="1" xfId="0" applyNumberFormat="1" applyFont="1" applyBorder="1" applyAlignment="1">
      <alignment vertical="top" wrapText="1"/>
    </xf>
    <xf numFmtId="164" fontId="5" fillId="0" borderId="1" xfId="7" applyNumberFormat="1" applyFont="1" applyBorder="1" applyAlignment="1">
      <alignment horizontal="right" vertical="top" wrapText="1"/>
    </xf>
    <xf numFmtId="0" fontId="4" fillId="0" borderId="1" xfId="0" applyFont="1" applyBorder="1" applyAlignment="1">
      <alignment horizontal="center" vertical="top" wrapText="1"/>
    </xf>
    <xf numFmtId="3" fontId="4" fillId="0" borderId="1" xfId="0" applyNumberFormat="1" applyFont="1" applyBorder="1" applyAlignment="1">
      <alignment horizontal="right" vertical="top" wrapText="1"/>
    </xf>
    <xf numFmtId="164" fontId="4" fillId="0" borderId="1" xfId="7" applyNumberFormat="1" applyFont="1" applyBorder="1" applyAlignment="1">
      <alignment horizontal="right"/>
    </xf>
    <xf numFmtId="3" fontId="5" fillId="0" borderId="1" xfId="0" applyNumberFormat="1" applyFont="1" applyBorder="1" applyAlignment="1">
      <alignment vertical="top" wrapText="1"/>
    </xf>
    <xf numFmtId="164" fontId="4" fillId="0" borderId="1" xfId="7" applyNumberFormat="1" applyFont="1" applyBorder="1" applyAlignment="1">
      <alignment horizontal="right" vertical="top" wrapText="1"/>
    </xf>
    <xf numFmtId="3" fontId="5" fillId="0" borderId="1" xfId="0" applyNumberFormat="1" applyFont="1" applyBorder="1" applyAlignment="1">
      <alignment horizontal="right" vertical="top" wrapText="1"/>
    </xf>
    <xf numFmtId="164" fontId="13" fillId="0" borderId="1" xfId="4" applyNumberFormat="1" applyFont="1" applyBorder="1" applyAlignment="1">
      <alignment horizontal="center" vertical="center" wrapText="1"/>
    </xf>
    <xf numFmtId="164" fontId="13" fillId="0" borderId="1" xfId="4" applyNumberFormat="1" applyFont="1" applyBorder="1" applyAlignment="1">
      <alignment vertical="center"/>
    </xf>
    <xf numFmtId="164" fontId="14" fillId="0" borderId="1" xfId="4" applyNumberFormat="1" applyFont="1" applyBorder="1" applyAlignment="1">
      <alignment vertical="center"/>
    </xf>
    <xf numFmtId="10" fontId="18" fillId="0" borderId="1" xfId="5" applyNumberFormat="1" applyFont="1" applyBorder="1" applyAlignment="1">
      <alignment vertical="center"/>
    </xf>
    <xf numFmtId="0" fontId="13" fillId="0" borderId="1" xfId="0" applyFont="1" applyBorder="1"/>
    <xf numFmtId="0" fontId="13" fillId="0" borderId="1" xfId="0" applyFont="1" applyBorder="1" applyAlignment="1">
      <alignment horizontal="center" wrapText="1"/>
    </xf>
    <xf numFmtId="164" fontId="13" fillId="0" borderId="1" xfId="4" applyNumberFormat="1" applyFont="1" applyBorder="1" applyAlignment="1">
      <alignment horizontal="center" wrapText="1"/>
    </xf>
    <xf numFmtId="164" fontId="13" fillId="0" borderId="1" xfId="4" applyNumberFormat="1" applyFont="1" applyBorder="1"/>
    <xf numFmtId="0" fontId="13" fillId="0" borderId="0" xfId="0" applyFont="1"/>
    <xf numFmtId="164" fontId="13" fillId="0" borderId="0" xfId="4" applyNumberFormat="1" applyFont="1"/>
    <xf numFmtId="0" fontId="14" fillId="0" borderId="1" xfId="0" applyFont="1" applyBorder="1" applyAlignment="1">
      <alignment wrapText="1"/>
    </xf>
    <xf numFmtId="164" fontId="14" fillId="0" borderId="1" xfId="4" applyNumberFormat="1" applyFont="1" applyBorder="1" applyAlignment="1">
      <alignment wrapText="1"/>
    </xf>
    <xf numFmtId="164" fontId="14" fillId="0" borderId="1" xfId="4" applyNumberFormat="1" applyFont="1" applyBorder="1"/>
    <xf numFmtId="0" fontId="14" fillId="0" borderId="1" xfId="0" applyFont="1" applyFill="1" applyBorder="1" applyAlignment="1">
      <alignment wrapText="1"/>
    </xf>
    <xf numFmtId="164" fontId="14" fillId="0" borderId="1" xfId="4" applyNumberFormat="1" applyFont="1" applyFill="1" applyBorder="1" applyAlignment="1">
      <alignment wrapText="1"/>
    </xf>
    <xf numFmtId="0" fontId="13" fillId="0" borderId="1" xfId="0" applyFont="1" applyBorder="1" applyAlignment="1">
      <alignment wrapText="1"/>
    </xf>
    <xf numFmtId="164" fontId="13" fillId="0" borderId="1" xfId="4" applyNumberFormat="1" applyFont="1" applyBorder="1" applyAlignment="1">
      <alignment wrapText="1"/>
    </xf>
    <xf numFmtId="168" fontId="13" fillId="0" borderId="0" xfId="0" applyNumberFormat="1" applyFont="1"/>
    <xf numFmtId="0" fontId="14" fillId="0" borderId="0" xfId="0" applyFont="1" applyAlignment="1">
      <alignment wrapText="1"/>
    </xf>
    <xf numFmtId="164" fontId="14" fillId="0" borderId="0" xfId="4" applyNumberFormat="1" applyFont="1" applyAlignment="1">
      <alignment wrapText="1"/>
    </xf>
    <xf numFmtId="164" fontId="14" fillId="0" borderId="0" xfId="4" applyNumberFormat="1" applyFont="1" applyAlignment="1"/>
    <xf numFmtId="0" fontId="5" fillId="0" borderId="1" xfId="6" applyFont="1" applyBorder="1" applyAlignment="1">
      <alignment vertical="top" wrapText="1"/>
    </xf>
    <xf numFmtId="164" fontId="5" fillId="0" borderId="1" xfId="8" applyNumberFormat="1" applyFont="1" applyBorder="1" applyAlignment="1">
      <alignment vertical="top" wrapText="1"/>
    </xf>
    <xf numFmtId="0" fontId="5" fillId="0" borderId="1" xfId="6" applyFont="1" applyBorder="1" applyAlignment="1">
      <alignment horizontal="center" vertical="top" wrapText="1"/>
    </xf>
    <xf numFmtId="164" fontId="5" fillId="0" borderId="1" xfId="6" applyNumberFormat="1" applyFont="1" applyBorder="1" applyAlignment="1">
      <alignment vertical="top" wrapText="1"/>
    </xf>
    <xf numFmtId="0" fontId="4" fillId="0" borderId="1" xfId="6" applyFont="1" applyBorder="1" applyAlignment="1">
      <alignment horizontal="center" vertical="top" wrapText="1"/>
    </xf>
    <xf numFmtId="0" fontId="4" fillId="0" borderId="1" xfId="6" applyFont="1" applyBorder="1" applyAlignment="1">
      <alignment vertical="top" wrapText="1"/>
    </xf>
    <xf numFmtId="164" fontId="4" fillId="0" borderId="1" xfId="8" applyNumberFormat="1" applyFont="1" applyBorder="1" applyAlignment="1">
      <alignment vertical="top" wrapText="1"/>
    </xf>
    <xf numFmtId="164" fontId="4" fillId="0" borderId="1" xfId="6" applyNumberFormat="1" applyFont="1" applyBorder="1" applyAlignment="1">
      <alignment vertical="top" wrapText="1"/>
    </xf>
    <xf numFmtId="164" fontId="4" fillId="0" borderId="1" xfId="6" applyNumberFormat="1" applyFont="1" applyBorder="1" applyAlignment="1">
      <alignment vertical="center" wrapText="1"/>
    </xf>
    <xf numFmtId="0" fontId="4" fillId="0" borderId="1" xfId="6" applyFont="1" applyBorder="1" applyAlignment="1">
      <alignment horizontal="center" vertical="center" wrapText="1"/>
    </xf>
    <xf numFmtId="0" fontId="4" fillId="0" borderId="1" xfId="6" applyFont="1" applyBorder="1" applyAlignment="1">
      <alignment vertical="center" wrapText="1"/>
    </xf>
    <xf numFmtId="164" fontId="4" fillId="0" borderId="1" xfId="8" applyNumberFormat="1" applyFont="1" applyBorder="1" applyAlignment="1">
      <alignment vertical="center" wrapText="1"/>
    </xf>
    <xf numFmtId="0" fontId="6" fillId="0" borderId="1" xfId="6" applyFont="1" applyBorder="1" applyAlignment="1">
      <alignment vertical="top" wrapText="1"/>
    </xf>
    <xf numFmtId="164" fontId="6" fillId="0" borderId="1" xfId="8" applyNumberFormat="1" applyFont="1" applyBorder="1" applyAlignment="1">
      <alignment vertical="top" wrapText="1"/>
    </xf>
    <xf numFmtId="10" fontId="6" fillId="0" borderId="1" xfId="9" applyNumberFormat="1" applyFont="1" applyBorder="1" applyAlignment="1">
      <alignment vertical="top" wrapText="1"/>
    </xf>
    <xf numFmtId="49" fontId="5" fillId="0" borderId="1" xfId="6" applyNumberFormat="1" applyFont="1" applyBorder="1" applyAlignment="1">
      <alignment horizontal="center" vertical="top" wrapText="1"/>
    </xf>
    <xf numFmtId="0" fontId="4" fillId="0" borderId="0" xfId="6" applyFont="1"/>
    <xf numFmtId="49" fontId="4" fillId="0" borderId="1" xfId="6" applyNumberFormat="1" applyFont="1" applyBorder="1" applyAlignment="1">
      <alignment horizontal="justify" vertical="top" wrapText="1"/>
    </xf>
    <xf numFmtId="49" fontId="4" fillId="0" borderId="0" xfId="6" applyNumberFormat="1" applyFont="1" applyBorder="1" applyAlignment="1">
      <alignment horizontal="justify" vertical="top" wrapText="1"/>
    </xf>
    <xf numFmtId="0" fontId="4" fillId="0" borderId="0" xfId="6" applyFont="1" applyBorder="1" applyAlignment="1">
      <alignment horizontal="justify" vertical="top" wrapText="1"/>
    </xf>
    <xf numFmtId="164" fontId="4" fillId="0" borderId="0" xfId="6" applyNumberFormat="1" applyFont="1" applyBorder="1" applyAlignment="1">
      <alignment horizontal="right" vertical="top" wrapText="1"/>
    </xf>
    <xf numFmtId="49" fontId="5" fillId="0" borderId="1" xfId="6" applyNumberFormat="1" applyFont="1" applyBorder="1" applyAlignment="1">
      <alignment horizontal="center"/>
    </xf>
    <xf numFmtId="49" fontId="5" fillId="0" borderId="1" xfId="6" applyNumberFormat="1" applyFont="1" applyBorder="1"/>
    <xf numFmtId="164" fontId="5" fillId="0" borderId="1" xfId="6" applyNumberFormat="1" applyFont="1" applyBorder="1" applyAlignment="1">
      <alignment horizontal="right"/>
    </xf>
    <xf numFmtId="49" fontId="4" fillId="0" borderId="1" xfId="6" applyNumberFormat="1" applyFont="1" applyBorder="1" applyAlignment="1">
      <alignment wrapText="1"/>
    </xf>
    <xf numFmtId="164" fontId="5" fillId="0" borderId="1" xfId="6" applyNumberFormat="1" applyFont="1" applyBorder="1" applyAlignment="1">
      <alignment horizontal="right" wrapText="1"/>
    </xf>
    <xf numFmtId="49" fontId="4" fillId="0" borderId="1" xfId="6" applyNumberFormat="1" applyFont="1" applyBorder="1"/>
    <xf numFmtId="0" fontId="4" fillId="0" borderId="1" xfId="6" applyFont="1" applyBorder="1" applyAlignment="1">
      <alignment horizontal="right"/>
    </xf>
    <xf numFmtId="49" fontId="6" fillId="0" borderId="1" xfId="6" applyNumberFormat="1" applyFont="1" applyBorder="1"/>
    <xf numFmtId="164" fontId="6" fillId="0" borderId="1" xfId="6" applyNumberFormat="1" applyFont="1" applyBorder="1"/>
    <xf numFmtId="0" fontId="5" fillId="0" borderId="1" xfId="6" applyFont="1" applyBorder="1" applyAlignment="1">
      <alignment horizontal="center" vertical="center" wrapText="1"/>
    </xf>
    <xf numFmtId="164" fontId="4" fillId="0" borderId="0" xfId="6" applyNumberFormat="1" applyFont="1"/>
    <xf numFmtId="10" fontId="4" fillId="0" borderId="0" xfId="6" applyNumberFormat="1" applyFont="1"/>
    <xf numFmtId="0" fontId="19" fillId="0" borderId="1" xfId="6" applyFont="1" applyBorder="1"/>
    <xf numFmtId="0" fontId="5" fillId="0" borderId="0" xfId="6" applyFont="1"/>
    <xf numFmtId="0" fontId="5" fillId="0" borderId="1" xfId="6" applyFont="1" applyBorder="1"/>
    <xf numFmtId="0" fontId="5" fillId="0" borderId="1" xfId="6" applyFont="1" applyFill="1" applyBorder="1" applyAlignment="1">
      <alignment vertical="top" wrapText="1"/>
    </xf>
    <xf numFmtId="0" fontId="5" fillId="0" borderId="1" xfId="6" applyFont="1" applyBorder="1" applyAlignment="1">
      <alignment horizontal="center" wrapText="1"/>
    </xf>
    <xf numFmtId="3" fontId="5" fillId="0" borderId="1" xfId="6" applyNumberFormat="1" applyFont="1" applyBorder="1" applyAlignment="1">
      <alignment horizontal="right" vertical="top" wrapText="1"/>
    </xf>
    <xf numFmtId="3" fontId="4" fillId="0" borderId="1" xfId="6" applyNumberFormat="1" applyFont="1" applyBorder="1" applyAlignment="1">
      <alignment horizontal="right" vertical="top" wrapText="1"/>
    </xf>
    <xf numFmtId="3" fontId="4" fillId="0" borderId="0" xfId="6" applyNumberFormat="1" applyFont="1"/>
    <xf numFmtId="165" fontId="4" fillId="0" borderId="0" xfId="6" applyNumberFormat="1" applyFont="1"/>
    <xf numFmtId="164" fontId="5" fillId="0" borderId="1" xfId="6" applyNumberFormat="1" applyFont="1" applyBorder="1"/>
    <xf numFmtId="164" fontId="4" fillId="0" borderId="1" xfId="6" applyNumberFormat="1" applyFont="1" applyBorder="1"/>
    <xf numFmtId="0" fontId="6" fillId="0" borderId="4" xfId="6" applyFont="1" applyBorder="1" applyAlignment="1">
      <alignment vertical="top" wrapText="1"/>
    </xf>
    <xf numFmtId="164" fontId="6" fillId="0" borderId="4" xfId="2" applyNumberFormat="1" applyFont="1" applyBorder="1" applyAlignment="1">
      <alignment vertical="top" wrapText="1"/>
    </xf>
    <xf numFmtId="0" fontId="4" fillId="0" borderId="1" xfId="6" applyFont="1" applyBorder="1"/>
    <xf numFmtId="0" fontId="5" fillId="0" borderId="3" xfId="6" applyFont="1" applyBorder="1" applyAlignment="1">
      <alignment horizontal="center" vertical="top" wrapText="1"/>
    </xf>
    <xf numFmtId="0" fontId="5" fillId="0" borderId="3" xfId="6" applyFont="1" applyBorder="1" applyAlignment="1">
      <alignment vertical="top" wrapText="1"/>
    </xf>
    <xf numFmtId="3" fontId="5" fillId="0" borderId="3" xfId="6" applyNumberFormat="1" applyFont="1" applyBorder="1" applyAlignment="1">
      <alignment horizontal="right" vertical="top" wrapText="1"/>
    </xf>
    <xf numFmtId="0" fontId="6" fillId="0" borderId="13" xfId="6" applyFont="1" applyBorder="1" applyAlignment="1">
      <alignment vertical="top" wrapText="1"/>
    </xf>
    <xf numFmtId="0" fontId="4" fillId="0" borderId="3" xfId="6" applyFont="1" applyBorder="1" applyAlignment="1">
      <alignment vertical="top" wrapText="1"/>
    </xf>
    <xf numFmtId="3" fontId="4" fillId="0" borderId="3" xfId="6" applyNumberFormat="1" applyFont="1" applyBorder="1" applyAlignment="1">
      <alignment horizontal="right" vertical="top" wrapText="1"/>
    </xf>
    <xf numFmtId="164" fontId="4" fillId="0" borderId="3" xfId="2" applyNumberFormat="1" applyFont="1" applyBorder="1" applyAlignment="1">
      <alignment vertical="top" wrapText="1"/>
    </xf>
    <xf numFmtId="0" fontId="4" fillId="0" borderId="3" xfId="6" applyFont="1" applyBorder="1" applyAlignment="1">
      <alignment horizontal="center" vertical="top" wrapText="1"/>
    </xf>
    <xf numFmtId="164" fontId="5" fillId="0" borderId="3" xfId="2" applyNumberFormat="1" applyFont="1" applyBorder="1" applyAlignment="1">
      <alignment vertical="top" wrapText="1"/>
    </xf>
    <xf numFmtId="0" fontId="7" fillId="0" borderId="1" xfId="6" applyFont="1" applyBorder="1" applyAlignment="1">
      <alignment horizontal="center" vertical="top" wrapText="1"/>
    </xf>
    <xf numFmtId="164" fontId="6" fillId="0" borderId="13" xfId="2" applyNumberFormat="1" applyFont="1" applyBorder="1" applyAlignment="1">
      <alignment vertical="top" wrapText="1"/>
    </xf>
    <xf numFmtId="0" fontId="5" fillId="0" borderId="1" xfId="6" applyFont="1" applyBorder="1" applyAlignment="1">
      <alignment vertical="center" wrapText="1"/>
    </xf>
    <xf numFmtId="0" fontId="4" fillId="0" borderId="1" xfId="6" applyFont="1" applyBorder="1" applyAlignment="1">
      <alignment horizontal="right" vertical="center" wrapText="1"/>
    </xf>
    <xf numFmtId="164" fontId="4" fillId="0" borderId="1" xfId="2" applyNumberFormat="1" applyFont="1" applyBorder="1" applyAlignment="1">
      <alignment horizontal="right" vertical="center" wrapText="1"/>
    </xf>
    <xf numFmtId="164" fontId="4" fillId="0" borderId="1" xfId="6" applyNumberFormat="1" applyFont="1" applyBorder="1" applyAlignment="1">
      <alignment horizontal="right" vertical="center" wrapText="1"/>
    </xf>
    <xf numFmtId="3" fontId="4" fillId="0" borderId="1" xfId="6" applyNumberFormat="1" applyFont="1" applyBorder="1" applyAlignment="1">
      <alignment horizontal="right" vertical="center" wrapText="1"/>
    </xf>
    <xf numFmtId="0" fontId="4" fillId="0" borderId="1" xfId="6" applyFont="1" applyBorder="1" applyAlignment="1">
      <alignment wrapText="1"/>
    </xf>
    <xf numFmtId="0" fontId="4" fillId="0" borderId="1" xfId="6" applyFont="1" applyBorder="1" applyAlignment="1">
      <alignment horizontal="left" wrapText="1"/>
    </xf>
    <xf numFmtId="3" fontId="4" fillId="0" borderId="1" xfId="6" applyNumberFormat="1" applyFont="1" applyBorder="1" applyAlignment="1">
      <alignment horizontal="right" wrapText="1"/>
    </xf>
    <xf numFmtId="164" fontId="4" fillId="0" borderId="1" xfId="2" applyNumberFormat="1" applyFont="1" applyBorder="1" applyAlignment="1">
      <alignment horizontal="right" wrapText="1"/>
    </xf>
    <xf numFmtId="0" fontId="4" fillId="0" borderId="1" xfId="6" applyFont="1" applyBorder="1" applyAlignment="1">
      <alignment horizontal="right" wrapText="1"/>
    </xf>
    <xf numFmtId="0" fontId="5" fillId="0" borderId="1" xfId="6" applyFont="1" applyBorder="1" applyAlignment="1">
      <alignment wrapText="1"/>
    </xf>
    <xf numFmtId="0" fontId="5" fillId="0" borderId="1" xfId="6" applyFont="1" applyBorder="1" applyAlignment="1">
      <alignment horizontal="right" wrapText="1"/>
    </xf>
    <xf numFmtId="3" fontId="5" fillId="0" borderId="1" xfId="6" applyNumberFormat="1" applyFont="1" applyBorder="1" applyAlignment="1">
      <alignment horizontal="right" wrapText="1"/>
    </xf>
    <xf numFmtId="164" fontId="5" fillId="0" borderId="0" xfId="6" applyNumberFormat="1" applyFont="1" applyAlignment="1">
      <alignment wrapText="1"/>
    </xf>
    <xf numFmtId="0" fontId="5" fillId="0" borderId="0" xfId="6" applyFont="1" applyAlignment="1">
      <alignment wrapText="1"/>
    </xf>
    <xf numFmtId="0" fontId="17" fillId="0" borderId="0" xfId="6" applyFont="1"/>
    <xf numFmtId="164" fontId="14" fillId="0" borderId="0" xfId="2" applyNumberFormat="1" applyFont="1"/>
    <xf numFmtId="0" fontId="4" fillId="0" borderId="1" xfId="6" applyFont="1" applyBorder="1" applyAlignment="1">
      <alignment vertical="center"/>
    </xf>
    <xf numFmtId="14" fontId="4" fillId="0" borderId="1" xfId="6" applyNumberFormat="1" applyFont="1" applyBorder="1"/>
    <xf numFmtId="164" fontId="14" fillId="0" borderId="1" xfId="2" applyNumberFormat="1" applyFont="1" applyBorder="1"/>
    <xf numFmtId="164" fontId="4" fillId="0" borderId="0" xfId="8" applyNumberFormat="1" applyFont="1"/>
    <xf numFmtId="164" fontId="5" fillId="0" borderId="0" xfId="8" applyNumberFormat="1" applyFont="1"/>
    <xf numFmtId="49" fontId="4" fillId="0" borderId="0" xfId="6" applyNumberFormat="1" applyFont="1"/>
    <xf numFmtId="165" fontId="4" fillId="0" borderId="0" xfId="9" applyNumberFormat="1" applyFont="1"/>
    <xf numFmtId="9" fontId="4" fillId="0" borderId="0" xfId="8" applyNumberFormat="1" applyFont="1"/>
    <xf numFmtId="49" fontId="5" fillId="0" borderId="0" xfId="6" applyNumberFormat="1" applyFont="1"/>
    <xf numFmtId="164" fontId="14" fillId="0" borderId="0" xfId="8" applyNumberFormat="1" applyFont="1"/>
    <xf numFmtId="0" fontId="4" fillId="0" borderId="0" xfId="6" applyFont="1" applyAlignment="1">
      <alignment vertical="center"/>
    </xf>
    <xf numFmtId="0" fontId="20" fillId="0" borderId="0" xfId="6" applyFont="1"/>
    <xf numFmtId="164" fontId="17" fillId="0" borderId="0" xfId="4" applyNumberFormat="1" applyFont="1"/>
    <xf numFmtId="164" fontId="14" fillId="0" borderId="0" xfId="0" applyNumberFormat="1" applyFont="1"/>
    <xf numFmtId="168" fontId="14" fillId="0" borderId="0" xfId="7" applyFont="1"/>
    <xf numFmtId="168" fontId="14" fillId="0" borderId="0" xfId="0" applyNumberFormat="1" applyFont="1"/>
    <xf numFmtId="49" fontId="4" fillId="4" borderId="0" xfId="6" applyNumberFormat="1" applyFont="1" applyFill="1"/>
    <xf numFmtId="0" fontId="5" fillId="0" borderId="0" xfId="2" applyNumberFormat="1" applyFont="1"/>
    <xf numFmtId="9" fontId="14" fillId="0" borderId="0" xfId="5" applyFont="1"/>
    <xf numFmtId="9" fontId="14" fillId="0" borderId="0" xfId="0" applyNumberFormat="1" applyFont="1"/>
    <xf numFmtId="0" fontId="13" fillId="0" borderId="1" xfId="0" applyFont="1" applyBorder="1" applyAlignment="1">
      <alignment horizontal="center"/>
    </xf>
    <xf numFmtId="0" fontId="18" fillId="0" borderId="1" xfId="0" applyFont="1" applyBorder="1" applyAlignment="1">
      <alignment horizontal="center"/>
    </xf>
    <xf numFmtId="0" fontId="18" fillId="0" borderId="1" xfId="0" applyFont="1" applyBorder="1"/>
    <xf numFmtId="164" fontId="18" fillId="0" borderId="1" xfId="4" applyNumberFormat="1" applyFont="1" applyBorder="1"/>
    <xf numFmtId="164" fontId="18" fillId="0" borderId="1" xfId="0" applyNumberFormat="1" applyFont="1" applyBorder="1"/>
    <xf numFmtId="0" fontId="18" fillId="0" borderId="0" xfId="0" applyFont="1"/>
    <xf numFmtId="164" fontId="18" fillId="0" borderId="0" xfId="4" applyNumberFormat="1" applyFont="1"/>
    <xf numFmtId="0" fontId="14" fillId="0" borderId="1" xfId="0" applyFont="1" applyBorder="1" applyAlignment="1">
      <alignment horizontal="center"/>
    </xf>
    <xf numFmtId="164" fontId="14" fillId="0" borderId="1" xfId="0" applyNumberFormat="1" applyFont="1" applyBorder="1"/>
    <xf numFmtId="10" fontId="14" fillId="0" borderId="0" xfId="4" applyNumberFormat="1" applyFont="1"/>
    <xf numFmtId="10" fontId="14" fillId="0" borderId="0" xfId="0" applyNumberFormat="1" applyFont="1"/>
    <xf numFmtId="169" fontId="14" fillId="0" borderId="0" xfId="0" applyNumberFormat="1" applyFont="1"/>
    <xf numFmtId="169" fontId="13" fillId="0" borderId="1" xfId="7"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right" vertical="center" wrapText="1"/>
    </xf>
    <xf numFmtId="169" fontId="13" fillId="0" borderId="1" xfId="7" applyNumberFormat="1" applyFont="1" applyBorder="1" applyAlignment="1">
      <alignment horizontal="right" vertical="center" wrapText="1"/>
    </xf>
    <xf numFmtId="169" fontId="13" fillId="0" borderId="1" xfId="7" applyNumberFormat="1" applyFont="1" applyBorder="1" applyAlignment="1">
      <alignment vertical="center"/>
    </xf>
    <xf numFmtId="0" fontId="14" fillId="0" borderId="1" xfId="0" applyFont="1" applyBorder="1" applyAlignment="1">
      <alignment vertical="center" wrapText="1"/>
    </xf>
    <xf numFmtId="169" fontId="14" fillId="0" borderId="1" xfId="7" applyNumberFormat="1" applyFont="1" applyBorder="1" applyAlignment="1">
      <alignment vertical="center"/>
    </xf>
    <xf numFmtId="169" fontId="14" fillId="0" borderId="1" xfId="7" applyNumberFormat="1" applyFont="1" applyBorder="1" applyAlignment="1">
      <alignment horizontal="right" vertical="center"/>
    </xf>
    <xf numFmtId="169" fontId="14" fillId="0" borderId="1" xfId="7" applyNumberFormat="1" applyFont="1" applyBorder="1" applyAlignment="1">
      <alignment vertical="center" wrapText="1"/>
    </xf>
    <xf numFmtId="169" fontId="14" fillId="0" borderId="1" xfId="0" applyNumberFormat="1" applyFont="1" applyBorder="1" applyAlignment="1">
      <alignment horizontal="right" vertical="center"/>
    </xf>
    <xf numFmtId="170" fontId="14" fillId="0" borderId="1" xfId="0" applyNumberFormat="1" applyFont="1" applyBorder="1" applyAlignment="1">
      <alignment horizontal="right" vertical="center"/>
    </xf>
    <xf numFmtId="169" fontId="14" fillId="0" borderId="0" xfId="7" applyNumberFormat="1" applyFont="1"/>
    <xf numFmtId="0" fontId="4" fillId="0" borderId="0" xfId="6" applyFont="1" applyFill="1" applyBorder="1" applyAlignment="1">
      <alignment wrapText="1"/>
    </xf>
    <xf numFmtId="0" fontId="9" fillId="0" borderId="0" xfId="0" applyFont="1" applyAlignment="1" applyProtection="1">
      <alignment horizontal="left" vertical="center"/>
      <protection locked="0"/>
    </xf>
    <xf numFmtId="0" fontId="9" fillId="0" borderId="0" xfId="0" applyFont="1" applyAlignment="1">
      <alignment horizontal="left" vertical="center"/>
    </xf>
    <xf numFmtId="49" fontId="4" fillId="0" borderId="0" xfId="0" applyNumberFormat="1" applyFont="1"/>
    <xf numFmtId="3" fontId="4" fillId="0" borderId="1" xfId="0" applyNumberFormat="1" applyFont="1" applyBorder="1"/>
    <xf numFmtId="189" fontId="4" fillId="0" borderId="0" xfId="0" applyNumberFormat="1" applyFont="1"/>
    <xf numFmtId="3" fontId="17" fillId="0" borderId="1" xfId="0" applyNumberFormat="1" applyFont="1" applyBorder="1"/>
    <xf numFmtId="49" fontId="17" fillId="0" borderId="0" xfId="0" applyNumberFormat="1" applyFont="1"/>
    <xf numFmtId="190" fontId="41" fillId="0" borderId="1" xfId="0" applyNumberFormat="1" applyFont="1" applyBorder="1"/>
    <xf numFmtId="0" fontId="17" fillId="2" borderId="0" xfId="0" applyFont="1" applyFill="1"/>
    <xf numFmtId="164" fontId="17" fillId="0" borderId="0" xfId="0" applyNumberFormat="1" applyFont="1"/>
    <xf numFmtId="190" fontId="41" fillId="0" borderId="0" xfId="0" applyNumberFormat="1" applyFont="1"/>
    <xf numFmtId="3" fontId="17" fillId="0" borderId="0" xfId="0" applyNumberFormat="1" applyFont="1"/>
    <xf numFmtId="0" fontId="42" fillId="0" borderId="0" xfId="0" applyFont="1"/>
    <xf numFmtId="3" fontId="5" fillId="0" borderId="21" xfId="0" applyNumberFormat="1" applyFont="1" applyBorder="1"/>
    <xf numFmtId="164" fontId="4" fillId="0" borderId="21" xfId="4" applyNumberFormat="1" applyFont="1" applyBorder="1"/>
    <xf numFmtId="0" fontId="4" fillId="0" borderId="21" xfId="0" applyFont="1" applyBorder="1"/>
    <xf numFmtId="0" fontId="4" fillId="0" borderId="21" xfId="0" applyFont="1" applyBorder="1" applyAlignment="1">
      <alignment horizontal="center"/>
    </xf>
    <xf numFmtId="0" fontId="5" fillId="0" borderId="21" xfId="0" applyFont="1" applyBorder="1"/>
    <xf numFmtId="0" fontId="5" fillId="0" borderId="21" xfId="0" applyFont="1" applyBorder="1" applyAlignment="1">
      <alignment horizontal="center"/>
    </xf>
    <xf numFmtId="3" fontId="5" fillId="0" borderId="22" xfId="0" applyNumberFormat="1" applyFont="1" applyBorder="1"/>
    <xf numFmtId="164" fontId="17" fillId="0" borderId="22" xfId="4" applyNumberFormat="1" applyFont="1" applyBorder="1" applyAlignment="1">
      <alignment horizontal="right"/>
    </xf>
    <xf numFmtId="0" fontId="4" fillId="0" borderId="22" xfId="0" applyFont="1" applyBorder="1" applyAlignment="1">
      <alignment horizontal="center"/>
    </xf>
    <xf numFmtId="0" fontId="4" fillId="0" borderId="22" xfId="0" applyFont="1" applyBorder="1" applyAlignment="1" applyProtection="1">
      <alignment horizontal="center"/>
      <protection locked="0"/>
    </xf>
    <xf numFmtId="0" fontId="5" fillId="0" borderId="22" xfId="0" applyFont="1" applyBorder="1"/>
    <xf numFmtId="0" fontId="5" fillId="0" borderId="22" xfId="0" applyFont="1" applyBorder="1" applyAlignment="1">
      <alignment horizontal="center"/>
    </xf>
    <xf numFmtId="164" fontId="4" fillId="0" borderId="22" xfId="4" applyNumberFormat="1" applyFont="1" applyBorder="1" applyAlignment="1">
      <alignment horizontal="right"/>
    </xf>
    <xf numFmtId="3" fontId="4" fillId="0" borderId="22" xfId="0" applyNumberFormat="1" applyFont="1" applyBorder="1" applyAlignment="1">
      <alignment horizontal="center"/>
    </xf>
    <xf numFmtId="3" fontId="5" fillId="0" borderId="22" xfId="0" applyNumberFormat="1" applyFont="1" applyBorder="1" applyAlignment="1">
      <alignment horizontal="center"/>
    </xf>
    <xf numFmtId="3" fontId="4" fillId="0" borderId="22" xfId="0" applyNumberFormat="1" applyFont="1" applyBorder="1"/>
    <xf numFmtId="0" fontId="4" fillId="0" borderId="22" xfId="0" applyFont="1" applyBorder="1" applyProtection="1">
      <protection locked="0"/>
    </xf>
    <xf numFmtId="164" fontId="5" fillId="0" borderId="22" xfId="4" applyNumberFormat="1" applyFont="1" applyBorder="1" applyAlignment="1">
      <alignment horizontal="right"/>
    </xf>
    <xf numFmtId="3" fontId="4" fillId="0" borderId="0" xfId="0" applyNumberFormat="1" applyFont="1"/>
    <xf numFmtId="3" fontId="17" fillId="0" borderId="22" xfId="0" applyNumberFormat="1" applyFont="1" applyBorder="1" applyAlignment="1">
      <alignment horizontal="center"/>
    </xf>
    <xf numFmtId="164" fontId="4" fillId="0" borderId="22" xfId="4" applyNumberFormat="1" applyFont="1" applyBorder="1"/>
    <xf numFmtId="3" fontId="5" fillId="0" borderId="23" xfId="0" applyNumberFormat="1" applyFont="1" applyBorder="1"/>
    <xf numFmtId="0" fontId="5" fillId="0" borderId="23" xfId="0" applyFont="1" applyBorder="1"/>
    <xf numFmtId="0" fontId="4" fillId="0" borderId="23" xfId="0" applyFont="1" applyBorder="1" applyAlignment="1">
      <alignment horizontal="center"/>
    </xf>
    <xf numFmtId="0" fontId="5" fillId="0" borderId="23" xfId="0" applyFont="1" applyBorder="1" applyAlignment="1">
      <alignment horizontal="center"/>
    </xf>
    <xf numFmtId="0" fontId="4" fillId="0" borderId="0" xfId="67" applyFont="1"/>
    <xf numFmtId="0" fontId="5" fillId="0" borderId="0" xfId="67" applyFont="1"/>
    <xf numFmtId="0" fontId="4" fillId="0" borderId="0" xfId="62" applyFont="1"/>
    <xf numFmtId="164" fontId="4" fillId="0" borderId="0" xfId="30" applyNumberFormat="1" applyFont="1"/>
    <xf numFmtId="0" fontId="4" fillId="0" borderId="50" xfId="62" applyFont="1" applyBorder="1" applyAlignment="1">
      <alignment wrapText="1"/>
    </xf>
    <xf numFmtId="3" fontId="4" fillId="0" borderId="28" xfId="62" applyNumberFormat="1" applyFont="1" applyBorder="1"/>
    <xf numFmtId="0" fontId="4" fillId="0" borderId="51" xfId="62" applyFont="1" applyBorder="1"/>
    <xf numFmtId="0" fontId="5" fillId="0" borderId="1" xfId="62" applyFont="1" applyFill="1" applyBorder="1" applyAlignment="1">
      <alignment horizontal="left" vertical="center"/>
    </xf>
    <xf numFmtId="0" fontId="4" fillId="0" borderId="1" xfId="62" applyFont="1" applyBorder="1" applyAlignment="1">
      <alignment wrapText="1"/>
    </xf>
    <xf numFmtId="0" fontId="4" fillId="0" borderId="0" xfId="62" applyFont="1" applyBorder="1" applyAlignment="1">
      <alignment horizontal="right" vertical="top"/>
    </xf>
    <xf numFmtId="0" fontId="4" fillId="0" borderId="0" xfId="62" applyFont="1" applyBorder="1" applyAlignment="1">
      <alignment horizontal="right"/>
    </xf>
    <xf numFmtId="10" fontId="4" fillId="0" borderId="0" xfId="80" applyNumberFormat="1" applyFont="1" applyBorder="1" applyAlignment="1">
      <alignment horizontal="center"/>
    </xf>
    <xf numFmtId="164" fontId="4" fillId="0" borderId="0" xfId="30" applyNumberFormat="1" applyFont="1" applyBorder="1" applyAlignment="1">
      <alignment horizontal="center"/>
    </xf>
    <xf numFmtId="164" fontId="5" fillId="0" borderId="0" xfId="30" applyNumberFormat="1" applyFont="1" applyBorder="1"/>
    <xf numFmtId="0" fontId="4" fillId="0" borderId="0" xfId="62" applyFont="1" applyBorder="1"/>
    <xf numFmtId="164" fontId="4" fillId="0" borderId="0" xfId="30" applyNumberFormat="1" applyFont="1" applyBorder="1"/>
    <xf numFmtId="0" fontId="5" fillId="0" borderId="0" xfId="62" applyFont="1" applyBorder="1"/>
    <xf numFmtId="0" fontId="42" fillId="0" borderId="0" xfId="62" applyFont="1"/>
    <xf numFmtId="10" fontId="5" fillId="0" borderId="50" xfId="30" applyNumberFormat="1" applyFont="1" applyBorder="1"/>
    <xf numFmtId="3" fontId="5" fillId="0" borderId="50" xfId="30" applyNumberFormat="1" applyFont="1" applyBorder="1"/>
    <xf numFmtId="0" fontId="4" fillId="0" borderId="50" xfId="62" applyFont="1" applyBorder="1"/>
    <xf numFmtId="164" fontId="4" fillId="0" borderId="50" xfId="30" applyNumberFormat="1" applyFont="1" applyBorder="1"/>
    <xf numFmtId="0" fontId="4" fillId="0" borderId="50" xfId="62" applyFont="1" applyBorder="1" applyAlignment="1">
      <alignment horizontal="center"/>
    </xf>
    <xf numFmtId="0" fontId="5" fillId="0" borderId="50" xfId="62" applyFont="1" applyBorder="1"/>
    <xf numFmtId="3" fontId="5" fillId="0" borderId="37" xfId="30" applyNumberFormat="1" applyFont="1" applyBorder="1"/>
    <xf numFmtId="0" fontId="4" fillId="0" borderId="37" xfId="62" applyFont="1" applyBorder="1"/>
    <xf numFmtId="164" fontId="4" fillId="0" borderId="37" xfId="30" applyNumberFormat="1" applyFont="1" applyBorder="1"/>
    <xf numFmtId="0" fontId="5" fillId="0" borderId="37" xfId="62" applyFont="1" applyBorder="1"/>
    <xf numFmtId="3" fontId="4" fillId="0" borderId="28" xfId="30" applyNumberFormat="1" applyFont="1" applyBorder="1"/>
    <xf numFmtId="0" fontId="4" fillId="0" borderId="28" xfId="62" applyFont="1" applyBorder="1"/>
    <xf numFmtId="164" fontId="4" fillId="0" borderId="28" xfId="30" applyNumberFormat="1" applyFont="1" applyBorder="1"/>
    <xf numFmtId="0" fontId="4" fillId="0" borderId="28" xfId="62" applyFont="1" applyBorder="1" applyAlignment="1">
      <alignment horizontal="center"/>
    </xf>
    <xf numFmtId="3" fontId="5" fillId="0" borderId="28" xfId="30" applyNumberFormat="1" applyFont="1" applyBorder="1"/>
    <xf numFmtId="0" fontId="5" fillId="0" borderId="28" xfId="62" applyFont="1" applyBorder="1"/>
    <xf numFmtId="164" fontId="4" fillId="0" borderId="28" xfId="62" applyNumberFormat="1" applyFont="1" applyBorder="1"/>
    <xf numFmtId="3" fontId="7" fillId="0" borderId="28" xfId="30" applyNumberFormat="1" applyFont="1" applyBorder="1"/>
    <xf numFmtId="164" fontId="7" fillId="0" borderId="28" xfId="62" applyNumberFormat="1" applyFont="1" applyBorder="1"/>
    <xf numFmtId="0" fontId="6" fillId="0" borderId="28" xfId="62" applyFont="1" applyBorder="1"/>
    <xf numFmtId="164" fontId="6" fillId="0" borderId="28" xfId="30" applyNumberFormat="1" applyFont="1" applyBorder="1"/>
    <xf numFmtId="0" fontId="6" fillId="0" borderId="28" xfId="62" applyFont="1" applyBorder="1" applyAlignment="1">
      <alignment horizontal="center"/>
    </xf>
    <xf numFmtId="0" fontId="7" fillId="0" borderId="28" xfId="62" applyFont="1" applyBorder="1"/>
    <xf numFmtId="164" fontId="5" fillId="0" borderId="28" xfId="62" applyNumberFormat="1" applyFont="1" applyBorder="1"/>
    <xf numFmtId="3" fontId="5" fillId="0" borderId="51" xfId="30" applyNumberFormat="1" applyFont="1" applyBorder="1"/>
    <xf numFmtId="164" fontId="4" fillId="0" borderId="51" xfId="30" applyNumberFormat="1" applyFont="1" applyBorder="1"/>
    <xf numFmtId="0" fontId="5" fillId="0" borderId="51" xfId="62" applyFont="1" applyBorder="1"/>
    <xf numFmtId="0" fontId="4" fillId="0" borderId="0" xfId="62" applyFont="1" applyFill="1"/>
    <xf numFmtId="0" fontId="5" fillId="0" borderId="1" xfId="62" applyFont="1" applyFill="1" applyBorder="1" applyAlignment="1">
      <alignment horizontal="center" vertical="center" wrapText="1"/>
    </xf>
    <xf numFmtId="43" fontId="4" fillId="0" borderId="0" xfId="30" applyFont="1"/>
    <xf numFmtId="43" fontId="42" fillId="0" borderId="0" xfId="30" applyFont="1"/>
    <xf numFmtId="43" fontId="4" fillId="0" borderId="0" xfId="62" applyNumberFormat="1" applyFont="1"/>
    <xf numFmtId="43" fontId="4" fillId="0" borderId="0" xfId="30" applyFont="1" applyFill="1"/>
    <xf numFmtId="43" fontId="42" fillId="0" borderId="0" xfId="62" applyNumberFormat="1" applyFont="1"/>
    <xf numFmtId="0" fontId="6" fillId="0" borderId="0" xfId="67" applyFont="1"/>
    <xf numFmtId="0" fontId="42" fillId="0" borderId="1" xfId="67" applyFont="1" applyBorder="1"/>
    <xf numFmtId="0" fontId="45" fillId="0" borderId="0" xfId="67" applyFont="1"/>
    <xf numFmtId="10" fontId="45" fillId="0" borderId="0" xfId="36" applyNumberFormat="1" applyFont="1" applyBorder="1"/>
    <xf numFmtId="3" fontId="42" fillId="0" borderId="0" xfId="36" applyNumberFormat="1" applyFont="1" applyBorder="1"/>
    <xf numFmtId="0" fontId="42" fillId="0" borderId="0" xfId="67" applyFont="1" applyBorder="1"/>
    <xf numFmtId="3" fontId="6" fillId="0" borderId="0" xfId="67" applyNumberFormat="1" applyFont="1" applyBorder="1" applyAlignment="1">
      <alignment horizontal="center"/>
    </xf>
    <xf numFmtId="0" fontId="45" fillId="0" borderId="0" xfId="67" applyFont="1" applyBorder="1"/>
    <xf numFmtId="10" fontId="45" fillId="0" borderId="24" xfId="36" applyNumberFormat="1" applyFont="1" applyBorder="1"/>
    <xf numFmtId="0" fontId="42" fillId="0" borderId="25" xfId="67" applyFont="1" applyBorder="1"/>
    <xf numFmtId="3" fontId="42" fillId="0" borderId="25" xfId="36" applyNumberFormat="1" applyFont="1" applyBorder="1"/>
    <xf numFmtId="3" fontId="6" fillId="0" borderId="25" xfId="67" applyNumberFormat="1" applyFont="1" applyBorder="1" applyAlignment="1">
      <alignment horizontal="center"/>
    </xf>
    <xf numFmtId="0" fontId="45" fillId="0" borderId="26" xfId="67" applyFont="1" applyBorder="1"/>
    <xf numFmtId="0" fontId="42" fillId="0" borderId="0" xfId="67" applyFont="1"/>
    <xf numFmtId="0" fontId="4" fillId="0" borderId="1" xfId="67" applyFont="1" applyBorder="1"/>
    <xf numFmtId="3" fontId="45" fillId="0" borderId="36" xfId="36" applyNumberFormat="1" applyFont="1" applyBorder="1"/>
    <xf numFmtId="164" fontId="42" fillId="0" borderId="37" xfId="36" applyNumberFormat="1" applyFont="1" applyBorder="1" applyAlignment="1">
      <alignment horizontal="right"/>
    </xf>
    <xf numFmtId="3" fontId="42" fillId="0" borderId="37" xfId="36" applyNumberFormat="1" applyFont="1" applyBorder="1"/>
    <xf numFmtId="0" fontId="42" fillId="0" borderId="37" xfId="67" applyFont="1" applyBorder="1"/>
    <xf numFmtId="0" fontId="45" fillId="0" borderId="38" xfId="67" applyFont="1" applyBorder="1"/>
    <xf numFmtId="3" fontId="4" fillId="0" borderId="27" xfId="36" applyNumberFormat="1" applyFont="1" applyBorder="1"/>
    <xf numFmtId="164" fontId="4" fillId="0" borderId="28" xfId="36" applyNumberFormat="1" applyFont="1" applyBorder="1" applyAlignment="1">
      <alignment horizontal="right"/>
    </xf>
    <xf numFmtId="3" fontId="4" fillId="0" borderId="28" xfId="36" applyNumberFormat="1" applyFont="1" applyBorder="1"/>
    <xf numFmtId="0" fontId="4" fillId="0" borderId="28" xfId="67" applyFont="1" applyBorder="1" applyAlignment="1">
      <alignment horizontal="center"/>
    </xf>
    <xf numFmtId="0" fontId="4" fillId="0" borderId="29" xfId="67" applyFont="1" applyBorder="1"/>
    <xf numFmtId="3" fontId="45" fillId="0" borderId="27" xfId="36" applyNumberFormat="1" applyFont="1" applyBorder="1"/>
    <xf numFmtId="164" fontId="42" fillId="0" borderId="28" xfId="36" applyNumberFormat="1" applyFont="1" applyBorder="1" applyAlignment="1">
      <alignment horizontal="right"/>
    </xf>
    <xf numFmtId="0" fontId="42" fillId="0" borderId="28" xfId="67" applyFont="1" applyBorder="1" applyAlignment="1">
      <alignment horizontal="center"/>
    </xf>
    <xf numFmtId="0" fontId="45" fillId="0" borderId="29" xfId="67" applyFont="1" applyBorder="1"/>
    <xf numFmtId="9" fontId="4" fillId="0" borderId="1" xfId="67" applyNumberFormat="1" applyFont="1" applyBorder="1"/>
    <xf numFmtId="164" fontId="4" fillId="0" borderId="1" xfId="36" applyNumberFormat="1" applyFont="1" applyBorder="1"/>
    <xf numFmtId="3" fontId="45" fillId="0" borderId="52" xfId="36" applyNumberFormat="1" applyFont="1" applyBorder="1"/>
    <xf numFmtId="0" fontId="42" fillId="0" borderId="51" xfId="67" applyFont="1" applyBorder="1"/>
    <xf numFmtId="3" fontId="42" fillId="0" borderId="51" xfId="36" applyNumberFormat="1" applyFont="1" applyBorder="1"/>
    <xf numFmtId="0" fontId="45" fillId="0" borderId="53" xfId="67" applyFont="1" applyBorder="1"/>
    <xf numFmtId="0" fontId="4" fillId="0" borderId="0" xfId="67" applyFont="1" applyAlignment="1">
      <alignment vertical="center"/>
    </xf>
    <xf numFmtId="0" fontId="5" fillId="0" borderId="62" xfId="67" applyFont="1" applyBorder="1" applyAlignment="1">
      <alignment horizontal="center" vertical="center"/>
    </xf>
    <xf numFmtId="0" fontId="5" fillId="0" borderId="45" xfId="67" applyFont="1" applyBorder="1" applyAlignment="1">
      <alignment horizontal="center" vertical="center"/>
    </xf>
    <xf numFmtId="0" fontId="5" fillId="0" borderId="44" xfId="67" applyFont="1" applyBorder="1" applyAlignment="1">
      <alignment horizontal="center" vertical="center"/>
    </xf>
    <xf numFmtId="0" fontId="5" fillId="0" borderId="63" xfId="67" applyFont="1" applyBorder="1" applyAlignment="1">
      <alignment horizontal="center" vertical="center"/>
    </xf>
    <xf numFmtId="3" fontId="45" fillId="0" borderId="0" xfId="67" applyNumberFormat="1" applyFont="1" applyAlignment="1">
      <alignment horizontal="center"/>
    </xf>
    <xf numFmtId="164" fontId="4" fillId="0" borderId="0" xfId="36" applyNumberFormat="1" applyFont="1"/>
    <xf numFmtId="3" fontId="4" fillId="0" borderId="0" xfId="67" applyNumberFormat="1" applyFont="1"/>
    <xf numFmtId="3" fontId="6" fillId="0" borderId="0" xfId="67" applyNumberFormat="1" applyFont="1" applyAlignment="1">
      <alignment horizontal="center"/>
    </xf>
    <xf numFmtId="10" fontId="4" fillId="0" borderId="0" xfId="67" applyNumberFormat="1" applyFont="1" applyBorder="1"/>
    <xf numFmtId="0" fontId="4" fillId="0" borderId="0" xfId="67" applyFont="1" applyBorder="1"/>
    <xf numFmtId="164" fontId="4" fillId="0" borderId="0" xfId="36" applyNumberFormat="1" applyFont="1" applyBorder="1"/>
    <xf numFmtId="10" fontId="5" fillId="0" borderId="24" xfId="67" applyNumberFormat="1" applyFont="1" applyBorder="1"/>
    <xf numFmtId="0" fontId="4" fillId="0" borderId="25" xfId="67" applyFont="1" applyBorder="1"/>
    <xf numFmtId="164" fontId="4" fillId="0" borderId="25" xfId="36" applyNumberFormat="1" applyFont="1" applyBorder="1"/>
    <xf numFmtId="164" fontId="42" fillId="0" borderId="0" xfId="36" applyNumberFormat="1" applyFont="1"/>
    <xf numFmtId="164" fontId="42" fillId="0" borderId="37" xfId="36" applyNumberFormat="1" applyFont="1" applyBorder="1"/>
    <xf numFmtId="164" fontId="4" fillId="0" borderId="28" xfId="36" applyNumberFormat="1" applyFont="1" applyBorder="1"/>
    <xf numFmtId="164" fontId="42" fillId="0" borderId="28" xfId="36" applyNumberFormat="1" applyFont="1" applyBorder="1"/>
    <xf numFmtId="10" fontId="4" fillId="0" borderId="0" xfId="36" applyNumberFormat="1" applyFont="1"/>
    <xf numFmtId="164" fontId="42" fillId="0" borderId="51" xfId="36" applyNumberFormat="1" applyFont="1" applyBorder="1"/>
    <xf numFmtId="164" fontId="5" fillId="0" borderId="44" xfId="36" applyNumberFormat="1" applyFont="1" applyBorder="1" applyAlignment="1">
      <alignment horizontal="center" vertical="center"/>
    </xf>
    <xf numFmtId="0" fontId="5" fillId="0" borderId="0" xfId="67" applyFont="1" applyAlignment="1"/>
    <xf numFmtId="164" fontId="5" fillId="0" borderId="0" xfId="36" applyNumberFormat="1" applyFont="1" applyAlignment="1"/>
    <xf numFmtId="164" fontId="13" fillId="0" borderId="65" xfId="67" applyNumberFormat="1" applyFont="1" applyBorder="1" applyProtection="1"/>
    <xf numFmtId="164" fontId="13" fillId="0" borderId="66" xfId="67" applyNumberFormat="1" applyFont="1" applyBorder="1" applyProtection="1"/>
    <xf numFmtId="164" fontId="4" fillId="0" borderId="1" xfId="67" applyNumberFormat="1" applyFont="1" applyBorder="1" applyProtection="1"/>
    <xf numFmtId="164" fontId="4" fillId="0" borderId="67" xfId="67" applyNumberFormat="1" applyFont="1" applyBorder="1" applyAlignment="1" applyProtection="1"/>
    <xf numFmtId="164" fontId="14" fillId="0" borderId="33" xfId="30" applyNumberFormat="1" applyFont="1" applyBorder="1" applyAlignment="1" applyProtection="1">
      <alignment horizontal="centerContinuous" vertical="center"/>
    </xf>
    <xf numFmtId="164" fontId="14" fillId="0" borderId="34" xfId="30" applyNumberFormat="1" applyFont="1" applyBorder="1" applyAlignment="1" applyProtection="1">
      <alignment horizontal="centerContinuous" vertical="center"/>
    </xf>
    <xf numFmtId="164" fontId="13" fillId="0" borderId="34" xfId="67" applyNumberFormat="1" applyFont="1" applyBorder="1" applyAlignment="1" applyProtection="1">
      <alignment horizontal="center" vertical="center"/>
    </xf>
    <xf numFmtId="164" fontId="13" fillId="0" borderId="35" xfId="67" applyNumberFormat="1" applyFont="1" applyBorder="1" applyAlignment="1" applyProtection="1">
      <alignment vertical="center"/>
    </xf>
    <xf numFmtId="164" fontId="5" fillId="0" borderId="0" xfId="67" applyNumberFormat="1" applyFont="1" applyProtection="1">
      <protection hidden="1"/>
    </xf>
    <xf numFmtId="164" fontId="5" fillId="0" borderId="0" xfId="30" applyNumberFormat="1" applyFont="1"/>
    <xf numFmtId="0" fontId="4" fillId="0" borderId="65" xfId="67" applyFont="1" applyBorder="1"/>
    <xf numFmtId="0" fontId="4" fillId="0" borderId="66" xfId="67" applyFont="1" applyBorder="1" applyAlignment="1">
      <alignment horizontal="center"/>
    </xf>
    <xf numFmtId="0" fontId="4" fillId="0" borderId="67" xfId="67" quotePrefix="1" applyFont="1" applyBorder="1" applyAlignment="1">
      <alignment horizontal="center"/>
    </xf>
    <xf numFmtId="0" fontId="4" fillId="0" borderId="67" xfId="67" applyFont="1" applyBorder="1" applyAlignment="1">
      <alignment horizontal="center"/>
    </xf>
    <xf numFmtId="0" fontId="4" fillId="0" borderId="34" xfId="67" applyFont="1" applyBorder="1"/>
    <xf numFmtId="0" fontId="4" fillId="0" borderId="35" xfId="67" applyFont="1" applyBorder="1" applyAlignment="1">
      <alignment horizontal="center"/>
    </xf>
    <xf numFmtId="164" fontId="4" fillId="0" borderId="0" xfId="67" applyNumberFormat="1" applyFont="1" applyBorder="1" applyAlignment="1">
      <alignment horizontal="center"/>
    </xf>
    <xf numFmtId="164" fontId="4" fillId="0" borderId="0" xfId="67" applyNumberFormat="1" applyFont="1" applyBorder="1" applyAlignment="1">
      <alignment horizontal="right"/>
    </xf>
    <xf numFmtId="0" fontId="5" fillId="0" borderId="0" xfId="67" applyFont="1" applyBorder="1"/>
    <xf numFmtId="164" fontId="4" fillId="0" borderId="14" xfId="67" applyNumberFormat="1" applyFont="1" applyBorder="1" applyAlignment="1">
      <alignment horizontal="center"/>
    </xf>
    <xf numFmtId="164" fontId="4" fillId="0" borderId="14" xfId="67" applyNumberFormat="1" applyFont="1" applyBorder="1" applyAlignment="1">
      <alignment horizontal="right"/>
    </xf>
    <xf numFmtId="0" fontId="4" fillId="0" borderId="14" xfId="67" applyFont="1" applyBorder="1"/>
    <xf numFmtId="0" fontId="4" fillId="0" borderId="67" xfId="67" applyFont="1" applyBorder="1"/>
    <xf numFmtId="164" fontId="4" fillId="0" borderId="67" xfId="67" applyNumberFormat="1" applyFont="1" applyBorder="1" applyProtection="1"/>
    <xf numFmtId="164" fontId="46" fillId="0" borderId="1" xfId="67" applyNumberFormat="1" applyFont="1" applyBorder="1" applyProtection="1"/>
    <xf numFmtId="164" fontId="46" fillId="0" borderId="67" xfId="67" applyNumberFormat="1" applyFont="1" applyBorder="1" applyAlignment="1" applyProtection="1">
      <alignment horizontal="right"/>
    </xf>
    <xf numFmtId="164" fontId="13" fillId="0" borderId="34" xfId="67" applyNumberFormat="1" applyFont="1" applyBorder="1" applyProtection="1"/>
    <xf numFmtId="164" fontId="13" fillId="0" borderId="35" xfId="67" applyNumberFormat="1" applyFont="1" applyBorder="1" applyProtection="1"/>
    <xf numFmtId="164" fontId="45" fillId="0" borderId="0" xfId="30" applyNumberFormat="1" applyFont="1" applyBorder="1"/>
    <xf numFmtId="3" fontId="42" fillId="0" borderId="0" xfId="30" applyNumberFormat="1" applyFont="1" applyBorder="1"/>
    <xf numFmtId="164" fontId="45" fillId="0" borderId="64" xfId="30" applyNumberFormat="1" applyFont="1" applyBorder="1"/>
    <xf numFmtId="164" fontId="45" fillId="0" borderId="65" xfId="30" applyNumberFormat="1" applyFont="1" applyBorder="1"/>
    <xf numFmtId="0" fontId="42" fillId="0" borderId="65" xfId="67" applyFont="1" applyBorder="1"/>
    <xf numFmtId="3" fontId="42" fillId="0" borderId="65" xfId="30" applyNumberFormat="1" applyFont="1" applyBorder="1"/>
    <xf numFmtId="0" fontId="45" fillId="0" borderId="65" xfId="67" applyFont="1" applyBorder="1"/>
    <xf numFmtId="164" fontId="45" fillId="0" borderId="54" xfId="30" applyNumberFormat="1" applyFont="1" applyBorder="1"/>
    <xf numFmtId="164" fontId="45" fillId="0" borderId="1" xfId="30" applyNumberFormat="1" applyFont="1" applyBorder="1"/>
    <xf numFmtId="3" fontId="42" fillId="0" borderId="1" xfId="30" applyNumberFormat="1" applyFont="1" applyBorder="1"/>
    <xf numFmtId="0" fontId="45" fillId="0" borderId="1" xfId="67" applyFont="1" applyBorder="1"/>
    <xf numFmtId="164" fontId="4" fillId="0" borderId="54" xfId="30" applyNumberFormat="1" applyFont="1" applyBorder="1"/>
    <xf numFmtId="164" fontId="4" fillId="0" borderId="1" xfId="30" applyNumberFormat="1" applyFont="1" applyBorder="1"/>
    <xf numFmtId="3" fontId="4" fillId="0" borderId="1" xfId="30" applyNumberFormat="1" applyFont="1" applyBorder="1"/>
    <xf numFmtId="0" fontId="4" fillId="0" borderId="1" xfId="67" applyFont="1" applyBorder="1" applyAlignment="1">
      <alignment horizontal="center"/>
    </xf>
    <xf numFmtId="164" fontId="42" fillId="0" borderId="1" xfId="30" applyNumberFormat="1" applyFont="1" applyBorder="1" applyAlignment="1">
      <alignment horizontal="center"/>
    </xf>
    <xf numFmtId="0" fontId="42" fillId="0" borderId="1" xfId="67" applyFont="1" applyBorder="1" applyAlignment="1">
      <alignment horizontal="center"/>
    </xf>
    <xf numFmtId="9" fontId="4" fillId="0" borderId="1" xfId="80" applyFont="1" applyBorder="1"/>
    <xf numFmtId="9" fontId="4" fillId="0" borderId="1" xfId="80" applyFont="1" applyBorder="1" applyAlignment="1">
      <alignment horizontal="center"/>
    </xf>
    <xf numFmtId="0" fontId="5" fillId="0" borderId="67" xfId="67" quotePrefix="1" applyFont="1" applyBorder="1" applyAlignment="1">
      <alignment horizontal="center"/>
    </xf>
    <xf numFmtId="164" fontId="5" fillId="0" borderId="1" xfId="30" applyNumberFormat="1" applyFont="1" applyBorder="1"/>
    <xf numFmtId="9" fontId="5" fillId="0" borderId="1" xfId="80" applyFont="1" applyBorder="1"/>
    <xf numFmtId="164" fontId="4" fillId="0" borderId="1" xfId="80" applyNumberFormat="1" applyFont="1" applyBorder="1" applyAlignment="1">
      <alignment horizontal="center"/>
    </xf>
    <xf numFmtId="9" fontId="4" fillId="0" borderId="0" xfId="67" applyNumberFormat="1" applyFont="1"/>
    <xf numFmtId="3" fontId="5" fillId="0" borderId="1" xfId="30" applyNumberFormat="1" applyFont="1" applyBorder="1"/>
    <xf numFmtId="164" fontId="45" fillId="0" borderId="1" xfId="67" applyNumberFormat="1" applyFont="1" applyBorder="1"/>
    <xf numFmtId="165" fontId="17" fillId="0" borderId="0" xfId="80" applyNumberFormat="1" applyFont="1"/>
    <xf numFmtId="164" fontId="47" fillId="0" borderId="54" xfId="30" applyNumberFormat="1" applyFont="1" applyBorder="1"/>
    <xf numFmtId="164" fontId="47" fillId="0" borderId="1" xfId="30" applyNumberFormat="1" applyFont="1" applyBorder="1"/>
    <xf numFmtId="3" fontId="45" fillId="0" borderId="1" xfId="30" applyNumberFormat="1" applyFont="1" applyBorder="1"/>
    <xf numFmtId="3" fontId="4" fillId="0" borderId="54" xfId="67" applyNumberFormat="1" applyFont="1" applyBorder="1" applyAlignment="1">
      <alignment horizontal="center" vertical="center" wrapText="1"/>
    </xf>
    <xf numFmtId="3" fontId="4" fillId="0" borderId="1" xfId="67" applyNumberFormat="1" applyFont="1" applyBorder="1" applyAlignment="1">
      <alignment horizontal="center" vertical="center" wrapText="1"/>
    </xf>
    <xf numFmtId="0" fontId="5" fillId="0" borderId="1" xfId="67" applyFont="1" applyBorder="1" applyAlignment="1">
      <alignment horizontal="center"/>
    </xf>
    <xf numFmtId="0" fontId="5" fillId="0" borderId="0" xfId="67" applyFont="1" applyFill="1"/>
    <xf numFmtId="0" fontId="4" fillId="0" borderId="0" xfId="67" applyFont="1" applyFill="1"/>
    <xf numFmtId="0" fontId="41" fillId="0" borderId="0" xfId="67" applyFont="1" applyFill="1"/>
    <xf numFmtId="164" fontId="5" fillId="0" borderId="0" xfId="30" applyNumberFormat="1" applyFont="1" applyFill="1" applyAlignment="1"/>
    <xf numFmtId="0" fontId="5" fillId="0" borderId="0" xfId="67" applyFont="1" applyFill="1" applyAlignment="1"/>
    <xf numFmtId="0" fontId="5" fillId="0" borderId="0" xfId="67" applyFont="1" applyAlignment="1">
      <alignment horizontal="left"/>
    </xf>
    <xf numFmtId="3" fontId="45" fillId="0" borderId="0" xfId="67" applyNumberFormat="1" applyFont="1" applyBorder="1" applyAlignment="1">
      <alignment horizontal="center"/>
    </xf>
    <xf numFmtId="0" fontId="4" fillId="0" borderId="66" xfId="67" applyFont="1" applyBorder="1"/>
    <xf numFmtId="10" fontId="45" fillId="0" borderId="0" xfId="67" applyNumberFormat="1" applyFont="1" applyBorder="1"/>
    <xf numFmtId="3" fontId="45" fillId="0" borderId="54" xfId="30" applyNumberFormat="1" applyFont="1" applyBorder="1"/>
    <xf numFmtId="164" fontId="42" fillId="0" borderId="1" xfId="30" applyNumberFormat="1" applyFont="1" applyBorder="1"/>
    <xf numFmtId="0" fontId="5" fillId="0" borderId="1" xfId="67" applyFont="1" applyBorder="1"/>
    <xf numFmtId="3" fontId="4" fillId="0" borderId="54" xfId="30" applyNumberFormat="1" applyFont="1" applyBorder="1"/>
    <xf numFmtId="3" fontId="5" fillId="0" borderId="54" xfId="30" applyNumberFormat="1" applyFont="1" applyBorder="1"/>
    <xf numFmtId="0" fontId="5" fillId="0" borderId="33" xfId="67" applyFont="1" applyBorder="1" applyAlignment="1">
      <alignment horizontal="center" vertical="center"/>
    </xf>
    <xf numFmtId="164" fontId="5" fillId="0" borderId="3" xfId="30" applyNumberFormat="1" applyFont="1" applyBorder="1" applyAlignment="1">
      <alignment horizontal="center" vertical="center"/>
    </xf>
    <xf numFmtId="0" fontId="5" fillId="0" borderId="3" xfId="67" applyFont="1" applyBorder="1" applyAlignment="1">
      <alignment horizontal="center" vertical="center"/>
    </xf>
    <xf numFmtId="0" fontId="4" fillId="0" borderId="41" xfId="67" applyFont="1" applyBorder="1" applyAlignment="1">
      <alignment horizontal="center"/>
    </xf>
    <xf numFmtId="164" fontId="5" fillId="0" borderId="34" xfId="30" applyNumberFormat="1" applyFont="1" applyBorder="1" applyAlignment="1">
      <alignment horizontal="center" vertical="center"/>
    </xf>
    <xf numFmtId="193" fontId="4" fillId="0" borderId="0" xfId="67" applyNumberFormat="1" applyFont="1"/>
    <xf numFmtId="43" fontId="4" fillId="0" borderId="0" xfId="67" applyNumberFormat="1" applyFont="1"/>
    <xf numFmtId="3" fontId="45" fillId="0" borderId="0" xfId="67" applyNumberFormat="1" applyFont="1"/>
    <xf numFmtId="3" fontId="7" fillId="0" borderId="0" xfId="67" applyNumberFormat="1" applyFont="1"/>
    <xf numFmtId="10" fontId="45" fillId="0" borderId="70" xfId="30" applyNumberFormat="1" applyFont="1" applyBorder="1"/>
    <xf numFmtId="10" fontId="45" fillId="0" borderId="25" xfId="30" applyNumberFormat="1" applyFont="1" applyBorder="1"/>
    <xf numFmtId="10" fontId="45" fillId="0" borderId="71" xfId="30" applyNumberFormat="1" applyFont="1" applyBorder="1"/>
    <xf numFmtId="3" fontId="4" fillId="0" borderId="25" xfId="30" applyNumberFormat="1" applyFont="1" applyBorder="1"/>
    <xf numFmtId="194" fontId="4" fillId="0" borderId="25" xfId="30" applyNumberFormat="1" applyFont="1" applyBorder="1"/>
    <xf numFmtId="3" fontId="4" fillId="0" borderId="25" xfId="67" applyNumberFormat="1" applyFont="1" applyBorder="1" applyAlignment="1">
      <alignment horizontal="center"/>
    </xf>
    <xf numFmtId="3" fontId="45" fillId="0" borderId="27" xfId="30" applyNumberFormat="1" applyFont="1" applyBorder="1"/>
    <xf numFmtId="3" fontId="45" fillId="0" borderId="28" xfId="30" applyNumberFormat="1" applyFont="1" applyBorder="1"/>
    <xf numFmtId="3" fontId="42" fillId="0" borderId="28" xfId="30" applyNumberFormat="1" applyFont="1" applyBorder="1"/>
    <xf numFmtId="194" fontId="42" fillId="0" borderId="28" xfId="30" applyNumberFormat="1" applyFont="1" applyBorder="1"/>
    <xf numFmtId="3" fontId="4" fillId="0" borderId="28" xfId="67" applyNumberFormat="1" applyFont="1" applyBorder="1" applyAlignment="1">
      <alignment horizontal="center"/>
    </xf>
    <xf numFmtId="3" fontId="45" fillId="0" borderId="29" xfId="67" applyNumberFormat="1" applyFont="1" applyBorder="1" applyAlignment="1">
      <alignment horizontal="left"/>
    </xf>
    <xf numFmtId="3" fontId="4" fillId="0" borderId="27" xfId="30" applyNumberFormat="1" applyFont="1" applyBorder="1"/>
    <xf numFmtId="194" fontId="4" fillId="0" borderId="28" xfId="30" applyNumberFormat="1" applyFont="1" applyBorder="1"/>
    <xf numFmtId="3" fontId="4" fillId="0" borderId="29" xfId="67" applyNumberFormat="1" applyFont="1" applyBorder="1"/>
    <xf numFmtId="3" fontId="45" fillId="0" borderId="28" xfId="67" applyNumberFormat="1" applyFont="1" applyBorder="1" applyAlignment="1">
      <alignment horizontal="center"/>
    </xf>
    <xf numFmtId="3" fontId="42" fillId="0" borderId="0" xfId="67" applyNumberFormat="1" applyFont="1"/>
    <xf numFmtId="3" fontId="45" fillId="0" borderId="52" xfId="30" applyNumberFormat="1" applyFont="1" applyBorder="1"/>
    <xf numFmtId="3" fontId="45" fillId="0" borderId="51" xfId="30" applyNumberFormat="1" applyFont="1" applyBorder="1"/>
    <xf numFmtId="194" fontId="45" fillId="0" borderId="51" xfId="30" applyNumberFormat="1" applyFont="1" applyBorder="1"/>
    <xf numFmtId="3" fontId="48" fillId="0" borderId="51" xfId="67" applyNumberFormat="1" applyFont="1" applyBorder="1" applyAlignment="1">
      <alignment horizontal="center"/>
    </xf>
    <xf numFmtId="3" fontId="45" fillId="0" borderId="53" xfId="67" applyNumberFormat="1" applyFont="1" applyBorder="1" applyAlignment="1">
      <alignment horizontal="left"/>
    </xf>
    <xf numFmtId="3" fontId="5" fillId="0" borderId="40" xfId="67" applyNumberFormat="1" applyFont="1" applyBorder="1" applyAlignment="1">
      <alignment horizontal="center"/>
    </xf>
    <xf numFmtId="3" fontId="5" fillId="0" borderId="3" xfId="67" applyNumberFormat="1" applyFont="1" applyBorder="1" applyAlignment="1">
      <alignment horizontal="center"/>
    </xf>
    <xf numFmtId="193" fontId="5" fillId="0" borderId="3" xfId="67" applyNumberFormat="1" applyFont="1" applyBorder="1" applyAlignment="1">
      <alignment horizontal="center"/>
    </xf>
    <xf numFmtId="3" fontId="5" fillId="0" borderId="41" xfId="67" applyNumberFormat="1" applyFont="1" applyBorder="1" applyAlignment="1">
      <alignment horizontal="center"/>
    </xf>
    <xf numFmtId="193" fontId="5" fillId="0" borderId="12" xfId="67" applyNumberFormat="1" applyFont="1" applyBorder="1" applyAlignment="1">
      <alignment horizontal="center"/>
    </xf>
    <xf numFmtId="3" fontId="5" fillId="0" borderId="12" xfId="67" applyNumberFormat="1" applyFont="1" applyBorder="1" applyAlignment="1">
      <alignment horizontal="center"/>
    </xf>
    <xf numFmtId="3" fontId="5" fillId="0" borderId="73" xfId="67" applyNumberFormat="1" applyFont="1" applyBorder="1" applyAlignment="1">
      <alignment horizontal="center"/>
    </xf>
    <xf numFmtId="3" fontId="5" fillId="0" borderId="58" xfId="67" applyNumberFormat="1" applyFont="1" applyBorder="1" applyAlignment="1">
      <alignment horizontal="centerContinuous"/>
    </xf>
    <xf numFmtId="3" fontId="5" fillId="0" borderId="45" xfId="67" applyNumberFormat="1" applyFont="1" applyBorder="1" applyAlignment="1">
      <alignment horizontal="centerContinuous"/>
    </xf>
    <xf numFmtId="193" fontId="5" fillId="0" borderId="45" xfId="67" applyNumberFormat="1" applyFont="1" applyBorder="1" applyAlignment="1">
      <alignment horizontal="center"/>
    </xf>
    <xf numFmtId="3" fontId="5" fillId="0" borderId="46" xfId="67" applyNumberFormat="1" applyFont="1" applyBorder="1"/>
    <xf numFmtId="10" fontId="45" fillId="0" borderId="24" xfId="30" applyNumberFormat="1" applyFont="1" applyBorder="1"/>
    <xf numFmtId="164" fontId="42" fillId="0" borderId="0" xfId="67" applyNumberFormat="1" applyFont="1"/>
    <xf numFmtId="194" fontId="4" fillId="0" borderId="28" xfId="30" applyNumberFormat="1" applyFont="1" applyFill="1" applyBorder="1"/>
    <xf numFmtId="194" fontId="4" fillId="0" borderId="0" xfId="67" applyNumberFormat="1" applyFont="1"/>
    <xf numFmtId="3" fontId="4" fillId="0" borderId="40" xfId="67" applyNumberFormat="1" applyFont="1" applyBorder="1" applyAlignment="1">
      <alignment horizontal="center"/>
    </xf>
    <xf numFmtId="3" fontId="4" fillId="0" borderId="15" xfId="67" applyNumberFormat="1" applyFont="1" applyBorder="1" applyAlignment="1">
      <alignment horizontal="center"/>
    </xf>
    <xf numFmtId="3" fontId="4" fillId="0" borderId="3" xfId="67" applyNumberFormat="1" applyFont="1" applyBorder="1" applyAlignment="1">
      <alignment horizontal="center"/>
    </xf>
    <xf numFmtId="193" fontId="4" fillId="0" borderId="3" xfId="67" applyNumberFormat="1" applyFont="1" applyBorder="1" applyAlignment="1">
      <alignment horizontal="center"/>
    </xf>
    <xf numFmtId="3" fontId="4" fillId="0" borderId="41" xfId="67" applyNumberFormat="1" applyFont="1" applyBorder="1" applyAlignment="1">
      <alignment horizontal="center"/>
    </xf>
    <xf numFmtId="3" fontId="4" fillId="0" borderId="46" xfId="67" applyNumberFormat="1" applyFont="1" applyBorder="1"/>
    <xf numFmtId="10" fontId="45" fillId="0" borderId="70" xfId="67" applyNumberFormat="1" applyFont="1" applyBorder="1"/>
    <xf numFmtId="10" fontId="5" fillId="0" borderId="25" xfId="67" applyNumberFormat="1" applyFont="1" applyBorder="1"/>
    <xf numFmtId="10" fontId="45" fillId="0" borderId="71" xfId="67" applyNumberFormat="1" applyFont="1" applyBorder="1"/>
    <xf numFmtId="3" fontId="4" fillId="0" borderId="25" xfId="67" applyNumberFormat="1" applyFont="1" applyBorder="1"/>
    <xf numFmtId="193" fontId="4" fillId="0" borderId="25" xfId="67" applyNumberFormat="1" applyFont="1" applyBorder="1"/>
    <xf numFmtId="3" fontId="45" fillId="0" borderId="36" xfId="67" applyNumberFormat="1" applyFont="1" applyBorder="1"/>
    <xf numFmtId="3" fontId="45" fillId="0" borderId="37" xfId="67" applyNumberFormat="1" applyFont="1" applyBorder="1"/>
    <xf numFmtId="193" fontId="45" fillId="0" borderId="37" xfId="67" applyNumberFormat="1" applyFont="1" applyBorder="1"/>
    <xf numFmtId="3" fontId="6" fillId="0" borderId="37" xfId="67" applyNumberFormat="1" applyFont="1" applyBorder="1" applyAlignment="1">
      <alignment horizontal="center"/>
    </xf>
    <xf numFmtId="3" fontId="45" fillId="0" borderId="38" xfId="67" applyNumberFormat="1" applyFont="1" applyBorder="1"/>
    <xf numFmtId="3" fontId="4" fillId="0" borderId="36" xfId="67" applyNumberFormat="1" applyFont="1" applyBorder="1"/>
    <xf numFmtId="3" fontId="4" fillId="0" borderId="37" xfId="67" applyNumberFormat="1" applyFont="1" applyBorder="1"/>
    <xf numFmtId="3" fontId="4" fillId="0" borderId="38" xfId="67" applyNumberFormat="1" applyFont="1" applyBorder="1"/>
    <xf numFmtId="164" fontId="45" fillId="0" borderId="37" xfId="30" applyNumberFormat="1" applyFont="1" applyBorder="1"/>
    <xf numFmtId="3" fontId="48" fillId="0" borderId="37" xfId="67" applyNumberFormat="1" applyFont="1" applyBorder="1" applyAlignment="1">
      <alignment horizontal="center"/>
    </xf>
    <xf numFmtId="3" fontId="6" fillId="0" borderId="36" xfId="67" applyNumberFormat="1" applyFont="1" applyBorder="1"/>
    <xf numFmtId="3" fontId="6" fillId="0" borderId="37" xfId="67" applyNumberFormat="1" applyFont="1" applyBorder="1"/>
    <xf numFmtId="164" fontId="6" fillId="0" borderId="37" xfId="30" applyNumberFormat="1" applyFont="1" applyBorder="1"/>
    <xf numFmtId="3" fontId="6" fillId="0" borderId="38" xfId="67" applyNumberFormat="1" applyFont="1" applyBorder="1"/>
    <xf numFmtId="3" fontId="45" fillId="0" borderId="39" xfId="67" applyNumberFormat="1" applyFont="1" applyBorder="1"/>
    <xf numFmtId="3" fontId="45" fillId="0" borderId="18" xfId="67" applyNumberFormat="1" applyFont="1" applyBorder="1"/>
    <xf numFmtId="193" fontId="45" fillId="0" borderId="18" xfId="67" applyNumberFormat="1" applyFont="1" applyBorder="1"/>
    <xf numFmtId="3" fontId="48" fillId="0" borderId="18" xfId="67" applyNumberFormat="1" applyFont="1" applyBorder="1" applyAlignment="1">
      <alignment horizontal="center"/>
    </xf>
    <xf numFmtId="3" fontId="4" fillId="0" borderId="54" xfId="67" applyNumberFormat="1" applyFont="1" applyBorder="1" applyAlignment="1">
      <alignment horizontal="center"/>
    </xf>
    <xf numFmtId="3" fontId="5" fillId="0" borderId="17" xfId="67" applyNumberFormat="1" applyFont="1" applyBorder="1" applyAlignment="1">
      <alignment horizontal="centerContinuous"/>
    </xf>
    <xf numFmtId="3" fontId="5" fillId="0" borderId="15" xfId="67" applyNumberFormat="1" applyFont="1" applyBorder="1" applyAlignment="1">
      <alignment horizontal="centerContinuous"/>
    </xf>
    <xf numFmtId="3" fontId="5" fillId="0" borderId="59" xfId="67" applyNumberFormat="1" applyFont="1" applyBorder="1" applyAlignment="1">
      <alignment horizontal="centerContinuous"/>
    </xf>
    <xf numFmtId="3" fontId="4" fillId="0" borderId="0" xfId="67" applyNumberFormat="1" applyFont="1" applyBorder="1"/>
    <xf numFmtId="0" fontId="5" fillId="0" borderId="26" xfId="67" applyFont="1" applyBorder="1"/>
    <xf numFmtId="3" fontId="5" fillId="0" borderId="36" xfId="67" applyNumberFormat="1" applyFont="1" applyBorder="1"/>
    <xf numFmtId="3" fontId="5" fillId="0" borderId="37" xfId="67" applyNumberFormat="1" applyFont="1" applyBorder="1"/>
    <xf numFmtId="193" fontId="5" fillId="0" borderId="37" xfId="67" applyNumberFormat="1" applyFont="1" applyBorder="1"/>
    <xf numFmtId="3" fontId="5" fillId="0" borderId="38" xfId="67" applyNumberFormat="1" applyFont="1" applyBorder="1"/>
    <xf numFmtId="164" fontId="5" fillId="0" borderId="37" xfId="30" applyNumberFormat="1" applyFont="1" applyBorder="1"/>
    <xf numFmtId="3" fontId="7" fillId="0" borderId="37" xfId="67" applyNumberFormat="1" applyFont="1" applyBorder="1" applyAlignment="1">
      <alignment horizontal="center"/>
    </xf>
    <xf numFmtId="3" fontId="5" fillId="0" borderId="39" xfId="67" applyNumberFormat="1" applyFont="1" applyBorder="1"/>
    <xf numFmtId="3" fontId="5" fillId="0" borderId="18" xfId="67" applyNumberFormat="1" applyFont="1" applyBorder="1"/>
    <xf numFmtId="193" fontId="5" fillId="0" borderId="18" xfId="67" applyNumberFormat="1" applyFont="1" applyBorder="1"/>
    <xf numFmtId="3" fontId="7" fillId="0" borderId="18" xfId="67" applyNumberFormat="1" applyFont="1" applyBorder="1" applyAlignment="1">
      <alignment horizontal="center"/>
    </xf>
    <xf numFmtId="3" fontId="4" fillId="0" borderId="0" xfId="62" applyNumberFormat="1" applyFont="1"/>
    <xf numFmtId="193" fontId="4" fillId="0" borderId="0" xfId="62" applyNumberFormat="1" applyFont="1"/>
    <xf numFmtId="3" fontId="6" fillId="0" borderId="0" xfId="62" applyNumberFormat="1" applyFont="1" applyAlignment="1">
      <alignment horizontal="center"/>
    </xf>
    <xf numFmtId="3" fontId="5" fillId="0" borderId="0" xfId="62" applyNumberFormat="1" applyFont="1"/>
    <xf numFmtId="3" fontId="7" fillId="0" borderId="0" xfId="62" applyNumberFormat="1" applyFont="1"/>
    <xf numFmtId="0" fontId="5" fillId="0" borderId="0" xfId="62" applyFont="1"/>
    <xf numFmtId="10" fontId="4" fillId="0" borderId="0" xfId="62" applyNumberFormat="1" applyFont="1" applyBorder="1"/>
    <xf numFmtId="3" fontId="4" fillId="0" borderId="0" xfId="62" applyNumberFormat="1" applyFont="1" applyBorder="1"/>
    <xf numFmtId="193" fontId="4" fillId="0" borderId="0" xfId="62" applyNumberFormat="1" applyFont="1" applyBorder="1"/>
    <xf numFmtId="3" fontId="6" fillId="0" borderId="0" xfId="62" applyNumberFormat="1" applyFont="1" applyBorder="1" applyAlignment="1">
      <alignment horizontal="center"/>
    </xf>
    <xf numFmtId="10" fontId="5" fillId="0" borderId="24" xfId="62" applyNumberFormat="1" applyFont="1" applyBorder="1"/>
    <xf numFmtId="3" fontId="4" fillId="0" borderId="25" xfId="62" applyNumberFormat="1" applyFont="1" applyBorder="1"/>
    <xf numFmtId="193" fontId="4" fillId="0" borderId="25" xfId="62" applyNumberFormat="1" applyFont="1" applyBorder="1"/>
    <xf numFmtId="3" fontId="6" fillId="0" borderId="25" xfId="62" applyNumberFormat="1" applyFont="1" applyBorder="1" applyAlignment="1">
      <alignment horizontal="center"/>
    </xf>
    <xf numFmtId="0" fontId="5" fillId="0" borderId="26" xfId="62" applyFont="1" applyBorder="1"/>
    <xf numFmtId="3" fontId="5" fillId="0" borderId="36" xfId="62" applyNumberFormat="1" applyFont="1" applyBorder="1"/>
    <xf numFmtId="3" fontId="5" fillId="0" borderId="37" xfId="62" applyNumberFormat="1" applyFont="1" applyBorder="1"/>
    <xf numFmtId="193" fontId="5" fillId="0" borderId="37" xfId="62" applyNumberFormat="1" applyFont="1" applyBorder="1"/>
    <xf numFmtId="3" fontId="6" fillId="0" borderId="37" xfId="62" applyNumberFormat="1" applyFont="1" applyBorder="1" applyAlignment="1">
      <alignment horizontal="center"/>
    </xf>
    <xf numFmtId="3" fontId="5" fillId="0" borderId="38" xfId="62" applyNumberFormat="1" applyFont="1" applyBorder="1"/>
    <xf numFmtId="3" fontId="4" fillId="0" borderId="36" xfId="62" applyNumberFormat="1" applyFont="1" applyBorder="1"/>
    <xf numFmtId="3" fontId="4" fillId="0" borderId="37" xfId="62" applyNumberFormat="1" applyFont="1" applyBorder="1"/>
    <xf numFmtId="3" fontId="4" fillId="0" borderId="38" xfId="62" applyNumberFormat="1" applyFont="1" applyBorder="1"/>
    <xf numFmtId="3" fontId="7" fillId="0" borderId="37" xfId="62" applyNumberFormat="1" applyFont="1" applyBorder="1" applyAlignment="1">
      <alignment horizontal="center"/>
    </xf>
    <xf numFmtId="3" fontId="6" fillId="0" borderId="36" xfId="62" applyNumberFormat="1" applyFont="1" applyBorder="1"/>
    <xf numFmtId="3" fontId="6" fillId="0" borderId="37" xfId="62" applyNumberFormat="1" applyFont="1" applyBorder="1"/>
    <xf numFmtId="3" fontId="6" fillId="0" borderId="38" xfId="62" applyNumberFormat="1" applyFont="1" applyBorder="1"/>
    <xf numFmtId="3" fontId="5" fillId="0" borderId="39" xfId="62" applyNumberFormat="1" applyFont="1" applyBorder="1"/>
    <xf numFmtId="3" fontId="5" fillId="0" borderId="18" xfId="62" applyNumberFormat="1" applyFont="1" applyBorder="1"/>
    <xf numFmtId="193" fontId="5" fillId="0" borderId="18" xfId="62" applyNumberFormat="1" applyFont="1" applyBorder="1"/>
    <xf numFmtId="3" fontId="7" fillId="0" borderId="18" xfId="62" applyNumberFormat="1" applyFont="1" applyBorder="1" applyAlignment="1">
      <alignment horizontal="center"/>
    </xf>
    <xf numFmtId="3" fontId="5" fillId="0" borderId="40" xfId="62" applyNumberFormat="1" applyFont="1" applyBorder="1" applyAlignment="1">
      <alignment horizontal="center"/>
    </xf>
    <xf numFmtId="3" fontId="5" fillId="0" borderId="3" xfId="62" applyNumberFormat="1" applyFont="1" applyBorder="1" applyAlignment="1">
      <alignment horizontal="center"/>
    </xf>
    <xf numFmtId="193" fontId="5" fillId="0" borderId="3" xfId="62" applyNumberFormat="1" applyFont="1" applyBorder="1" applyAlignment="1">
      <alignment horizontal="center"/>
    </xf>
    <xf numFmtId="3" fontId="5" fillId="0" borderId="15" xfId="62" applyNumberFormat="1" applyFont="1" applyBorder="1" applyAlignment="1">
      <alignment horizontal="center"/>
    </xf>
    <xf numFmtId="3" fontId="7" fillId="0" borderId="41" xfId="62" applyNumberFormat="1" applyFont="1" applyBorder="1" applyAlignment="1">
      <alignment horizontal="center"/>
    </xf>
    <xf numFmtId="193" fontId="5" fillId="0" borderId="44" xfId="62" applyNumberFormat="1" applyFont="1" applyBorder="1" applyAlignment="1">
      <alignment horizontal="center"/>
    </xf>
    <xf numFmtId="3" fontId="5" fillId="0" borderId="45" xfId="62" applyNumberFormat="1" applyFont="1" applyBorder="1" applyAlignment="1">
      <alignment horizontal="center"/>
    </xf>
    <xf numFmtId="3" fontId="5" fillId="0" borderId="46" xfId="62" applyNumberFormat="1" applyFont="1" applyBorder="1" applyAlignment="1">
      <alignment horizontal="center"/>
    </xf>
    <xf numFmtId="10" fontId="5" fillId="0" borderId="24" xfId="30" applyNumberFormat="1" applyFont="1" applyBorder="1"/>
    <xf numFmtId="3" fontId="5" fillId="0" borderId="25" xfId="30" applyNumberFormat="1" applyFont="1" applyBorder="1"/>
    <xf numFmtId="164" fontId="5" fillId="0" borderId="25" xfId="30" applyNumberFormat="1" applyFont="1" applyBorder="1"/>
    <xf numFmtId="0" fontId="5" fillId="0" borderId="25" xfId="62" applyFont="1" applyBorder="1"/>
    <xf numFmtId="3" fontId="5" fillId="0" borderId="36" xfId="30" applyNumberFormat="1" applyFont="1" applyBorder="1"/>
    <xf numFmtId="3" fontId="5" fillId="0" borderId="75" xfId="30" applyNumberFormat="1" applyFont="1" applyBorder="1"/>
    <xf numFmtId="3" fontId="5" fillId="0" borderId="48" xfId="30" applyNumberFormat="1" applyFont="1" applyBorder="1"/>
    <xf numFmtId="0" fontId="5" fillId="0" borderId="38" xfId="62" applyFont="1" applyBorder="1"/>
    <xf numFmtId="3" fontId="5" fillId="0" borderId="27" xfId="62" applyNumberFormat="1" applyFont="1" applyBorder="1"/>
    <xf numFmtId="0" fontId="4" fillId="0" borderId="29" xfId="62" applyFont="1" applyBorder="1"/>
    <xf numFmtId="3" fontId="5" fillId="0" borderId="76" xfId="30" applyNumberFormat="1" applyFont="1" applyBorder="1"/>
    <xf numFmtId="3" fontId="5" fillId="0" borderId="49" xfId="30" applyNumberFormat="1" applyFont="1" applyBorder="1"/>
    <xf numFmtId="164" fontId="5" fillId="0" borderId="28" xfId="30" applyNumberFormat="1" applyFont="1" applyBorder="1"/>
    <xf numFmtId="0" fontId="7" fillId="0" borderId="28" xfId="62" applyFont="1" applyBorder="1" applyAlignment="1">
      <alignment horizontal="center"/>
    </xf>
    <xf numFmtId="0" fontId="5" fillId="0" borderId="29" xfId="62" applyFont="1" applyBorder="1"/>
    <xf numFmtId="3" fontId="4" fillId="0" borderId="27" xfId="62" applyNumberFormat="1" applyFont="1" applyBorder="1"/>
    <xf numFmtId="3" fontId="5" fillId="0" borderId="27" xfId="30" applyNumberFormat="1" applyFont="1" applyBorder="1"/>
    <xf numFmtId="3" fontId="5" fillId="0" borderId="52" xfId="62" applyNumberFormat="1" applyFont="1" applyBorder="1"/>
    <xf numFmtId="3" fontId="4" fillId="0" borderId="51" xfId="30" applyNumberFormat="1" applyFont="1" applyBorder="1"/>
    <xf numFmtId="0" fontId="5" fillId="0" borderId="53" xfId="62" applyFont="1" applyBorder="1"/>
    <xf numFmtId="0" fontId="5" fillId="0" borderId="40" xfId="62" applyFont="1" applyBorder="1" applyAlignment="1">
      <alignment horizontal="center"/>
    </xf>
    <xf numFmtId="0" fontId="5" fillId="0" borderId="3" xfId="62" applyFont="1" applyBorder="1" applyAlignment="1">
      <alignment horizontal="center"/>
    </xf>
    <xf numFmtId="0" fontId="5" fillId="0" borderId="55" xfId="62" applyFont="1" applyBorder="1" applyAlignment="1">
      <alignment horizontal="center"/>
    </xf>
    <xf numFmtId="0" fontId="5" fillId="0" borderId="39" xfId="62" applyFont="1" applyBorder="1" applyAlignment="1">
      <alignment horizontal="center"/>
    </xf>
    <xf numFmtId="0" fontId="5" fillId="0" borderId="18" xfId="62" applyFont="1" applyBorder="1" applyAlignment="1">
      <alignment horizontal="center"/>
    </xf>
    <xf numFmtId="0" fontId="5" fillId="0" borderId="57" xfId="62" applyFont="1" applyBorder="1" applyAlignment="1">
      <alignment horizontal="center"/>
    </xf>
    <xf numFmtId="0" fontId="5" fillId="0" borderId="62" xfId="62" applyFont="1" applyBorder="1" applyAlignment="1">
      <alignment horizontal="center"/>
    </xf>
    <xf numFmtId="0" fontId="5" fillId="0" borderId="44" xfId="62" applyFont="1" applyBorder="1" applyAlignment="1">
      <alignment horizontal="center"/>
    </xf>
    <xf numFmtId="0" fontId="5" fillId="0" borderId="46" xfId="62" applyFont="1" applyBorder="1" applyAlignment="1">
      <alignment horizontal="center"/>
    </xf>
    <xf numFmtId="10" fontId="5" fillId="0" borderId="24" xfId="36" applyNumberFormat="1" applyFont="1" applyBorder="1"/>
    <xf numFmtId="3" fontId="5" fillId="0" borderId="25" xfId="36" applyNumberFormat="1" applyFont="1" applyBorder="1"/>
    <xf numFmtId="3" fontId="5" fillId="0" borderId="36" xfId="36" applyNumberFormat="1" applyFont="1" applyBorder="1"/>
    <xf numFmtId="3" fontId="5" fillId="0" borderId="75" xfId="36" applyNumberFormat="1" applyFont="1" applyBorder="1"/>
    <xf numFmtId="3" fontId="5" fillId="0" borderId="37" xfId="36" applyNumberFormat="1" applyFont="1" applyBorder="1"/>
    <xf numFmtId="3" fontId="5" fillId="0" borderId="48" xfId="36" applyNumberFormat="1" applyFont="1" applyBorder="1"/>
    <xf numFmtId="3" fontId="4" fillId="0" borderId="49" xfId="36" applyNumberFormat="1" applyFont="1" applyBorder="1"/>
    <xf numFmtId="3" fontId="5" fillId="0" borderId="49" xfId="36" applyNumberFormat="1" applyFont="1" applyBorder="1"/>
    <xf numFmtId="3" fontId="5" fillId="0" borderId="28" xfId="36" applyNumberFormat="1" applyFont="1" applyBorder="1"/>
    <xf numFmtId="3" fontId="5" fillId="0" borderId="76" xfId="36" applyNumberFormat="1" applyFont="1" applyBorder="1"/>
    <xf numFmtId="0" fontId="5" fillId="0" borderId="28" xfId="62" applyFont="1" applyBorder="1" applyAlignment="1">
      <alignment horizontal="center"/>
    </xf>
    <xf numFmtId="3" fontId="5" fillId="0" borderId="27" xfId="36" applyNumberFormat="1" applyFont="1" applyBorder="1"/>
    <xf numFmtId="0" fontId="6" fillId="0" borderId="0" xfId="62" applyFont="1"/>
    <xf numFmtId="3" fontId="6" fillId="0" borderId="27" xfId="62" applyNumberFormat="1" applyFont="1" applyBorder="1"/>
    <xf numFmtId="3" fontId="6" fillId="0" borderId="49" xfId="36" applyNumberFormat="1" applyFont="1" applyBorder="1"/>
    <xf numFmtId="3" fontId="6" fillId="0" borderId="28" xfId="36" applyNumberFormat="1" applyFont="1" applyBorder="1"/>
    <xf numFmtId="3" fontId="6" fillId="0" borderId="0" xfId="62" applyNumberFormat="1" applyFont="1"/>
    <xf numFmtId="3" fontId="4" fillId="0" borderId="48" xfId="62" applyNumberFormat="1" applyFont="1" applyBorder="1"/>
    <xf numFmtId="3" fontId="5" fillId="0" borderId="51" xfId="36" applyNumberFormat="1" applyFont="1" applyBorder="1"/>
    <xf numFmtId="3" fontId="4" fillId="0" borderId="51" xfId="36" applyNumberFormat="1" applyFont="1" applyBorder="1"/>
    <xf numFmtId="0" fontId="4" fillId="0" borderId="15" xfId="62" applyFont="1" applyBorder="1" applyAlignment="1">
      <alignment horizontal="center"/>
    </xf>
    <xf numFmtId="0" fontId="4" fillId="0" borderId="4" xfId="62" applyFont="1" applyBorder="1" applyAlignment="1">
      <alignment horizontal="center"/>
    </xf>
    <xf numFmtId="0" fontId="5" fillId="0" borderId="55" xfId="62" applyFont="1" applyBorder="1"/>
    <xf numFmtId="3" fontId="5" fillId="0" borderId="0" xfId="36" applyNumberFormat="1" applyFont="1" applyBorder="1"/>
    <xf numFmtId="0" fontId="4" fillId="0" borderId="25" xfId="67" applyFont="1" applyBorder="1" applyAlignment="1">
      <alignment horizontal="center"/>
    </xf>
    <xf numFmtId="0" fontId="5" fillId="0" borderId="29" xfId="67" applyFont="1" applyBorder="1"/>
    <xf numFmtId="3" fontId="5" fillId="0" borderId="30" xfId="36" applyNumberFormat="1" applyFont="1" applyBorder="1"/>
    <xf numFmtId="3" fontId="4" fillId="0" borderId="31" xfId="36" applyNumberFormat="1" applyFont="1" applyBorder="1"/>
    <xf numFmtId="0" fontId="4" fillId="0" borderId="31" xfId="67" applyFont="1" applyBorder="1"/>
    <xf numFmtId="0" fontId="5" fillId="0" borderId="32" xfId="67" applyFont="1" applyBorder="1"/>
    <xf numFmtId="0" fontId="5" fillId="0" borderId="35" xfId="67" applyFont="1" applyBorder="1" applyAlignment="1">
      <alignment horizontal="center" vertical="center"/>
    </xf>
    <xf numFmtId="164" fontId="5" fillId="0" borderId="25" xfId="36" applyNumberFormat="1" applyFont="1" applyBorder="1"/>
    <xf numFmtId="164" fontId="5" fillId="0" borderId="37" xfId="36" applyNumberFormat="1" applyFont="1" applyBorder="1"/>
    <xf numFmtId="0" fontId="5" fillId="0" borderId="37" xfId="67" applyFont="1" applyBorder="1" applyAlignment="1">
      <alignment horizontal="center"/>
    </xf>
    <xf numFmtId="0" fontId="5" fillId="0" borderId="38" xfId="67" applyFont="1" applyBorder="1"/>
    <xf numFmtId="3" fontId="5" fillId="0" borderId="52" xfId="36" applyNumberFormat="1" applyFont="1" applyBorder="1"/>
    <xf numFmtId="0" fontId="4" fillId="0" borderId="51" xfId="67" applyFont="1" applyBorder="1"/>
    <xf numFmtId="0" fontId="5" fillId="0" borderId="53" xfId="67" applyFont="1" applyBorder="1"/>
    <xf numFmtId="0" fontId="5" fillId="0" borderId="60" xfId="67" applyFont="1" applyBorder="1" applyAlignment="1">
      <alignment horizontal="center" vertical="center"/>
    </xf>
    <xf numFmtId="3" fontId="4" fillId="0" borderId="0" xfId="36" applyNumberFormat="1" applyFont="1" applyBorder="1"/>
    <xf numFmtId="0" fontId="5" fillId="0" borderId="25" xfId="67" applyFont="1" applyBorder="1"/>
    <xf numFmtId="3" fontId="4" fillId="0" borderId="37" xfId="36" applyNumberFormat="1" applyFont="1" applyBorder="1"/>
    <xf numFmtId="0" fontId="4" fillId="0" borderId="37" xfId="67" applyFont="1" applyBorder="1"/>
    <xf numFmtId="0" fontId="4" fillId="0" borderId="28" xfId="67" applyFont="1" applyBorder="1"/>
    <xf numFmtId="0" fontId="4" fillId="0" borderId="54" xfId="67" applyFont="1" applyBorder="1" applyAlignment="1">
      <alignment horizontal="center"/>
    </xf>
    <xf numFmtId="0" fontId="4" fillId="0" borderId="4" xfId="67" applyFont="1" applyBorder="1" applyAlignment="1">
      <alignment horizontal="center"/>
    </xf>
    <xf numFmtId="164" fontId="4" fillId="0" borderId="37" xfId="36" applyNumberFormat="1" applyFont="1" applyBorder="1"/>
    <xf numFmtId="0" fontId="4" fillId="0" borderId="37" xfId="67" applyFont="1" applyBorder="1" applyAlignment="1">
      <alignment horizontal="center"/>
    </xf>
    <xf numFmtId="164" fontId="4" fillId="0" borderId="51" xfId="36" applyNumberFormat="1" applyFont="1" applyBorder="1"/>
    <xf numFmtId="0" fontId="4" fillId="0" borderId="51" xfId="67" applyFont="1" applyBorder="1" applyAlignment="1">
      <alignment horizontal="center"/>
    </xf>
    <xf numFmtId="0" fontId="5" fillId="0" borderId="62" xfId="67" applyFont="1" applyBorder="1" applyAlignment="1">
      <alignment horizontal="center" vertical="center" wrapText="1"/>
    </xf>
    <xf numFmtId="164" fontId="5" fillId="0" borderId="44" xfId="36" applyNumberFormat="1" applyFont="1" applyBorder="1" applyAlignment="1">
      <alignment horizontal="center" vertical="center" wrapText="1"/>
    </xf>
    <xf numFmtId="0" fontId="5" fillId="0" borderId="45" xfId="67" applyFont="1" applyBorder="1" applyAlignment="1">
      <alignment horizontal="center" vertical="center" wrapText="1"/>
    </xf>
    <xf numFmtId="0" fontId="5" fillId="0" borderId="63" xfId="67" applyFont="1" applyBorder="1" applyAlignment="1">
      <alignment horizontal="center" vertical="center" wrapText="1"/>
    </xf>
    <xf numFmtId="164" fontId="5" fillId="0" borderId="0" xfId="36" applyNumberFormat="1" applyFont="1" applyAlignment="1">
      <alignment horizontal="center"/>
    </xf>
    <xf numFmtId="164" fontId="5" fillId="0" borderId="0" xfId="36" applyNumberFormat="1" applyFont="1" applyBorder="1"/>
    <xf numFmtId="3" fontId="4" fillId="0" borderId="27" xfId="36" applyNumberFormat="1" applyFont="1" applyBorder="1" applyAlignment="1">
      <alignment horizontal="right"/>
    </xf>
    <xf numFmtId="164" fontId="5" fillId="0" borderId="34" xfId="36" applyNumberFormat="1" applyFont="1" applyBorder="1" applyAlignment="1">
      <alignment horizontal="center"/>
    </xf>
    <xf numFmtId="0" fontId="5" fillId="0" borderId="77" xfId="67" applyFont="1" applyBorder="1" applyAlignment="1">
      <alignment horizontal="center"/>
    </xf>
    <xf numFmtId="1" fontId="5" fillId="0" borderId="0" xfId="36" applyNumberFormat="1" applyFont="1" applyBorder="1"/>
    <xf numFmtId="164" fontId="5" fillId="0" borderId="34" xfId="36" applyNumberFormat="1" applyFont="1" applyBorder="1" applyAlignment="1">
      <alignment horizontal="center" vertical="center"/>
    </xf>
    <xf numFmtId="0" fontId="5" fillId="0" borderId="43" xfId="67" applyFont="1" applyBorder="1" applyAlignment="1">
      <alignment horizontal="center" vertical="center"/>
    </xf>
    <xf numFmtId="0" fontId="5" fillId="0" borderId="77" xfId="67" applyFont="1" applyBorder="1" applyAlignment="1">
      <alignment horizontal="center" vertical="center"/>
    </xf>
    <xf numFmtId="193" fontId="4" fillId="0" borderId="0" xfId="67" applyNumberFormat="1" applyFont="1" applyBorder="1"/>
    <xf numFmtId="3" fontId="4" fillId="0" borderId="0" xfId="67" applyNumberFormat="1" applyFont="1" applyBorder="1" applyAlignment="1">
      <alignment horizontal="center"/>
    </xf>
    <xf numFmtId="3" fontId="5" fillId="0" borderId="0" xfId="67" applyNumberFormat="1" applyFont="1"/>
    <xf numFmtId="3" fontId="4" fillId="0" borderId="37" xfId="67" applyNumberFormat="1" applyFont="1" applyBorder="1" applyAlignment="1">
      <alignment horizontal="center"/>
    </xf>
    <xf numFmtId="193" fontId="4" fillId="0" borderId="37" xfId="67" applyNumberFormat="1" applyFont="1" applyBorder="1"/>
    <xf numFmtId="3" fontId="5" fillId="0" borderId="37" xfId="67" applyNumberFormat="1" applyFont="1" applyBorder="1" applyAlignment="1">
      <alignment horizontal="center"/>
    </xf>
    <xf numFmtId="3" fontId="6" fillId="0" borderId="0" xfId="67" applyNumberFormat="1" applyFont="1"/>
    <xf numFmtId="3" fontId="5" fillId="0" borderId="39" xfId="67" applyNumberFormat="1" applyFont="1" applyBorder="1" applyAlignment="1">
      <alignment horizontal="right"/>
    </xf>
    <xf numFmtId="3" fontId="5" fillId="0" borderId="18" xfId="67" applyNumberFormat="1" applyFont="1" applyBorder="1" applyAlignment="1">
      <alignment horizontal="center"/>
    </xf>
    <xf numFmtId="3" fontId="5" fillId="0" borderId="73" xfId="67" applyNumberFormat="1" applyFont="1" applyBorder="1"/>
    <xf numFmtId="3" fontId="4" fillId="0" borderId="0" xfId="67" applyNumberFormat="1" applyFont="1" applyAlignment="1">
      <alignment horizontal="center"/>
    </xf>
    <xf numFmtId="2" fontId="5" fillId="0" borderId="33" xfId="67" applyNumberFormat="1" applyFont="1" applyBorder="1" applyAlignment="1">
      <alignment horizontal="center" vertical="center" wrapText="1"/>
    </xf>
    <xf numFmtId="2" fontId="5" fillId="0" borderId="34" xfId="67" applyNumberFormat="1" applyFont="1" applyBorder="1" applyAlignment="1">
      <alignment horizontal="center" vertical="center" wrapText="1"/>
    </xf>
    <xf numFmtId="2" fontId="5" fillId="0" borderId="43" xfId="67" applyNumberFormat="1" applyFont="1" applyBorder="1" applyAlignment="1">
      <alignment horizontal="center" vertical="center" wrapText="1"/>
    </xf>
    <xf numFmtId="2" fontId="5" fillId="0" borderId="35" xfId="67" applyNumberFormat="1" applyFont="1" applyBorder="1" applyAlignment="1">
      <alignment horizontal="center" vertical="center" wrapText="1"/>
    </xf>
    <xf numFmtId="193" fontId="4" fillId="0" borderId="0" xfId="67" applyNumberFormat="1" applyFont="1" applyAlignment="1">
      <alignment horizontal="left" vertical="top"/>
    </xf>
    <xf numFmtId="0" fontId="5" fillId="0" borderId="33" xfId="67" applyFont="1" applyBorder="1" applyAlignment="1">
      <alignment horizontal="center" vertical="center" wrapText="1"/>
    </xf>
    <xf numFmtId="0" fontId="5" fillId="0" borderId="34" xfId="67" applyFont="1" applyBorder="1" applyAlignment="1">
      <alignment horizontal="center" vertical="center" wrapText="1"/>
    </xf>
    <xf numFmtId="164" fontId="5" fillId="0" borderId="34" xfId="36" applyNumberFormat="1" applyFont="1" applyBorder="1" applyAlignment="1">
      <alignment horizontal="center" vertical="center" wrapText="1"/>
    </xf>
    <xf numFmtId="0" fontId="5" fillId="0" borderId="43" xfId="67" applyFont="1" applyBorder="1" applyAlignment="1">
      <alignment horizontal="center" vertical="center" wrapText="1"/>
    </xf>
    <xf numFmtId="0" fontId="5" fillId="0" borderId="77" xfId="67" applyFont="1" applyBorder="1" applyAlignment="1">
      <alignment horizontal="center" vertical="center" wrapText="1"/>
    </xf>
    <xf numFmtId="0" fontId="4" fillId="0" borderId="29" xfId="67" quotePrefix="1" applyFont="1" applyBorder="1"/>
    <xf numFmtId="10" fontId="5" fillId="0" borderId="0" xfId="67" applyNumberFormat="1" applyFont="1" applyBorder="1"/>
    <xf numFmtId="164" fontId="5" fillId="0" borderId="28" xfId="36" applyNumberFormat="1" applyFont="1" applyBorder="1"/>
    <xf numFmtId="3" fontId="4" fillId="7" borderId="27" xfId="36" applyNumberFormat="1" applyFont="1" applyFill="1" applyBorder="1"/>
    <xf numFmtId="164" fontId="4" fillId="7" borderId="28" xfId="36" applyNumberFormat="1" applyFont="1" applyFill="1" applyBorder="1"/>
    <xf numFmtId="3" fontId="7" fillId="0" borderId="27" xfId="36" applyNumberFormat="1" applyFont="1" applyBorder="1"/>
    <xf numFmtId="0" fontId="4" fillId="0" borderId="3" xfId="67" applyFont="1" applyBorder="1" applyAlignment="1">
      <alignment horizontal="center"/>
    </xf>
    <xf numFmtId="0" fontId="4" fillId="0" borderId="55" xfId="67" applyFont="1" applyBorder="1"/>
    <xf numFmtId="0" fontId="5" fillId="0" borderId="44" xfId="67" applyFont="1" applyBorder="1" applyAlignment="1">
      <alignment horizontal="center"/>
    </xf>
    <xf numFmtId="0" fontId="5" fillId="0" borderId="45" xfId="67" applyFont="1" applyBorder="1" applyAlignment="1">
      <alignment horizontal="center"/>
    </xf>
    <xf numFmtId="0" fontId="5" fillId="0" borderId="63" xfId="67" applyFont="1" applyBorder="1" applyAlignment="1">
      <alignment horizontal="center"/>
    </xf>
    <xf numFmtId="0" fontId="4" fillId="0" borderId="0" xfId="68" applyFont="1"/>
    <xf numFmtId="164" fontId="4" fillId="0" borderId="1" xfId="39" applyNumberFormat="1" applyFont="1" applyBorder="1" applyAlignment="1">
      <alignment horizontal="right"/>
    </xf>
    <xf numFmtId="0" fontId="4" fillId="0" borderId="1" xfId="68" applyFont="1" applyFill="1" applyBorder="1" applyAlignment="1">
      <alignment vertical="center"/>
    </xf>
    <xf numFmtId="164" fontId="5" fillId="0" borderId="1" xfId="39" applyNumberFormat="1" applyFont="1" applyBorder="1" applyAlignment="1">
      <alignment horizontal="right"/>
    </xf>
    <xf numFmtId="0" fontId="5" fillId="0" borderId="1" xfId="68" applyFont="1" applyBorder="1" applyAlignment="1">
      <alignment vertical="center"/>
    </xf>
    <xf numFmtId="164" fontId="5" fillId="0" borderId="1" xfId="39" applyNumberFormat="1" applyFont="1" applyBorder="1" applyAlignment="1">
      <alignment horizontal="center"/>
    </xf>
    <xf numFmtId="3" fontId="5" fillId="0" borderId="1" xfId="68" applyNumberFormat="1" applyFont="1" applyBorder="1" applyAlignment="1">
      <alignment vertical="center"/>
    </xf>
    <xf numFmtId="3" fontId="4" fillId="0" borderId="1" xfId="68" applyNumberFormat="1" applyFont="1" applyBorder="1" applyAlignment="1">
      <alignment vertical="center"/>
    </xf>
    <xf numFmtId="0" fontId="4" fillId="0" borderId="1" xfId="68" applyFont="1" applyBorder="1" applyAlignment="1">
      <alignment vertical="center"/>
    </xf>
    <xf numFmtId="164" fontId="5" fillId="0" borderId="1" xfId="39" applyNumberFormat="1" applyFont="1" applyBorder="1" applyAlignment="1">
      <alignment horizontal="right" wrapText="1"/>
    </xf>
    <xf numFmtId="0" fontId="4" fillId="5" borderId="1" xfId="68" applyFont="1" applyFill="1" applyBorder="1"/>
    <xf numFmtId="0" fontId="5" fillId="0" borderId="1" xfId="68" applyFont="1" applyBorder="1" applyAlignment="1">
      <alignment horizontal="center" vertical="center" wrapText="1"/>
    </xf>
    <xf numFmtId="164" fontId="5" fillId="0" borderId="1" xfId="39" applyNumberFormat="1" applyFont="1" applyBorder="1" applyAlignment="1">
      <alignment horizontal="right" vertical="center" wrapText="1"/>
    </xf>
    <xf numFmtId="164" fontId="4" fillId="0" borderId="1" xfId="68" applyNumberFormat="1" applyFont="1" applyBorder="1" applyAlignment="1">
      <alignment horizontal="right" vertical="center" wrapText="1"/>
    </xf>
    <xf numFmtId="164" fontId="4" fillId="5" borderId="1" xfId="39" applyNumberFormat="1" applyFont="1" applyFill="1" applyBorder="1" applyAlignment="1">
      <alignment horizontal="right"/>
    </xf>
    <xf numFmtId="164" fontId="4" fillId="0" borderId="1" xfId="39" applyNumberFormat="1" applyFont="1" applyBorder="1" applyAlignment="1">
      <alignment horizontal="center" vertical="center" wrapText="1"/>
    </xf>
    <xf numFmtId="0" fontId="4" fillId="5" borderId="1" xfId="68" applyFont="1" applyFill="1" applyBorder="1" applyAlignment="1">
      <alignment horizontal="center"/>
    </xf>
    <xf numFmtId="0" fontId="4" fillId="5" borderId="1" xfId="68" applyFont="1" applyFill="1" applyBorder="1" applyAlignment="1">
      <alignment vertical="center"/>
    </xf>
    <xf numFmtId="0" fontId="5" fillId="5" borderId="1" xfId="68" applyFont="1" applyFill="1" applyBorder="1"/>
    <xf numFmtId="164" fontId="4" fillId="0" borderId="1" xfId="39" applyNumberFormat="1" applyFont="1" applyBorder="1" applyAlignment="1">
      <alignment horizontal="right" vertical="center" wrapText="1"/>
    </xf>
    <xf numFmtId="0" fontId="4" fillId="0" borderId="1" xfId="68" applyFont="1" applyBorder="1" applyAlignment="1">
      <alignment horizontal="left" vertical="top"/>
    </xf>
    <xf numFmtId="164" fontId="5" fillId="0" borderId="1" xfId="68" applyNumberFormat="1" applyFont="1" applyBorder="1" applyAlignment="1">
      <alignment horizontal="right" vertical="center" wrapText="1"/>
    </xf>
    <xf numFmtId="0" fontId="4" fillId="0" borderId="1" xfId="68" applyFont="1" applyBorder="1" applyAlignment="1">
      <alignment horizontal="right" vertical="center" wrapText="1"/>
    </xf>
    <xf numFmtId="0" fontId="5" fillId="0" borderId="1" xfId="68" applyFont="1" applyBorder="1" applyAlignment="1">
      <alignment horizontal="left" vertical="top"/>
    </xf>
    <xf numFmtId="164" fontId="4" fillId="0" borderId="0" xfId="68" applyNumberFormat="1" applyFont="1"/>
    <xf numFmtId="0" fontId="5" fillId="0" borderId="1" xfId="68" applyFont="1" applyBorder="1" applyAlignment="1">
      <alignment vertical="center" wrapText="1"/>
    </xf>
    <xf numFmtId="0" fontId="7" fillId="0" borderId="1" xfId="68" applyFont="1" applyBorder="1" applyAlignment="1">
      <alignment horizontal="center" vertical="center" wrapText="1"/>
    </xf>
    <xf numFmtId="0" fontId="5" fillId="0" borderId="1" xfId="68" applyFont="1" applyBorder="1" applyAlignment="1">
      <alignment horizontal="left" vertical="top" wrapText="1"/>
    </xf>
    <xf numFmtId="0" fontId="4" fillId="0" borderId="0" xfId="71" applyFont="1"/>
    <xf numFmtId="3" fontId="4" fillId="0" borderId="0" xfId="71" applyNumberFormat="1" applyFont="1"/>
    <xf numFmtId="3" fontId="4" fillId="0" borderId="0" xfId="71" applyNumberFormat="1" applyFont="1" applyAlignment="1">
      <alignment horizontal="right"/>
    </xf>
    <xf numFmtId="0" fontId="4" fillId="0" borderId="0" xfId="71" applyFont="1" applyAlignment="1">
      <alignment horizontal="left"/>
    </xf>
    <xf numFmtId="0" fontId="4" fillId="0" borderId="0" xfId="71" applyFont="1" applyAlignment="1">
      <alignment wrapText="1"/>
    </xf>
    <xf numFmtId="3" fontId="4" fillId="0" borderId="0" xfId="71" applyNumberFormat="1" applyFont="1" applyAlignment="1">
      <alignment wrapText="1"/>
    </xf>
    <xf numFmtId="3" fontId="4" fillId="0" borderId="1" xfId="71" applyNumberFormat="1" applyFont="1" applyBorder="1" applyAlignment="1">
      <alignment wrapText="1"/>
    </xf>
    <xf numFmtId="3" fontId="4" fillId="0" borderId="1" xfId="71" applyNumberFormat="1" applyFont="1" applyBorder="1" applyAlignment="1">
      <alignment horizontal="right" wrapText="1"/>
    </xf>
    <xf numFmtId="0" fontId="4" fillId="0" borderId="1" xfId="71" applyFont="1" applyBorder="1" applyAlignment="1">
      <alignment wrapText="1"/>
    </xf>
    <xf numFmtId="0" fontId="4" fillId="0" borderId="1" xfId="71" applyFont="1" applyBorder="1" applyAlignment="1">
      <alignment horizontal="left" wrapText="1"/>
    </xf>
    <xf numFmtId="0" fontId="4" fillId="0" borderId="1" xfId="71" applyFont="1" applyBorder="1" applyAlignment="1">
      <alignment horizontal="center" wrapText="1"/>
    </xf>
    <xf numFmtId="0" fontId="4" fillId="7" borderId="0" xfId="71" applyFont="1" applyFill="1"/>
    <xf numFmtId="3" fontId="4" fillId="7" borderId="0" xfId="71" applyNumberFormat="1" applyFont="1" applyFill="1"/>
    <xf numFmtId="3" fontId="5" fillId="7" borderId="1" xfId="71" applyNumberFormat="1" applyFont="1" applyFill="1" applyBorder="1" applyAlignment="1">
      <alignment horizontal="right"/>
    </xf>
    <xf numFmtId="0" fontId="5" fillId="7" borderId="1" xfId="71" applyFont="1" applyFill="1" applyBorder="1" applyAlignment="1">
      <alignment horizontal="center"/>
    </xf>
    <xf numFmtId="0" fontId="5" fillId="7" borderId="1" xfId="71" applyFont="1" applyFill="1" applyBorder="1" applyAlignment="1">
      <alignment horizontal="left"/>
    </xf>
    <xf numFmtId="3" fontId="4" fillId="7" borderId="1" xfId="71" applyNumberFormat="1" applyFont="1" applyFill="1" applyBorder="1" applyAlignment="1">
      <alignment horizontal="right"/>
    </xf>
    <xf numFmtId="3" fontId="4" fillId="7" borderId="1" xfId="71" applyNumberFormat="1" applyFont="1" applyFill="1" applyBorder="1" applyAlignment="1">
      <alignment horizontal="center"/>
    </xf>
    <xf numFmtId="164" fontId="4" fillId="0" borderId="1" xfId="26" applyNumberFormat="1" applyFont="1" applyBorder="1" applyAlignment="1">
      <alignment horizontal="center"/>
    </xf>
    <xf numFmtId="164" fontId="4" fillId="0" borderId="1" xfId="26" applyNumberFormat="1" applyFont="1" applyBorder="1"/>
    <xf numFmtId="0" fontId="4" fillId="0" borderId="1" xfId="71" applyFont="1" applyBorder="1" applyAlignment="1">
      <alignment horizontal="center"/>
    </xf>
    <xf numFmtId="0" fontId="4" fillId="0" borderId="1" xfId="71" applyFont="1" applyBorder="1"/>
    <xf numFmtId="0" fontId="4" fillId="7" borderId="1" xfId="71" applyFont="1" applyFill="1" applyBorder="1" applyAlignment="1">
      <alignment horizontal="center"/>
    </xf>
    <xf numFmtId="164" fontId="5" fillId="0" borderId="1" xfId="26" applyNumberFormat="1" applyFont="1" applyBorder="1"/>
    <xf numFmtId="0" fontId="5" fillId="0" borderId="1" xfId="71" applyFont="1" applyBorder="1"/>
    <xf numFmtId="3" fontId="5" fillId="7" borderId="1" xfId="71" applyNumberFormat="1" applyFont="1" applyFill="1" applyBorder="1" applyAlignment="1">
      <alignment horizontal="center"/>
    </xf>
    <xf numFmtId="0" fontId="4" fillId="7" borderId="1" xfId="71" applyFont="1" applyFill="1" applyBorder="1" applyAlignment="1">
      <alignment horizontal="left" vertical="center" wrapText="1"/>
    </xf>
    <xf numFmtId="165" fontId="4" fillId="7" borderId="1" xfId="82" applyNumberFormat="1" applyFont="1" applyFill="1" applyBorder="1" applyAlignment="1">
      <alignment horizontal="right"/>
    </xf>
    <xf numFmtId="0" fontId="4" fillId="7" borderId="1" xfId="71" applyFont="1" applyFill="1" applyBorder="1" applyAlignment="1">
      <alignment horizontal="left"/>
    </xf>
    <xf numFmtId="164" fontId="4" fillId="7" borderId="1" xfId="26" applyNumberFormat="1" applyFont="1" applyFill="1" applyBorder="1" applyAlignment="1">
      <alignment horizontal="center"/>
    </xf>
    <xf numFmtId="4" fontId="4" fillId="7" borderId="0" xfId="71" applyNumberFormat="1" applyFont="1" applyFill="1"/>
    <xf numFmtId="0" fontId="5" fillId="7" borderId="0" xfId="71" applyFont="1" applyFill="1"/>
    <xf numFmtId="3" fontId="5" fillId="7" borderId="0" xfId="71" applyNumberFormat="1" applyFont="1" applyFill="1"/>
    <xf numFmtId="4" fontId="5" fillId="7" borderId="0" xfId="71" applyNumberFormat="1" applyFont="1" applyFill="1"/>
    <xf numFmtId="164" fontId="5" fillId="0" borderId="1" xfId="26" applyNumberFormat="1" applyFont="1" applyBorder="1" applyAlignment="1">
      <alignment horizontal="center"/>
    </xf>
    <xf numFmtId="0" fontId="5" fillId="9" borderId="1" xfId="71" applyFont="1" applyFill="1" applyBorder="1" applyAlignment="1">
      <alignment horizontal="center" vertical="center" wrapText="1"/>
    </xf>
    <xf numFmtId="3" fontId="5" fillId="9" borderId="1" xfId="71" applyNumberFormat="1" applyFont="1" applyFill="1" applyBorder="1" applyAlignment="1">
      <alignment horizontal="center" vertical="center" wrapText="1"/>
    </xf>
    <xf numFmtId="0" fontId="5" fillId="9" borderId="1" xfId="71" applyFont="1" applyFill="1" applyBorder="1" applyAlignment="1">
      <alignment horizontal="center" vertical="center"/>
    </xf>
    <xf numFmtId="0" fontId="5" fillId="9" borderId="1" xfId="71" applyFont="1" applyFill="1" applyBorder="1" applyAlignment="1">
      <alignment horizontal="left" vertical="center"/>
    </xf>
    <xf numFmtId="10" fontId="4" fillId="0" borderId="1" xfId="0" applyNumberFormat="1" applyFont="1" applyBorder="1"/>
    <xf numFmtId="0" fontId="4" fillId="0" borderId="5" xfId="0" applyFont="1" applyFill="1" applyBorder="1" applyAlignment="1"/>
    <xf numFmtId="0" fontId="4" fillId="0" borderId="4" xfId="0" applyFont="1" applyFill="1" applyBorder="1" applyAlignment="1"/>
    <xf numFmtId="0" fontId="4" fillId="0" borderId="5" xfId="0" applyFont="1" applyBorder="1" applyAlignment="1"/>
    <xf numFmtId="0" fontId="4" fillId="0" borderId="4" xfId="0" applyFont="1" applyBorder="1" applyAlignment="1"/>
    <xf numFmtId="3" fontId="5" fillId="0" borderId="1" xfId="0" applyNumberFormat="1" applyFont="1" applyBorder="1"/>
    <xf numFmtId="0" fontId="4" fillId="0" borderId="0" xfId="0" applyFont="1" applyBorder="1"/>
    <xf numFmtId="0" fontId="4" fillId="0" borderId="0" xfId="0" applyFont="1" applyBorder="1" applyAlignment="1">
      <alignment horizontal="center"/>
    </xf>
    <xf numFmtId="164" fontId="5" fillId="0" borderId="0" xfId="4" applyNumberFormat="1" applyFont="1"/>
    <xf numFmtId="164" fontId="5" fillId="0" borderId="1" xfId="4" applyNumberFormat="1" applyFont="1" applyBorder="1" applyAlignment="1">
      <alignment vertical="center" wrapText="1"/>
    </xf>
    <xf numFmtId="164" fontId="5" fillId="0" borderId="1" xfId="4" applyNumberFormat="1" applyFont="1" applyBorder="1"/>
    <xf numFmtId="164" fontId="4" fillId="0" borderId="1" xfId="4" applyNumberFormat="1" applyFont="1" applyBorder="1" applyAlignment="1">
      <alignment vertical="center" wrapText="1"/>
    </xf>
    <xf numFmtId="3" fontId="5" fillId="0" borderId="1" xfId="0" applyNumberFormat="1" applyFont="1" applyBorder="1" applyAlignment="1">
      <alignment horizontal="center" vertical="center" wrapText="1"/>
    </xf>
    <xf numFmtId="0" fontId="5" fillId="0" borderId="0" xfId="0" applyFont="1" applyAlignment="1">
      <alignment vertical="center" wrapText="1"/>
    </xf>
    <xf numFmtId="164" fontId="5" fillId="0" borderId="0" xfId="4" applyNumberFormat="1" applyFont="1" applyAlignment="1">
      <alignment vertical="center" wrapText="1"/>
    </xf>
    <xf numFmtId="0" fontId="4" fillId="0" borderId="0" xfId="104" applyFont="1"/>
    <xf numFmtId="3" fontId="4" fillId="0" borderId="0" xfId="104" applyNumberFormat="1" applyFont="1"/>
    <xf numFmtId="0" fontId="4" fillId="0" borderId="0" xfId="104" applyFont="1" applyAlignment="1">
      <alignment horizontal="right"/>
    </xf>
    <xf numFmtId="0" fontId="4" fillId="0" borderId="0" xfId="104" quotePrefix="1" applyFont="1"/>
    <xf numFmtId="0" fontId="4" fillId="0" borderId="0" xfId="104" quotePrefix="1" applyFont="1" applyFill="1" applyBorder="1"/>
    <xf numFmtId="0" fontId="5" fillId="0" borderId="0" xfId="104" applyFont="1"/>
    <xf numFmtId="0" fontId="5" fillId="0" borderId="0" xfId="104" applyFont="1" applyFill="1" applyBorder="1"/>
    <xf numFmtId="3" fontId="5" fillId="0" borderId="0" xfId="104" applyNumberFormat="1" applyFont="1"/>
    <xf numFmtId="0" fontId="5" fillId="0" borderId="0" xfId="104" quotePrefix="1" applyFont="1" applyFill="1" applyBorder="1"/>
    <xf numFmtId="0" fontId="5" fillId="0" borderId="0" xfId="104" quotePrefix="1" applyFont="1"/>
    <xf numFmtId="3" fontId="5" fillId="0" borderId="0" xfId="104" applyNumberFormat="1" applyFont="1" applyBorder="1"/>
    <xf numFmtId="3" fontId="4" fillId="0" borderId="0" xfId="104" applyNumberFormat="1" applyFont="1" applyBorder="1"/>
    <xf numFmtId="3" fontId="4" fillId="0" borderId="0" xfId="104" applyNumberFormat="1" applyFont="1" applyBorder="1" applyAlignment="1">
      <alignment horizontal="justify" vertical="top" wrapText="1"/>
    </xf>
    <xf numFmtId="0" fontId="4" fillId="0" borderId="0" xfId="104" applyFont="1" applyBorder="1"/>
    <xf numFmtId="0" fontId="5" fillId="0" borderId="0" xfId="104" applyFont="1" applyBorder="1" applyAlignment="1">
      <alignment horizontal="left"/>
    </xf>
    <xf numFmtId="3" fontId="5" fillId="0" borderId="1" xfId="104" applyNumberFormat="1" applyFont="1" applyBorder="1" applyAlignment="1">
      <alignment vertical="center"/>
    </xf>
    <xf numFmtId="3" fontId="4" fillId="0" borderId="1" xfId="104" applyNumberFormat="1" applyFont="1" applyBorder="1" applyAlignment="1">
      <alignment vertical="center"/>
    </xf>
    <xf numFmtId="3" fontId="5" fillId="0" borderId="1" xfId="104" applyNumberFormat="1" applyFont="1" applyBorder="1" applyAlignment="1">
      <alignment horizontal="center" vertical="center" wrapText="1"/>
    </xf>
    <xf numFmtId="0" fontId="4" fillId="0" borderId="1" xfId="104" applyFont="1" applyBorder="1" applyAlignment="1">
      <alignment vertical="center"/>
    </xf>
    <xf numFmtId="0" fontId="5" fillId="0" borderId="1" xfId="104" applyFont="1" applyBorder="1" applyAlignment="1">
      <alignment horizontal="center" vertical="center"/>
    </xf>
    <xf numFmtId="0" fontId="4" fillId="0" borderId="1" xfId="104" applyFont="1" applyBorder="1" applyAlignment="1">
      <alignment horizontal="center" vertical="center"/>
    </xf>
    <xf numFmtId="0" fontId="4" fillId="0" borderId="0" xfId="104" applyFont="1" applyAlignment="1">
      <alignment vertical="center"/>
    </xf>
    <xf numFmtId="3" fontId="4" fillId="0" borderId="1" xfId="104" applyNumberFormat="1" applyFont="1" applyBorder="1" applyAlignment="1">
      <alignment horizontal="right" vertical="center"/>
    </xf>
    <xf numFmtId="3" fontId="4" fillId="0" borderId="1" xfId="104" applyNumberFormat="1" applyFont="1" applyBorder="1" applyAlignment="1">
      <alignment horizontal="center" vertical="center" wrapText="1"/>
    </xf>
    <xf numFmtId="0" fontId="4" fillId="0" borderId="1" xfId="104" applyFont="1" applyBorder="1" applyAlignment="1">
      <alignment horizontal="justify" vertical="center" wrapText="1"/>
    </xf>
    <xf numFmtId="3" fontId="4" fillId="0" borderId="1" xfId="104" applyNumberFormat="1" applyFont="1" applyBorder="1" applyAlignment="1">
      <alignment horizontal="right"/>
    </xf>
    <xf numFmtId="3" fontId="4" fillId="0" borderId="1" xfId="104" applyNumberFormat="1" applyFont="1" applyBorder="1" applyAlignment="1">
      <alignment horizontal="center" vertical="top" wrapText="1"/>
    </xf>
    <xf numFmtId="0" fontId="4" fillId="0" borderId="1" xfId="104" applyFont="1" applyBorder="1" applyAlignment="1">
      <alignment horizontal="center"/>
    </xf>
    <xf numFmtId="0" fontId="4" fillId="0" borderId="1" xfId="104" applyFont="1" applyBorder="1" applyAlignment="1">
      <alignment horizontal="justify" vertical="top" wrapText="1"/>
    </xf>
    <xf numFmtId="3" fontId="5" fillId="0" borderId="1" xfId="104" applyNumberFormat="1" applyFont="1" applyBorder="1" applyAlignment="1">
      <alignment horizontal="center" vertical="center"/>
    </xf>
    <xf numFmtId="0" fontId="5" fillId="0" borderId="1" xfId="104" applyFont="1" applyBorder="1" applyAlignment="1">
      <alignment horizontal="center" vertical="center" wrapText="1"/>
    </xf>
    <xf numFmtId="3" fontId="4" fillId="0" borderId="0" xfId="104" applyNumberFormat="1" applyFont="1" applyBorder="1" applyAlignment="1">
      <alignment horizontal="center" vertical="top" wrapText="1"/>
    </xf>
    <xf numFmtId="0" fontId="4" fillId="0" borderId="0" xfId="104" quotePrefix="1" applyFont="1" applyBorder="1"/>
    <xf numFmtId="0" fontId="5" fillId="0" borderId="0" xfId="104" applyFont="1" applyBorder="1"/>
    <xf numFmtId="193" fontId="4" fillId="0" borderId="0" xfId="104" applyNumberFormat="1" applyFont="1" applyBorder="1"/>
    <xf numFmtId="0" fontId="5" fillId="0" borderId="0" xfId="104" applyFont="1" applyBorder="1" applyAlignment="1">
      <alignment horizontal="center"/>
    </xf>
    <xf numFmtId="3" fontId="5" fillId="0" borderId="1" xfId="104" applyNumberFormat="1" applyFont="1" applyBorder="1"/>
    <xf numFmtId="3" fontId="4" fillId="0" borderId="1" xfId="104" applyNumberFormat="1" applyFont="1" applyBorder="1"/>
    <xf numFmtId="3" fontId="4" fillId="0" borderId="1" xfId="104" applyNumberFormat="1" applyFont="1" applyBorder="1" applyAlignment="1">
      <alignment horizontal="justify" vertical="top" wrapText="1"/>
    </xf>
    <xf numFmtId="0" fontId="4" fillId="0" borderId="1" xfId="104" applyFont="1" applyBorder="1"/>
    <xf numFmtId="0" fontId="5" fillId="0" borderId="1" xfId="104" applyFont="1" applyBorder="1" applyAlignment="1">
      <alignment horizontal="center"/>
    </xf>
    <xf numFmtId="0" fontId="4" fillId="0" borderId="1" xfId="104" applyFont="1" applyBorder="1" applyAlignment="1">
      <alignment vertical="top" wrapText="1"/>
    </xf>
    <xf numFmtId="3" fontId="5" fillId="0" borderId="1" xfId="104" applyNumberFormat="1" applyFont="1" applyBorder="1" applyAlignment="1">
      <alignment horizontal="right"/>
    </xf>
    <xf numFmtId="3" fontId="5" fillId="0" borderId="1" xfId="104" applyNumberFormat="1" applyFont="1" applyBorder="1" applyAlignment="1">
      <alignment horizontal="center" vertical="top" wrapText="1"/>
    </xf>
    <xf numFmtId="0" fontId="5" fillId="0" borderId="1" xfId="104" applyFont="1" applyBorder="1" applyAlignment="1">
      <alignment vertical="top" wrapText="1"/>
    </xf>
    <xf numFmtId="3" fontId="5" fillId="0" borderId="1" xfId="104" applyNumberFormat="1" applyFont="1" applyBorder="1" applyAlignment="1">
      <alignment horizontal="center"/>
    </xf>
    <xf numFmtId="0" fontId="5" fillId="0" borderId="1" xfId="104" applyFont="1" applyBorder="1" applyAlignment="1">
      <alignment horizontal="justify" vertical="top" wrapText="1"/>
    </xf>
    <xf numFmtId="0" fontId="4" fillId="0" borderId="0" xfId="104" quotePrefix="1" applyFont="1" applyAlignment="1">
      <alignment horizontal="right"/>
    </xf>
    <xf numFmtId="0" fontId="4" fillId="0" borderId="0" xfId="104" applyFont="1" applyAlignment="1">
      <alignment horizontal="left"/>
    </xf>
    <xf numFmtId="0" fontId="4" fillId="0" borderId="0" xfId="104" quotePrefix="1" applyFont="1" applyAlignment="1">
      <alignment horizontal="left"/>
    </xf>
    <xf numFmtId="0" fontId="4" fillId="0" borderId="0" xfId="62" applyFont="1" applyAlignment="1">
      <alignment horizontal="center"/>
    </xf>
    <xf numFmtId="0" fontId="4" fillId="0" borderId="0" xfId="62" applyFont="1" applyAlignment="1">
      <alignment horizontal="left"/>
    </xf>
    <xf numFmtId="0" fontId="7" fillId="0" borderId="1" xfId="62" applyFont="1" applyBorder="1"/>
    <xf numFmtId="0" fontId="7" fillId="0" borderId="1" xfId="62" applyFont="1" applyBorder="1" applyAlignment="1">
      <alignment horizontal="center"/>
    </xf>
    <xf numFmtId="0" fontId="5" fillId="0" borderId="1" xfId="62" applyFont="1" applyBorder="1" applyAlignment="1">
      <alignment horizontal="center" vertical="center"/>
    </xf>
    <xf numFmtId="0" fontId="7" fillId="0" borderId="1" xfId="62" applyFont="1" applyBorder="1" applyAlignment="1">
      <alignment horizontal="center" vertical="center"/>
    </xf>
    <xf numFmtId="164" fontId="4" fillId="0" borderId="0" xfId="62" applyNumberFormat="1" applyFont="1"/>
    <xf numFmtId="0" fontId="4" fillId="0" borderId="1" xfId="62" applyFont="1" applyBorder="1"/>
    <xf numFmtId="164" fontId="4" fillId="0" borderId="1" xfId="2" applyNumberFormat="1" applyFont="1" applyBorder="1" applyAlignment="1"/>
    <xf numFmtId="0" fontId="6" fillId="0" borderId="1" xfId="62" applyFont="1" applyBorder="1"/>
    <xf numFmtId="0" fontId="6" fillId="0" borderId="1" xfId="62" applyFont="1" applyBorder="1" applyAlignment="1">
      <alignment horizontal="center"/>
    </xf>
    <xf numFmtId="0" fontId="5" fillId="0" borderId="1" xfId="62" applyFont="1" applyBorder="1" applyAlignment="1">
      <alignment horizontal="center" vertical="center" wrapText="1"/>
    </xf>
    <xf numFmtId="0" fontId="5" fillId="0" borderId="1" xfId="62" applyFont="1" applyBorder="1" applyAlignment="1">
      <alignment horizontal="left" vertical="center" wrapText="1"/>
    </xf>
    <xf numFmtId="0" fontId="4" fillId="0" borderId="0" xfId="62" applyFont="1" applyAlignment="1">
      <alignment horizontal="left" vertical="center"/>
    </xf>
    <xf numFmtId="0" fontId="4" fillId="0" borderId="0" xfId="0" applyFont="1" applyAlignment="1">
      <alignment horizontal="center"/>
    </xf>
    <xf numFmtId="0" fontId="5" fillId="0" borderId="5" xfId="0" applyFont="1" applyBorder="1" applyAlignment="1"/>
    <xf numFmtId="0" fontId="5" fillId="0" borderId="13" xfId="0" applyFont="1" applyBorder="1" applyAlignment="1"/>
    <xf numFmtId="0" fontId="5" fillId="0" borderId="4" xfId="0" applyFont="1" applyBorder="1" applyAlignment="1"/>
    <xf numFmtId="164" fontId="5" fillId="0" borderId="5" xfId="4" applyNumberFormat="1" applyFont="1" applyBorder="1" applyAlignment="1"/>
    <xf numFmtId="164" fontId="5" fillId="0" borderId="13" xfId="4" applyNumberFormat="1" applyFont="1" applyBorder="1" applyAlignment="1"/>
    <xf numFmtId="164" fontId="5" fillId="0" borderId="4" xfId="4" applyNumberFormat="1" applyFont="1" applyBorder="1" applyAlignment="1"/>
    <xf numFmtId="195" fontId="5" fillId="0" borderId="1" xfId="4" applyNumberFormat="1" applyFont="1" applyBorder="1"/>
    <xf numFmtId="171" fontId="4" fillId="0" borderId="1" xfId="4" applyNumberFormat="1" applyFont="1" applyBorder="1"/>
    <xf numFmtId="0" fontId="4" fillId="0" borderId="1" xfId="0" applyFont="1" applyBorder="1" applyAlignment="1">
      <alignment wrapText="1"/>
    </xf>
    <xf numFmtId="0" fontId="4" fillId="0" borderId="1" xfId="0" applyFont="1" applyBorder="1" applyAlignment="1">
      <alignment vertical="center"/>
    </xf>
    <xf numFmtId="9" fontId="4" fillId="0" borderId="0" xfId="0" applyNumberFormat="1" applyFont="1"/>
    <xf numFmtId="0" fontId="4" fillId="0" borderId="0" xfId="66" applyFont="1"/>
    <xf numFmtId="3" fontId="4" fillId="0" borderId="50" xfId="66" applyNumberFormat="1" applyFont="1" applyBorder="1"/>
    <xf numFmtId="9" fontId="4" fillId="0" borderId="50" xfId="72" applyFont="1" applyBorder="1" applyAlignment="1">
      <alignment horizontal="center"/>
    </xf>
    <xf numFmtId="3" fontId="4" fillId="0" borderId="50" xfId="105" applyNumberFormat="1" applyFont="1" applyBorder="1" applyAlignment="1">
      <alignment horizontal="right"/>
    </xf>
    <xf numFmtId="9" fontId="4" fillId="0" borderId="50" xfId="106" applyFont="1" applyBorder="1" applyAlignment="1">
      <alignment horizontal="center"/>
    </xf>
    <xf numFmtId="9" fontId="4" fillId="0" borderId="50" xfId="106" applyNumberFormat="1" applyFont="1" applyBorder="1" applyAlignment="1">
      <alignment horizontal="right"/>
    </xf>
    <xf numFmtId="3" fontId="4" fillId="0" borderId="50" xfId="66" applyNumberFormat="1" applyFont="1" applyBorder="1" applyAlignment="1">
      <alignment horizontal="center"/>
    </xf>
    <xf numFmtId="0" fontId="4" fillId="0" borderId="50" xfId="66" applyFont="1" applyBorder="1" applyAlignment="1">
      <alignment horizontal="left"/>
    </xf>
    <xf numFmtId="3" fontId="5" fillId="0" borderId="50" xfId="66" applyNumberFormat="1" applyFont="1" applyBorder="1" applyAlignment="1">
      <alignment horizontal="center"/>
    </xf>
    <xf numFmtId="3" fontId="4" fillId="0" borderId="28" xfId="66" applyNumberFormat="1" applyFont="1" applyBorder="1"/>
    <xf numFmtId="9" fontId="4" fillId="0" borderId="28" xfId="72" applyFont="1" applyBorder="1" applyAlignment="1">
      <alignment horizontal="center"/>
    </xf>
    <xf numFmtId="3" fontId="4" fillId="0" borderId="28" xfId="105" applyNumberFormat="1" applyFont="1" applyBorder="1" applyAlignment="1">
      <alignment horizontal="right"/>
    </xf>
    <xf numFmtId="9" fontId="4" fillId="0" borderId="28" xfId="106" applyFont="1" applyBorder="1" applyAlignment="1">
      <alignment horizontal="center"/>
    </xf>
    <xf numFmtId="9" fontId="4" fillId="0" borderId="28" xfId="106" applyNumberFormat="1" applyFont="1" applyBorder="1" applyAlignment="1">
      <alignment horizontal="right"/>
    </xf>
    <xf numFmtId="3" fontId="4" fillId="0" borderId="28" xfId="66" applyNumberFormat="1" applyFont="1" applyBorder="1" applyAlignment="1">
      <alignment horizontal="center"/>
    </xf>
    <xf numFmtId="0" fontId="4" fillId="0" borderId="28" xfId="66" applyFont="1" applyBorder="1" applyAlignment="1">
      <alignment horizontal="left"/>
    </xf>
    <xf numFmtId="3" fontId="5" fillId="0" borderId="28" xfId="66" applyNumberFormat="1" applyFont="1" applyBorder="1" applyAlignment="1">
      <alignment horizontal="center"/>
    </xf>
    <xf numFmtId="3" fontId="4" fillId="0" borderId="28" xfId="105" applyNumberFormat="1" applyFont="1" applyBorder="1" applyAlignment="1"/>
    <xf numFmtId="3" fontId="4" fillId="0" borderId="31" xfId="66" applyNumberFormat="1" applyFont="1" applyBorder="1"/>
    <xf numFmtId="3" fontId="5" fillId="0" borderId="31" xfId="66" applyNumberFormat="1" applyFont="1" applyBorder="1" applyAlignment="1">
      <alignment horizontal="center"/>
    </xf>
    <xf numFmtId="3" fontId="4" fillId="0" borderId="31" xfId="66" applyNumberFormat="1" applyFont="1" applyBorder="1" applyAlignment="1">
      <alignment horizontal="right"/>
    </xf>
    <xf numFmtId="9" fontId="5" fillId="0" borderId="31" xfId="106" applyFont="1" applyBorder="1" applyAlignment="1">
      <alignment horizontal="center"/>
    </xf>
    <xf numFmtId="3" fontId="4" fillId="0" borderId="31" xfId="66" applyNumberFormat="1" applyFont="1" applyBorder="1" applyAlignment="1">
      <alignment horizontal="center"/>
    </xf>
    <xf numFmtId="3" fontId="4" fillId="0" borderId="31" xfId="66" applyNumberFormat="1" applyFont="1" applyBorder="1" applyAlignment="1">
      <alignment horizontal="left"/>
    </xf>
    <xf numFmtId="3" fontId="4" fillId="0" borderId="0" xfId="66" applyNumberFormat="1" applyFont="1"/>
    <xf numFmtId="3" fontId="4" fillId="0" borderId="50" xfId="66" applyNumberFormat="1" applyFont="1" applyBorder="1" applyAlignment="1">
      <alignment horizontal="right"/>
    </xf>
    <xf numFmtId="165" fontId="4" fillId="0" borderId="50" xfId="106" applyNumberFormat="1" applyFont="1" applyBorder="1" applyAlignment="1">
      <alignment horizontal="center"/>
    </xf>
    <xf numFmtId="164" fontId="4" fillId="0" borderId="50" xfId="105" applyNumberFormat="1" applyFont="1" applyBorder="1" applyAlignment="1">
      <alignment horizontal="right"/>
    </xf>
    <xf numFmtId="3" fontId="4" fillId="0" borderId="51" xfId="66" applyNumberFormat="1" applyFont="1" applyBorder="1"/>
    <xf numFmtId="3" fontId="4" fillId="0" borderId="51" xfId="105" applyNumberFormat="1" applyFont="1" applyBorder="1" applyAlignment="1">
      <alignment horizontal="right"/>
    </xf>
    <xf numFmtId="3" fontId="4" fillId="0" borderId="51" xfId="66" applyNumberFormat="1" applyFont="1" applyBorder="1" applyAlignment="1">
      <alignment horizontal="right"/>
    </xf>
    <xf numFmtId="9" fontId="4" fillId="0" borderId="51" xfId="106" applyFont="1" applyBorder="1" applyAlignment="1">
      <alignment horizontal="center"/>
    </xf>
    <xf numFmtId="164" fontId="4" fillId="0" borderId="51" xfId="105" applyNumberFormat="1" applyFont="1" applyBorder="1" applyAlignment="1">
      <alignment horizontal="right"/>
    </xf>
    <xf numFmtId="3" fontId="4" fillId="0" borderId="51" xfId="66" applyNumberFormat="1" applyFont="1" applyBorder="1" applyAlignment="1">
      <alignment horizontal="center"/>
    </xf>
    <xf numFmtId="0" fontId="4" fillId="0" borderId="51" xfId="66" applyFont="1" applyBorder="1" applyAlignment="1">
      <alignment horizontal="left"/>
    </xf>
    <xf numFmtId="3" fontId="5" fillId="0" borderId="51" xfId="66" applyNumberFormat="1" applyFont="1" applyBorder="1" applyAlignment="1">
      <alignment horizontal="center"/>
    </xf>
    <xf numFmtId="3" fontId="5" fillId="0" borderId="1" xfId="105" applyNumberFormat="1" applyFont="1" applyBorder="1" applyAlignment="1">
      <alignment horizontal="right"/>
    </xf>
    <xf numFmtId="9" fontId="4" fillId="0" borderId="1" xfId="106" applyFont="1" applyBorder="1" applyAlignment="1">
      <alignment horizontal="center"/>
    </xf>
    <xf numFmtId="9" fontId="4" fillId="0" borderId="1" xfId="106" applyNumberFormat="1" applyFont="1" applyBorder="1" applyAlignment="1">
      <alignment horizontal="right"/>
    </xf>
    <xf numFmtId="3" fontId="4" fillId="0" borderId="1" xfId="66" applyNumberFormat="1" applyFont="1" applyBorder="1" applyAlignment="1">
      <alignment horizontal="center"/>
    </xf>
    <xf numFmtId="0" fontId="5" fillId="0" borderId="1" xfId="66" applyFont="1" applyBorder="1" applyAlignment="1">
      <alignment horizontal="left"/>
    </xf>
    <xf numFmtId="3" fontId="5" fillId="0" borderId="1" xfId="66" applyNumberFormat="1" applyFont="1" applyBorder="1" applyAlignment="1">
      <alignment horizontal="center"/>
    </xf>
    <xf numFmtId="3" fontId="5" fillId="0" borderId="1" xfId="66" applyNumberFormat="1" applyFont="1" applyBorder="1"/>
    <xf numFmtId="3" fontId="5" fillId="0" borderId="1" xfId="66" applyNumberFormat="1" applyFont="1" applyBorder="1" applyAlignment="1">
      <alignment horizontal="right"/>
    </xf>
    <xf numFmtId="4" fontId="5" fillId="0" borderId="1" xfId="66" applyNumberFormat="1" applyFont="1" applyBorder="1" applyAlignment="1">
      <alignment horizontal="center"/>
    </xf>
    <xf numFmtId="3" fontId="5" fillId="0" borderId="1" xfId="66" applyNumberFormat="1" applyFont="1" applyBorder="1" applyAlignment="1">
      <alignment horizontal="left"/>
    </xf>
    <xf numFmtId="3" fontId="4" fillId="0" borderId="3" xfId="66" applyNumberFormat="1" applyFont="1" applyBorder="1"/>
    <xf numFmtId="3" fontId="4" fillId="0" borderId="3" xfId="66" applyNumberFormat="1" applyFont="1" applyBorder="1" applyAlignment="1">
      <alignment horizontal="right"/>
    </xf>
    <xf numFmtId="164" fontId="4" fillId="0" borderId="3" xfId="105" applyNumberFormat="1" applyFont="1" applyBorder="1" applyAlignment="1">
      <alignment horizontal="center"/>
    </xf>
    <xf numFmtId="3" fontId="4" fillId="0" borderId="3" xfId="66" applyNumberFormat="1" applyFont="1" applyBorder="1" applyAlignment="1">
      <alignment horizontal="center"/>
    </xf>
    <xf numFmtId="3" fontId="6" fillId="0" borderId="1" xfId="66" applyNumberFormat="1" applyFont="1" applyBorder="1"/>
    <xf numFmtId="193" fontId="7" fillId="0" borderId="1" xfId="66" applyNumberFormat="1" applyFont="1" applyBorder="1" applyAlignment="1">
      <alignment horizontal="center"/>
    </xf>
    <xf numFmtId="164" fontId="7" fillId="0" borderId="1" xfId="105" applyNumberFormat="1" applyFont="1" applyBorder="1" applyAlignment="1">
      <alignment horizontal="center"/>
    </xf>
    <xf numFmtId="3" fontId="7" fillId="0" borderId="1" xfId="66" applyNumberFormat="1" applyFont="1" applyBorder="1" applyAlignment="1">
      <alignment horizontal="center"/>
    </xf>
    <xf numFmtId="3" fontId="7" fillId="0" borderId="1" xfId="66" applyNumberFormat="1" applyFont="1" applyBorder="1"/>
    <xf numFmtId="3" fontId="4" fillId="0" borderId="2" xfId="66" applyNumberFormat="1" applyFont="1" applyBorder="1"/>
    <xf numFmtId="3" fontId="4" fillId="0" borderId="2" xfId="66" applyNumberFormat="1" applyFont="1" applyBorder="1" applyAlignment="1">
      <alignment horizontal="right"/>
    </xf>
    <xf numFmtId="164" fontId="4" fillId="0" borderId="2" xfId="105" applyNumberFormat="1" applyFont="1" applyBorder="1" applyAlignment="1">
      <alignment horizontal="center"/>
    </xf>
    <xf numFmtId="3" fontId="4" fillId="0" borderId="2" xfId="66" applyNumberFormat="1" applyFont="1" applyBorder="1" applyAlignment="1">
      <alignment horizontal="center"/>
    </xf>
    <xf numFmtId="3" fontId="6" fillId="0" borderId="2" xfId="66" applyNumberFormat="1" applyFont="1" applyBorder="1" applyAlignment="1">
      <alignment horizontal="right"/>
    </xf>
    <xf numFmtId="3" fontId="7" fillId="0" borderId="2" xfId="66" applyNumberFormat="1" applyFont="1" applyBorder="1" applyAlignment="1">
      <alignment horizontal="center"/>
    </xf>
    <xf numFmtId="3" fontId="7" fillId="0" borderId="2" xfId="66" applyNumberFormat="1" applyFont="1" applyBorder="1" applyAlignment="1">
      <alignment horizontal="right"/>
    </xf>
    <xf numFmtId="3" fontId="7" fillId="0" borderId="2" xfId="66" applyNumberFormat="1" applyFont="1" applyBorder="1" applyAlignment="1">
      <alignment horizontal="left"/>
    </xf>
    <xf numFmtId="193" fontId="4" fillId="0" borderId="3" xfId="66" applyNumberFormat="1" applyFont="1" applyBorder="1" applyAlignment="1">
      <alignment horizontal="right"/>
    </xf>
    <xf numFmtId="193" fontId="4" fillId="0" borderId="50" xfId="66" applyNumberFormat="1" applyFont="1" applyBorder="1" applyAlignment="1">
      <alignment horizontal="right"/>
    </xf>
    <xf numFmtId="3" fontId="4" fillId="0" borderId="28" xfId="66" applyNumberFormat="1" applyFont="1" applyBorder="1" applyAlignment="1">
      <alignment horizontal="right"/>
    </xf>
    <xf numFmtId="3" fontId="4" fillId="0" borderId="28" xfId="58" applyNumberFormat="1" applyFont="1" applyBorder="1"/>
    <xf numFmtId="164" fontId="4" fillId="0" borderId="0" xfId="105" applyNumberFormat="1" applyFont="1"/>
    <xf numFmtId="164" fontId="4" fillId="0" borderId="0" xfId="105" applyNumberFormat="1" applyFont="1" applyAlignment="1">
      <alignment horizontal="center"/>
    </xf>
    <xf numFmtId="193" fontId="4" fillId="0" borderId="51" xfId="66" applyNumberFormat="1" applyFont="1" applyBorder="1" applyAlignment="1">
      <alignment horizontal="right"/>
    </xf>
    <xf numFmtId="164" fontId="5" fillId="0" borderId="0" xfId="105" applyNumberFormat="1" applyFont="1" applyAlignment="1">
      <alignment horizontal="center"/>
    </xf>
    <xf numFmtId="3" fontId="4" fillId="0" borderId="50" xfId="58" applyNumberFormat="1" applyFont="1" applyBorder="1"/>
    <xf numFmtId="193" fontId="4" fillId="0" borderId="50" xfId="58" applyNumberFormat="1" applyFont="1" applyBorder="1" applyAlignment="1">
      <alignment horizontal="right"/>
    </xf>
    <xf numFmtId="3" fontId="4" fillId="0" borderId="50" xfId="58" applyNumberFormat="1" applyFont="1" applyBorder="1" applyAlignment="1">
      <alignment horizontal="center"/>
    </xf>
    <xf numFmtId="3" fontId="4" fillId="0" borderId="28" xfId="58" applyNumberFormat="1" applyFont="1" applyBorder="1" applyAlignment="1">
      <alignment horizontal="right"/>
    </xf>
    <xf numFmtId="3" fontId="4" fillId="0" borderId="28" xfId="58" applyNumberFormat="1" applyFont="1" applyBorder="1" applyAlignment="1">
      <alignment horizontal="center"/>
    </xf>
    <xf numFmtId="3" fontId="4" fillId="0" borderId="51" xfId="58" applyNumberFormat="1" applyFont="1" applyBorder="1"/>
    <xf numFmtId="3" fontId="4" fillId="0" borderId="51" xfId="58" applyNumberFormat="1" applyFont="1" applyBorder="1" applyAlignment="1">
      <alignment horizontal="right"/>
    </xf>
    <xf numFmtId="3" fontId="4" fillId="0" borderId="51" xfId="58" applyNumberFormat="1" applyFont="1" applyBorder="1" applyAlignment="1">
      <alignment horizontal="center"/>
    </xf>
    <xf numFmtId="0" fontId="5" fillId="0" borderId="0" xfId="66" applyFont="1"/>
    <xf numFmtId="164" fontId="5" fillId="0" borderId="0" xfId="105" applyNumberFormat="1" applyFont="1"/>
    <xf numFmtId="3" fontId="5" fillId="0" borderId="0" xfId="66" applyNumberFormat="1" applyFont="1"/>
    <xf numFmtId="4" fontId="5" fillId="0" borderId="1" xfId="66" applyNumberFormat="1" applyFont="1" applyBorder="1" applyAlignment="1">
      <alignment horizontal="right"/>
    </xf>
    <xf numFmtId="41" fontId="4" fillId="0" borderId="1" xfId="105" applyNumberFormat="1" applyFont="1" applyBorder="1" applyAlignment="1">
      <alignment vertical="center"/>
    </xf>
    <xf numFmtId="41" fontId="4" fillId="0" borderId="1" xfId="105" applyNumberFormat="1" applyFont="1" applyBorder="1" applyAlignment="1">
      <alignment horizontal="right"/>
    </xf>
    <xf numFmtId="0" fontId="4" fillId="0" borderId="1" xfId="66" applyFont="1" applyBorder="1" applyAlignment="1">
      <alignment horizontal="center" vertical="center"/>
    </xf>
    <xf numFmtId="3" fontId="4" fillId="0" borderId="50" xfId="105" applyNumberFormat="1" applyFont="1" applyBorder="1" applyAlignment="1"/>
    <xf numFmtId="164" fontId="4" fillId="0" borderId="50" xfId="105" applyNumberFormat="1" applyFont="1" applyBorder="1" applyAlignment="1">
      <alignment vertical="center"/>
    </xf>
    <xf numFmtId="3" fontId="4" fillId="0" borderId="50" xfId="66" applyNumberFormat="1" applyFont="1" applyBorder="1" applyAlignment="1">
      <alignment horizontal="center" vertical="center"/>
    </xf>
    <xf numFmtId="164" fontId="4" fillId="0" borderId="28" xfId="105" applyNumberFormat="1" applyFont="1" applyBorder="1" applyAlignment="1">
      <alignment vertical="center"/>
    </xf>
    <xf numFmtId="164" fontId="4" fillId="0" borderId="28" xfId="105" applyNumberFormat="1" applyFont="1" applyBorder="1" applyAlignment="1">
      <alignment horizontal="right"/>
    </xf>
    <xf numFmtId="3" fontId="4" fillId="0" borderId="28" xfId="66" applyNumberFormat="1" applyFont="1" applyBorder="1" applyAlignment="1">
      <alignment horizontal="center" vertical="center"/>
    </xf>
    <xf numFmtId="3" fontId="4" fillId="0" borderId="28" xfId="66" applyNumberFormat="1" applyFont="1" applyBorder="1" applyAlignment="1">
      <alignment horizontal="left"/>
    </xf>
    <xf numFmtId="3" fontId="4" fillId="0" borderId="51" xfId="105" applyNumberFormat="1" applyFont="1" applyBorder="1" applyAlignment="1"/>
    <xf numFmtId="164" fontId="4" fillId="0" borderId="51" xfId="105" applyNumberFormat="1" applyFont="1" applyBorder="1" applyAlignment="1">
      <alignment vertical="center"/>
    </xf>
    <xf numFmtId="3" fontId="4" fillId="0" borderId="51" xfId="66" applyNumberFormat="1" applyFont="1" applyBorder="1" applyAlignment="1">
      <alignment horizontal="center" vertical="center"/>
    </xf>
    <xf numFmtId="3" fontId="4" fillId="0" borderId="51" xfId="66" applyNumberFormat="1" applyFont="1" applyBorder="1" applyAlignment="1">
      <alignment horizontal="left"/>
    </xf>
    <xf numFmtId="3" fontId="5" fillId="0" borderId="1" xfId="66" applyNumberFormat="1" applyFont="1" applyBorder="1" applyAlignment="1"/>
    <xf numFmtId="3" fontId="4" fillId="0" borderId="1" xfId="66" applyNumberFormat="1" applyFont="1" applyBorder="1" applyAlignment="1">
      <alignment horizontal="right"/>
    </xf>
    <xf numFmtId="3" fontId="4" fillId="0" borderId="1" xfId="66" applyNumberFormat="1" applyFont="1" applyBorder="1" applyAlignment="1">
      <alignment horizontal="center" vertical="center"/>
    </xf>
    <xf numFmtId="3" fontId="5" fillId="0" borderId="1" xfId="66" applyNumberFormat="1" applyFont="1" applyBorder="1" applyAlignment="1">
      <alignment horizontal="center" vertical="center"/>
    </xf>
    <xf numFmtId="193" fontId="5" fillId="0" borderId="0" xfId="66" applyNumberFormat="1" applyFont="1" applyAlignment="1">
      <alignment horizontal="right"/>
    </xf>
    <xf numFmtId="4" fontId="4" fillId="0" borderId="0" xfId="66" applyNumberFormat="1" applyFont="1" applyBorder="1" applyAlignment="1">
      <alignment horizontal="right"/>
    </xf>
    <xf numFmtId="3" fontId="6" fillId="0" borderId="0" xfId="66" applyNumberFormat="1" applyFont="1" applyBorder="1" applyAlignment="1"/>
    <xf numFmtId="193" fontId="5" fillId="0" borderId="0" xfId="66" applyNumberFormat="1" applyFont="1"/>
    <xf numFmtId="3" fontId="6" fillId="0" borderId="0" xfId="66" applyNumberFormat="1" applyFont="1" applyAlignment="1">
      <alignment horizontal="centerContinuous"/>
    </xf>
    <xf numFmtId="0" fontId="4" fillId="0" borderId="0" xfId="68" applyFont="1" applyBorder="1"/>
    <xf numFmtId="0" fontId="4" fillId="0" borderId="0" xfId="68" applyFont="1" applyAlignment="1">
      <alignment horizontal="center"/>
    </xf>
    <xf numFmtId="0" fontId="6" fillId="0" borderId="0" xfId="68" applyFont="1"/>
    <xf numFmtId="164" fontId="4" fillId="0" borderId="0" xfId="2" applyNumberFormat="1" applyFont="1" applyAlignment="1"/>
    <xf numFmtId="0" fontId="7" fillId="0" borderId="0" xfId="68" applyFont="1" applyAlignment="1"/>
    <xf numFmtId="0" fontId="5" fillId="0" borderId="0" xfId="68" applyFont="1"/>
    <xf numFmtId="0" fontId="5" fillId="0" borderId="0" xfId="68" applyFont="1" applyBorder="1"/>
    <xf numFmtId="0" fontId="5" fillId="0" borderId="0" xfId="68" applyFont="1" applyAlignment="1">
      <alignment horizontal="center"/>
    </xf>
    <xf numFmtId="164" fontId="4" fillId="0" borderId="1" xfId="68" applyNumberFormat="1" applyFont="1" applyBorder="1"/>
    <xf numFmtId="0" fontId="4" fillId="0" borderId="1" xfId="68" applyFont="1" applyBorder="1"/>
    <xf numFmtId="3" fontId="4" fillId="0" borderId="1" xfId="68" applyNumberFormat="1" applyFont="1" applyBorder="1" applyAlignment="1">
      <alignment horizontal="center"/>
    </xf>
    <xf numFmtId="0" fontId="4" fillId="0" borderId="1" xfId="68" applyFont="1" applyBorder="1" applyAlignment="1">
      <alignment wrapText="1"/>
    </xf>
    <xf numFmtId="0" fontId="5" fillId="0" borderId="1" xfId="68" applyFont="1" applyBorder="1" applyAlignment="1"/>
    <xf numFmtId="0" fontId="6" fillId="0" borderId="1" xfId="68" applyFont="1" applyBorder="1" applyAlignment="1"/>
    <xf numFmtId="3" fontId="4" fillId="0" borderId="1" xfId="68" applyNumberFormat="1" applyFont="1" applyBorder="1" applyAlignment="1">
      <alignment wrapText="1"/>
    </xf>
    <xf numFmtId="0" fontId="5" fillId="0" borderId="0" xfId="68" applyFont="1" applyFill="1"/>
    <xf numFmtId="0" fontId="5" fillId="0" borderId="0" xfId="68" applyFont="1" applyFill="1" applyBorder="1"/>
    <xf numFmtId="3" fontId="5" fillId="0" borderId="1" xfId="68" applyNumberFormat="1" applyFont="1" applyFill="1" applyBorder="1"/>
    <xf numFmtId="164" fontId="5" fillId="0" borderId="1" xfId="2" applyNumberFormat="1" applyFont="1" applyFill="1" applyBorder="1"/>
    <xf numFmtId="3" fontId="5" fillId="0" borderId="1" xfId="68" applyNumberFormat="1" applyFont="1" applyFill="1" applyBorder="1" applyAlignment="1">
      <alignment horizontal="center"/>
    </xf>
    <xf numFmtId="3" fontId="4" fillId="0" borderId="1" xfId="68" applyNumberFormat="1" applyFont="1" applyFill="1" applyBorder="1"/>
    <xf numFmtId="3" fontId="4" fillId="0" borderId="1" xfId="68" applyNumberFormat="1" applyFont="1" applyBorder="1"/>
    <xf numFmtId="164" fontId="5" fillId="0" borderId="1" xfId="68" applyNumberFormat="1" applyFont="1" applyBorder="1"/>
    <xf numFmtId="3" fontId="5" fillId="0" borderId="1" xfId="68" applyNumberFormat="1" applyFont="1" applyBorder="1"/>
    <xf numFmtId="3" fontId="5" fillId="0" borderId="1" xfId="68" applyNumberFormat="1" applyFont="1" applyBorder="1" applyAlignment="1">
      <alignment horizontal="center"/>
    </xf>
    <xf numFmtId="3" fontId="4" fillId="0" borderId="1" xfId="68" applyNumberFormat="1" applyFont="1" applyBorder="1" applyAlignment="1">
      <alignment horizontal="right"/>
    </xf>
    <xf numFmtId="3" fontId="5" fillId="0" borderId="1" xfId="68" applyNumberFormat="1" applyFont="1" applyBorder="1" applyAlignment="1">
      <alignment horizontal="right"/>
    </xf>
    <xf numFmtId="0" fontId="4" fillId="0" borderId="0" xfId="68" applyFont="1" applyFill="1"/>
    <xf numFmtId="0" fontId="4" fillId="0" borderId="0" xfId="68" applyFont="1" applyFill="1" applyBorder="1"/>
    <xf numFmtId="164" fontId="4" fillId="0" borderId="1" xfId="2" applyNumberFormat="1" applyFont="1" applyFill="1" applyBorder="1" applyAlignment="1">
      <alignment horizontal="right"/>
    </xf>
    <xf numFmtId="3" fontId="4" fillId="0" borderId="1" xfId="68" applyNumberFormat="1" applyFont="1" applyFill="1" applyBorder="1" applyAlignment="1">
      <alignment horizontal="center"/>
    </xf>
    <xf numFmtId="0" fontId="5" fillId="0" borderId="1" xfId="68" applyFont="1" applyFill="1" applyBorder="1" applyAlignment="1">
      <alignment horizontal="center"/>
    </xf>
    <xf numFmtId="193" fontId="5" fillId="0" borderId="1" xfId="68" applyNumberFormat="1" applyFont="1" applyFill="1" applyBorder="1"/>
    <xf numFmtId="3" fontId="5" fillId="0" borderId="1" xfId="68" applyNumberFormat="1" applyFont="1" applyFill="1" applyBorder="1" applyAlignment="1"/>
    <xf numFmtId="0" fontId="4" fillId="10" borderId="0" xfId="68" applyFont="1" applyFill="1"/>
    <xf numFmtId="0" fontId="4" fillId="10" borderId="0" xfId="68" applyFont="1" applyFill="1" applyBorder="1"/>
    <xf numFmtId="0" fontId="5" fillId="10" borderId="1" xfId="68" applyFont="1" applyFill="1" applyBorder="1"/>
    <xf numFmtId="0" fontId="5" fillId="10" borderId="1" xfId="68" applyFont="1" applyFill="1" applyBorder="1" applyAlignment="1">
      <alignment horizontal="center"/>
    </xf>
    <xf numFmtId="0" fontId="5" fillId="10" borderId="1" xfId="68" applyFont="1" applyFill="1" applyBorder="1" applyAlignment="1">
      <alignment horizontal="left"/>
    </xf>
    <xf numFmtId="164" fontId="4" fillId="0" borderId="0" xfId="2" applyNumberFormat="1" applyFont="1" applyBorder="1" applyAlignment="1">
      <alignment wrapText="1"/>
    </xf>
    <xf numFmtId="164" fontId="4" fillId="0" borderId="1" xfId="2" applyNumberFormat="1" applyFont="1" applyBorder="1" applyAlignment="1">
      <alignment wrapText="1"/>
    </xf>
    <xf numFmtId="0" fontId="5" fillId="0" borderId="1" xfId="68" applyFont="1" applyBorder="1"/>
    <xf numFmtId="0" fontId="5" fillId="0" borderId="1" xfId="68" applyFont="1" applyBorder="1" applyAlignment="1">
      <alignment wrapText="1"/>
    </xf>
    <xf numFmtId="0" fontId="5" fillId="0" borderId="1" xfId="68" applyFont="1" applyBorder="1" applyAlignment="1">
      <alignment horizontal="left"/>
    </xf>
    <xf numFmtId="0" fontId="4" fillId="0" borderId="0" xfId="68" applyFont="1" applyAlignment="1">
      <alignment horizontal="left" vertical="center"/>
    </xf>
    <xf numFmtId="1" fontId="4" fillId="0" borderId="0" xfId="68" applyNumberFormat="1" applyFont="1"/>
    <xf numFmtId="0" fontId="4" fillId="0" borderId="0" xfId="68" applyFont="1" applyAlignment="1">
      <alignment vertical="center"/>
    </xf>
    <xf numFmtId="0" fontId="4" fillId="0" borderId="0" xfId="68" applyFont="1" applyBorder="1" applyAlignment="1">
      <alignment vertical="center"/>
    </xf>
    <xf numFmtId="196" fontId="5" fillId="0" borderId="1" xfId="68" applyNumberFormat="1" applyFont="1" applyBorder="1" applyAlignment="1">
      <alignment horizontal="right" vertical="center"/>
    </xf>
    <xf numFmtId="196" fontId="4" fillId="0" borderId="1" xfId="68" applyNumberFormat="1" applyFont="1" applyBorder="1" applyAlignment="1">
      <alignment vertical="center"/>
    </xf>
    <xf numFmtId="0" fontId="4" fillId="0" borderId="1" xfId="68" applyFont="1" applyBorder="1" applyAlignment="1">
      <alignment horizontal="center" vertical="center"/>
    </xf>
    <xf numFmtId="1" fontId="4" fillId="0" borderId="1" xfId="68" applyNumberFormat="1" applyFont="1" applyBorder="1" applyAlignment="1">
      <alignment vertical="center"/>
    </xf>
    <xf numFmtId="0" fontId="5" fillId="0" borderId="0" xfId="68" applyFont="1" applyBorder="1" applyAlignment="1">
      <alignment vertical="center"/>
    </xf>
    <xf numFmtId="196" fontId="4" fillId="0" borderId="1" xfId="68" applyNumberFormat="1" applyFont="1" applyBorder="1" applyAlignment="1">
      <alignment horizontal="right" vertical="center"/>
    </xf>
    <xf numFmtId="190" fontId="4" fillId="0" borderId="1" xfId="68" applyNumberFormat="1" applyFont="1" applyBorder="1" applyAlignment="1">
      <alignment vertical="center"/>
    </xf>
    <xf numFmtId="0" fontId="5" fillId="0" borderId="1" xfId="68" applyFont="1" applyBorder="1" applyAlignment="1">
      <alignment horizontal="center" vertical="center"/>
    </xf>
    <xf numFmtId="1" fontId="5" fillId="0" borderId="1" xfId="68" applyNumberFormat="1" applyFont="1" applyBorder="1" applyAlignment="1">
      <alignment vertical="center"/>
    </xf>
    <xf numFmtId="0" fontId="5" fillId="0" borderId="0" xfId="68" applyFont="1" applyAlignment="1">
      <alignment vertical="center"/>
    </xf>
    <xf numFmtId="196" fontId="4" fillId="0" borderId="1" xfId="2" applyNumberFormat="1" applyFont="1" applyBorder="1" applyAlignment="1">
      <alignment vertical="center"/>
    </xf>
    <xf numFmtId="0" fontId="4" fillId="0" borderId="0" xfId="68" applyFont="1" applyAlignment="1">
      <alignment vertical="center" wrapText="1"/>
    </xf>
    <xf numFmtId="1" fontId="5" fillId="0" borderId="1" xfId="68" applyNumberFormat="1" applyFont="1" applyBorder="1" applyAlignment="1">
      <alignment horizontal="center" vertical="center" wrapText="1"/>
    </xf>
    <xf numFmtId="0" fontId="5" fillId="0" borderId="0" xfId="68" applyFont="1" applyAlignment="1"/>
    <xf numFmtId="1" fontId="5" fillId="0" borderId="0" xfId="68" applyNumberFormat="1" applyFont="1" applyAlignment="1"/>
    <xf numFmtId="43" fontId="4" fillId="0" borderId="1" xfId="4" applyNumberFormat="1" applyFont="1" applyBorder="1"/>
    <xf numFmtId="164" fontId="4" fillId="0" borderId="1" xfId="4" applyNumberFormat="1" applyFont="1" applyBorder="1" applyAlignment="1">
      <alignment horizontal="center" vertical="center"/>
    </xf>
    <xf numFmtId="0" fontId="4" fillId="0" borderId="1" xfId="0" applyFont="1" applyBorder="1" applyAlignment="1">
      <alignment horizontal="left" vertical="center"/>
    </xf>
    <xf numFmtId="164" fontId="5" fillId="0" borderId="0" xfId="4" applyNumberFormat="1" applyFont="1" applyBorder="1"/>
    <xf numFmtId="0" fontId="5" fillId="0" borderId="0" xfId="0" applyFont="1" applyBorder="1" applyAlignment="1">
      <alignment horizontal="center"/>
    </xf>
    <xf numFmtId="0" fontId="4" fillId="0" borderId="0" xfId="0" applyFont="1" applyAlignment="1">
      <alignment horizontal="left" vertical="top"/>
    </xf>
    <xf numFmtId="0" fontId="4" fillId="0" borderId="0" xfId="0" applyFont="1" applyBorder="1" applyAlignment="1">
      <alignment horizontal="right"/>
    </xf>
    <xf numFmtId="10" fontId="4" fillId="0" borderId="0" xfId="5" applyNumberFormat="1" applyFont="1" applyBorder="1" applyAlignment="1">
      <alignment horizontal="right"/>
    </xf>
    <xf numFmtId="43" fontId="4" fillId="0" borderId="0" xfId="4" applyNumberFormat="1" applyFont="1"/>
    <xf numFmtId="3" fontId="7" fillId="0" borderId="1" xfId="0" applyNumberFormat="1" applyFont="1" applyBorder="1" applyAlignment="1">
      <alignment vertical="top" wrapText="1"/>
    </xf>
    <xf numFmtId="0" fontId="7" fillId="0" borderId="1" xfId="0" applyFont="1" applyBorder="1" applyAlignment="1">
      <alignment horizontal="center" vertical="top" wrapText="1"/>
    </xf>
    <xf numFmtId="0" fontId="5" fillId="0" borderId="3" xfId="0" applyFont="1" applyBorder="1" applyAlignment="1">
      <alignment vertical="top" wrapText="1"/>
    </xf>
    <xf numFmtId="164" fontId="4" fillId="0" borderId="1" xfId="4" applyNumberFormat="1" applyFont="1" applyBorder="1" applyAlignment="1"/>
    <xf numFmtId="3" fontId="4" fillId="0" borderId="1" xfId="0" applyNumberFormat="1" applyFont="1" applyBorder="1" applyAlignment="1">
      <alignment horizontal="center" vertical="top" wrapText="1"/>
    </xf>
    <xf numFmtId="0" fontId="4" fillId="0" borderId="5" xfId="0" applyFont="1" applyBorder="1" applyAlignment="1">
      <alignment horizontal="center" vertical="top" wrapText="1"/>
    </xf>
    <xf numFmtId="0" fontId="4" fillId="0" borderId="3" xfId="0" applyFont="1" applyBorder="1" applyAlignment="1">
      <alignment vertical="center" wrapText="1"/>
    </xf>
    <xf numFmtId="3" fontId="4" fillId="0" borderId="1" xfId="0" applyNumberFormat="1" applyFont="1" applyBorder="1" applyAlignment="1">
      <alignment horizontal="center" vertical="center" wrapText="1"/>
    </xf>
    <xf numFmtId="0" fontId="4" fillId="0" borderId="3" xfId="0" applyFont="1" applyBorder="1" applyAlignment="1">
      <alignment vertical="top" wrapText="1"/>
    </xf>
    <xf numFmtId="164" fontId="4" fillId="0" borderId="1" xfId="4" applyNumberFormat="1" applyFont="1" applyBorder="1" applyAlignment="1">
      <alignment horizontal="right" vertical="top"/>
    </xf>
    <xf numFmtId="0" fontId="5" fillId="0" borderId="2" xfId="0" applyFont="1" applyBorder="1" applyAlignment="1">
      <alignment vertical="top" wrapText="1"/>
    </xf>
    <xf numFmtId="0" fontId="5" fillId="0" borderId="1" xfId="0" applyFont="1" applyFill="1" applyBorder="1" applyAlignment="1">
      <alignment horizontal="center" vertical="top" wrapText="1"/>
    </xf>
    <xf numFmtId="0" fontId="6" fillId="0" borderId="0" xfId="0" applyFont="1"/>
    <xf numFmtId="198" fontId="4" fillId="0" borderId="0" xfId="0" applyNumberFormat="1" applyFont="1" applyAlignment="1">
      <alignment horizontal="right"/>
    </xf>
    <xf numFmtId="200" fontId="4" fillId="0" borderId="0" xfId="0" quotePrefix="1" applyNumberFormat="1" applyFont="1" applyAlignment="1">
      <alignment horizontal="left"/>
    </xf>
    <xf numFmtId="164" fontId="5" fillId="0" borderId="1" xfId="107" applyNumberFormat="1" applyFont="1" applyFill="1" applyBorder="1" applyAlignment="1">
      <alignment horizontal="right"/>
    </xf>
    <xf numFmtId="0" fontId="5" fillId="0" borderId="1" xfId="0" applyFont="1" applyFill="1" applyBorder="1" applyAlignment="1">
      <alignment horizontal="center"/>
    </xf>
    <xf numFmtId="0" fontId="4" fillId="0" borderId="0" xfId="0" applyFont="1" applyAlignment="1">
      <alignment horizontal="justify" vertical="top" wrapText="1"/>
    </xf>
    <xf numFmtId="164" fontId="4" fillId="7" borderId="1" xfId="107" applyNumberFormat="1" applyFont="1" applyFill="1" applyBorder="1" applyAlignment="1">
      <alignment horizontal="left" vertical="top" wrapText="1"/>
    </xf>
    <xf numFmtId="0" fontId="4" fillId="7" borderId="1" xfId="0" applyFont="1" applyFill="1" applyBorder="1" applyAlignment="1">
      <alignment horizontal="left" vertical="top" wrapText="1"/>
    </xf>
    <xf numFmtId="0" fontId="4" fillId="7" borderId="1" xfId="0" quotePrefix="1"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1" xfId="0" applyFont="1" applyFill="1" applyBorder="1" applyAlignment="1">
      <alignment horizontal="center" vertical="top" wrapText="1"/>
    </xf>
    <xf numFmtId="164" fontId="5" fillId="0" borderId="1" xfId="107" applyNumberFormat="1" applyFont="1" applyFill="1" applyBorder="1" applyAlignment="1"/>
    <xf numFmtId="164" fontId="4" fillId="0" borderId="1" xfId="107" applyNumberFormat="1" applyFont="1" applyFill="1" applyBorder="1" applyAlignment="1"/>
    <xf numFmtId="201" fontId="4" fillId="0" borderId="1" xfId="107" applyNumberFormat="1" applyFont="1" applyFill="1" applyBorder="1" applyAlignment="1">
      <alignment horizontal="right"/>
    </xf>
    <xf numFmtId="0" fontId="4" fillId="0" borderId="1" xfId="0" applyFont="1" applyFill="1" applyBorder="1" applyAlignment="1">
      <alignment horizontal="center"/>
    </xf>
    <xf numFmtId="0" fontId="4" fillId="7" borderId="1" xfId="0" applyFont="1" applyFill="1" applyBorder="1" applyAlignment="1">
      <alignment horizontal="left"/>
    </xf>
    <xf numFmtId="169" fontId="5" fillId="0" borderId="50" xfId="107" applyNumberFormat="1" applyFont="1" applyFill="1" applyBorder="1" applyAlignment="1">
      <alignment horizontal="justify" vertical="top" wrapText="1"/>
    </xf>
    <xf numFmtId="169" fontId="5" fillId="0" borderId="3" xfId="107" applyNumberFormat="1" applyFont="1" applyFill="1" applyBorder="1" applyAlignment="1">
      <alignment horizontal="justify" vertical="top" wrapText="1"/>
    </xf>
    <xf numFmtId="0" fontId="5" fillId="0" borderId="50" xfId="0" applyFont="1" applyBorder="1" applyAlignment="1">
      <alignment horizontal="center" vertical="top" wrapText="1"/>
    </xf>
    <xf numFmtId="0" fontId="5" fillId="0" borderId="50" xfId="0" applyFont="1" applyBorder="1" applyAlignment="1">
      <alignment horizontal="justify" vertical="top" wrapText="1"/>
    </xf>
    <xf numFmtId="169" fontId="4" fillId="0" borderId="50" xfId="107" applyNumberFormat="1" applyFont="1" applyFill="1" applyBorder="1" applyAlignment="1">
      <alignment horizontal="justify" vertical="top" wrapText="1"/>
    </xf>
    <xf numFmtId="0" fontId="4" fillId="0" borderId="50" xfId="0" applyFont="1" applyBorder="1" applyAlignment="1">
      <alignment horizontal="center" vertical="top" wrapText="1"/>
    </xf>
    <xf numFmtId="0" fontId="4" fillId="0" borderId="50" xfId="0" applyFont="1" applyBorder="1" applyAlignment="1">
      <alignment horizontal="justify" vertical="top" wrapText="1"/>
    </xf>
    <xf numFmtId="0" fontId="4" fillId="0" borderId="0" xfId="0" applyFont="1" applyAlignment="1">
      <alignment vertical="center"/>
    </xf>
    <xf numFmtId="164" fontId="4" fillId="0" borderId="1" xfId="107" quotePrefix="1" applyNumberFormat="1" applyFont="1" applyBorder="1" applyAlignment="1">
      <alignment horizontal="center" vertical="center" wrapText="1"/>
    </xf>
    <xf numFmtId="0" fontId="4" fillId="0" borderId="1" xfId="0" quotePrefix="1" applyFont="1" applyBorder="1" applyAlignment="1">
      <alignment horizontal="center" vertical="center" wrapText="1"/>
    </xf>
    <xf numFmtId="164" fontId="5" fillId="0" borderId="1" xfId="107" applyNumberFormat="1" applyFont="1" applyBorder="1" applyAlignment="1">
      <alignment horizontal="center" vertical="top" wrapText="1"/>
    </xf>
    <xf numFmtId="164" fontId="6" fillId="0" borderId="0" xfId="107" applyNumberFormat="1" applyFont="1"/>
    <xf numFmtId="169" fontId="6" fillId="0" borderId="0" xfId="0" applyNumberFormat="1" applyFont="1"/>
    <xf numFmtId="0" fontId="6" fillId="0" borderId="17" xfId="0" applyFont="1" applyBorder="1" applyAlignment="1"/>
    <xf numFmtId="169" fontId="5" fillId="0" borderId="0" xfId="107" applyNumberFormat="1" applyFont="1" applyFill="1" applyBorder="1" applyAlignment="1">
      <alignment horizontal="right"/>
    </xf>
    <xf numFmtId="169" fontId="5" fillId="0" borderId="0" xfId="107" applyNumberFormat="1" applyFont="1" applyFill="1" applyBorder="1" applyAlignment="1">
      <alignment horizontal="center"/>
    </xf>
    <xf numFmtId="0" fontId="5" fillId="0" borderId="0" xfId="0" applyFont="1" applyBorder="1" applyAlignment="1">
      <alignment horizontal="center" vertical="top"/>
    </xf>
    <xf numFmtId="0" fontId="5" fillId="0" borderId="0" xfId="0" applyFont="1" applyFill="1" applyBorder="1" applyAlignment="1"/>
    <xf numFmtId="10" fontId="5" fillId="0" borderId="0" xfId="5" applyNumberFormat="1" applyFont="1"/>
    <xf numFmtId="169" fontId="5" fillId="0" borderId="1" xfId="107" applyNumberFormat="1" applyFont="1" applyFill="1" applyBorder="1" applyAlignment="1">
      <alignment horizontal="right"/>
    </xf>
    <xf numFmtId="169" fontId="5" fillId="0" borderId="1" xfId="107" applyNumberFormat="1" applyFont="1" applyFill="1" applyBorder="1" applyAlignment="1">
      <alignment horizontal="center"/>
    </xf>
    <xf numFmtId="169" fontId="5" fillId="0" borderId="4" xfId="107" applyNumberFormat="1" applyFont="1" applyFill="1" applyBorder="1" applyAlignment="1">
      <alignment horizontal="right"/>
    </xf>
    <xf numFmtId="0" fontId="5" fillId="0" borderId="4" xfId="0" applyFont="1" applyBorder="1" applyAlignment="1">
      <alignment horizontal="left" vertical="top"/>
    </xf>
    <xf numFmtId="0" fontId="5" fillId="0" borderId="4" xfId="0" applyFont="1" applyFill="1" applyBorder="1" applyAlignment="1"/>
    <xf numFmtId="169" fontId="4" fillId="0" borderId="3" xfId="107" applyNumberFormat="1" applyFont="1" applyFill="1" applyBorder="1" applyAlignment="1">
      <alignment horizontal="justify" vertical="top" wrapText="1"/>
    </xf>
    <xf numFmtId="0" fontId="5" fillId="0" borderId="15" xfId="0" quotePrefix="1" applyFont="1" applyBorder="1" applyAlignment="1">
      <alignment horizontal="justify" vertical="top" wrapText="1"/>
    </xf>
    <xf numFmtId="0" fontId="4" fillId="0" borderId="15" xfId="0" applyFont="1" applyBorder="1" applyAlignment="1">
      <alignment horizontal="justify" vertical="top" wrapText="1"/>
    </xf>
    <xf numFmtId="164" fontId="4" fillId="0" borderId="0" xfId="107" applyNumberFormat="1" applyFont="1" applyAlignment="1">
      <alignment horizontal="justify" vertical="top" wrapText="1"/>
    </xf>
    <xf numFmtId="0" fontId="5" fillId="0" borderId="0" xfId="0" applyFont="1" applyAlignment="1">
      <alignment horizontal="justify" vertical="top" wrapText="1"/>
    </xf>
    <xf numFmtId="0" fontId="5" fillId="0" borderId="50" xfId="0" applyFont="1" applyFill="1" applyBorder="1" applyAlignment="1">
      <alignment horizontal="center" vertical="top" wrapText="1"/>
    </xf>
    <xf numFmtId="164" fontId="4" fillId="0" borderId="1" xfId="107" quotePrefix="1" applyNumberFormat="1" applyFont="1" applyBorder="1" applyAlignment="1">
      <alignment horizontal="center" vertical="top" wrapText="1"/>
    </xf>
    <xf numFmtId="0" fontId="4" fillId="0" borderId="1" xfId="0" quotePrefix="1" applyFont="1" applyBorder="1" applyAlignment="1">
      <alignment horizontal="center" vertical="top" wrapText="1"/>
    </xf>
    <xf numFmtId="0" fontId="7" fillId="0" borderId="17" xfId="0" applyFont="1" applyBorder="1" applyAlignment="1"/>
    <xf numFmtId="169" fontId="4" fillId="0" borderId="0" xfId="107" applyNumberFormat="1" applyFont="1" applyAlignment="1">
      <alignment vertical="center"/>
    </xf>
    <xf numFmtId="0" fontId="4" fillId="0" borderId="0" xfId="0" applyFont="1" applyAlignment="1">
      <alignment horizontal="center" vertical="center"/>
    </xf>
    <xf numFmtId="169" fontId="5" fillId="0" borderId="1" xfId="0" applyNumberFormat="1" applyFont="1" applyBorder="1" applyAlignment="1">
      <alignment vertical="center"/>
    </xf>
    <xf numFmtId="169" fontId="4" fillId="0" borderId="1" xfId="0" applyNumberFormat="1" applyFont="1" applyBorder="1" applyAlignment="1">
      <alignment vertical="center"/>
    </xf>
    <xf numFmtId="169" fontId="4" fillId="0" borderId="1" xfId="107" applyNumberFormat="1" applyFont="1" applyBorder="1" applyAlignment="1">
      <alignment vertical="center"/>
    </xf>
    <xf numFmtId="0" fontId="5" fillId="0" borderId="0" xfId="0" applyFont="1" applyAlignment="1">
      <alignment horizontal="center" vertical="center"/>
    </xf>
    <xf numFmtId="169" fontId="5" fillId="0" borderId="1" xfId="107" applyNumberFormat="1" applyFont="1" applyBorder="1" applyAlignment="1">
      <alignment horizontal="center" vertical="center"/>
    </xf>
    <xf numFmtId="164" fontId="4" fillId="0" borderId="0" xfId="4" applyNumberFormat="1" applyFont="1" applyBorder="1"/>
    <xf numFmtId="10" fontId="5" fillId="0" borderId="1" xfId="0" applyNumberFormat="1" applyFont="1" applyBorder="1" applyAlignment="1">
      <alignment horizontal="right" vertical="center" wrapText="1"/>
    </xf>
    <xf numFmtId="0" fontId="5" fillId="0" borderId="1" xfId="0" applyFont="1" applyBorder="1" applyAlignment="1">
      <alignment horizontal="right" vertical="center" wrapText="1"/>
    </xf>
    <xf numFmtId="164" fontId="5" fillId="0" borderId="1" xfId="4" applyNumberFormat="1" applyFont="1" applyBorder="1" applyAlignment="1">
      <alignment horizontal="right" vertical="center" wrapText="1"/>
    </xf>
    <xf numFmtId="3" fontId="5" fillId="0" borderId="1" xfId="0" applyNumberFormat="1" applyFont="1" applyBorder="1" applyAlignment="1">
      <alignment horizontal="right" vertical="center" wrapText="1"/>
    </xf>
    <xf numFmtId="0" fontId="4" fillId="0" borderId="1" xfId="0" applyFont="1" applyBorder="1" applyAlignment="1">
      <alignment horizontal="right" vertical="center" wrapText="1"/>
    </xf>
    <xf numFmtId="164" fontId="4" fillId="0" borderId="1" xfId="4" applyNumberFormat="1" applyFont="1" applyBorder="1" applyAlignment="1">
      <alignment horizontal="right" vertical="center" wrapText="1"/>
    </xf>
    <xf numFmtId="3" fontId="4" fillId="0" borderId="1" xfId="0" applyNumberFormat="1" applyFont="1" applyBorder="1" applyAlignment="1">
      <alignment horizontal="right" vertical="center" wrapText="1"/>
    </xf>
    <xf numFmtId="0" fontId="6" fillId="0" borderId="1" xfId="0" applyFont="1" applyBorder="1" applyAlignment="1">
      <alignment horizontal="center" vertical="center" wrapText="1"/>
    </xf>
    <xf numFmtId="9" fontId="4" fillId="0" borderId="1" xfId="5" applyFont="1" applyBorder="1"/>
    <xf numFmtId="0" fontId="7" fillId="0" borderId="1" xfId="0" applyFont="1" applyBorder="1" applyAlignment="1">
      <alignment horizontal="center" vertical="center" wrapText="1"/>
    </xf>
    <xf numFmtId="0" fontId="6" fillId="0" borderId="1" xfId="0" applyFont="1" applyBorder="1" applyAlignment="1">
      <alignment horizontal="center" vertical="top" wrapText="1"/>
    </xf>
    <xf numFmtId="164" fontId="4" fillId="0" borderId="0" xfId="0" applyNumberFormat="1" applyFont="1" applyBorder="1"/>
    <xf numFmtId="171" fontId="4" fillId="0" borderId="0" xfId="4" applyNumberFormat="1" applyFont="1" applyBorder="1"/>
    <xf numFmtId="9" fontId="4" fillId="0" borderId="0" xfId="5" applyFont="1" applyBorder="1"/>
    <xf numFmtId="0" fontId="17" fillId="0" borderId="0" xfId="68" applyFont="1"/>
    <xf numFmtId="0" fontId="17" fillId="0" borderId="0" xfId="67" applyFont="1"/>
    <xf numFmtId="0" fontId="17" fillId="0" borderId="0" xfId="0" applyFont="1" applyBorder="1"/>
    <xf numFmtId="0" fontId="17" fillId="0" borderId="0" xfId="104" applyFont="1"/>
    <xf numFmtId="0" fontId="17" fillId="0" borderId="0" xfId="0" applyFont="1" applyAlignment="1">
      <alignment vertical="center"/>
    </xf>
    <xf numFmtId="0" fontId="17" fillId="0" borderId="0" xfId="71" applyFont="1"/>
    <xf numFmtId="0" fontId="17" fillId="0" borderId="0" xfId="62" applyFont="1"/>
    <xf numFmtId="0" fontId="17" fillId="0" borderId="0" xfId="66" applyFont="1"/>
    <xf numFmtId="3" fontId="17" fillId="0" borderId="0" xfId="67" applyNumberFormat="1" applyFont="1"/>
    <xf numFmtId="0" fontId="14" fillId="0" borderId="0" xfId="0" quotePrefix="1" applyFont="1" applyAlignment="1">
      <alignment horizontal="left" vertical="center"/>
    </xf>
    <xf numFmtId="171" fontId="14" fillId="0" borderId="0" xfId="0" applyNumberFormat="1" applyFont="1"/>
    <xf numFmtId="164" fontId="14" fillId="0" borderId="0" xfId="4" applyNumberFormat="1" applyFont="1" applyAlignment="1">
      <alignment vertical="center"/>
    </xf>
    <xf numFmtId="0" fontId="14" fillId="0" borderId="0" xfId="0" applyFont="1" applyAlignment="1">
      <alignment horizontal="left" vertical="center"/>
    </xf>
    <xf numFmtId="0" fontId="14" fillId="0" borderId="0" xfId="0" quotePrefix="1" applyFont="1"/>
    <xf numFmtId="171" fontId="14" fillId="0" borderId="0" xfId="4" applyNumberFormat="1" applyFont="1"/>
    <xf numFmtId="0" fontId="4" fillId="0" borderId="0" xfId="23" applyFont="1"/>
    <xf numFmtId="164" fontId="4" fillId="0" borderId="0" xfId="108" applyNumberFormat="1" applyFont="1"/>
    <xf numFmtId="0" fontId="6" fillId="0" borderId="0" xfId="23" applyFont="1" applyAlignment="1">
      <alignment horizontal="right"/>
    </xf>
    <xf numFmtId="0" fontId="5" fillId="0" borderId="0" xfId="23" applyFont="1" applyAlignment="1">
      <alignment horizontal="left"/>
    </xf>
    <xf numFmtId="164" fontId="4" fillId="0" borderId="0" xfId="23" applyNumberFormat="1" applyFont="1"/>
    <xf numFmtId="0" fontId="4" fillId="0" borderId="0" xfId="23" applyFont="1" applyAlignment="1">
      <alignment horizontal="left" vertical="center"/>
    </xf>
    <xf numFmtId="0" fontId="14" fillId="0" borderId="0" xfId="70" applyFont="1"/>
    <xf numFmtId="0" fontId="5" fillId="0" borderId="0" xfId="23" applyFont="1"/>
    <xf numFmtId="164" fontId="5" fillId="0" borderId="1" xfId="23" applyNumberFormat="1" applyFont="1" applyBorder="1" applyAlignment="1">
      <alignment horizontal="center"/>
    </xf>
    <xf numFmtId="0" fontId="5" fillId="0" borderId="1" xfId="23" applyFont="1" applyBorder="1" applyAlignment="1">
      <alignment horizontal="center"/>
    </xf>
    <xf numFmtId="164" fontId="4" fillId="0" borderId="1" xfId="23" applyNumberFormat="1" applyFont="1" applyBorder="1" applyAlignment="1">
      <alignment horizontal="center"/>
    </xf>
    <xf numFmtId="164" fontId="17" fillId="0" borderId="1" xfId="23" applyNumberFormat="1" applyFont="1" applyBorder="1" applyAlignment="1"/>
    <xf numFmtId="0" fontId="17" fillId="0" borderId="1" xfId="23" applyFont="1" applyBorder="1"/>
    <xf numFmtId="0" fontId="4" fillId="0" borderId="1" xfId="23" applyFont="1" applyBorder="1"/>
    <xf numFmtId="0" fontId="4" fillId="0" borderId="1" xfId="23" applyFont="1" applyBorder="1" applyAlignment="1">
      <alignment horizontal="center"/>
    </xf>
    <xf numFmtId="9" fontId="17" fillId="0" borderId="1" xfId="23" applyNumberFormat="1" applyFont="1" applyBorder="1"/>
    <xf numFmtId="3" fontId="5" fillId="0" borderId="0" xfId="23" applyNumberFormat="1" applyFont="1"/>
    <xf numFmtId="164" fontId="17" fillId="0" borderId="1" xfId="108" applyNumberFormat="1" applyFont="1" applyBorder="1"/>
    <xf numFmtId="0" fontId="17" fillId="0" borderId="1" xfId="23" applyFont="1" applyBorder="1" applyAlignment="1">
      <alignment horizontal="center"/>
    </xf>
    <xf numFmtId="0" fontId="4" fillId="0" borderId="1" xfId="23" applyFont="1" applyBorder="1" applyAlignment="1">
      <alignment horizontal="left"/>
    </xf>
    <xf numFmtId="164" fontId="17" fillId="0" borderId="1" xfId="108" applyNumberFormat="1" applyFont="1" applyBorder="1" applyAlignment="1"/>
    <xf numFmtId="0" fontId="4" fillId="0" borderId="1" xfId="23" quotePrefix="1" applyFont="1" applyBorder="1" applyAlignment="1">
      <alignment horizontal="left"/>
    </xf>
    <xf numFmtId="164" fontId="4" fillId="0" borderId="1" xfId="108" applyNumberFormat="1" applyFont="1" applyBorder="1" applyAlignment="1">
      <alignment horizontal="right"/>
    </xf>
    <xf numFmtId="0" fontId="5" fillId="0" borderId="1" xfId="23" applyFont="1" applyBorder="1" applyAlignment="1">
      <alignment horizontal="center" vertical="center"/>
    </xf>
    <xf numFmtId="0" fontId="50" fillId="0" borderId="0" xfId="23" applyFont="1"/>
    <xf numFmtId="0" fontId="51" fillId="0" borderId="0" xfId="23" applyFont="1" applyAlignment="1">
      <alignment horizontal="left"/>
    </xf>
    <xf numFmtId="0" fontId="50" fillId="0" borderId="0" xfId="23" applyFont="1" applyAlignment="1">
      <alignment horizontal="left" vertical="center"/>
    </xf>
    <xf numFmtId="164" fontId="50" fillId="0" borderId="0" xfId="23" applyNumberFormat="1" applyFont="1"/>
    <xf numFmtId="164" fontId="50" fillId="0" borderId="0" xfId="108" applyNumberFormat="1" applyFont="1"/>
    <xf numFmtId="0" fontId="52" fillId="0" borderId="0" xfId="23" applyFont="1" applyAlignment="1">
      <alignment horizontal="right"/>
    </xf>
    <xf numFmtId="9" fontId="50" fillId="0" borderId="0" xfId="81" applyFont="1"/>
    <xf numFmtId="3" fontId="51" fillId="0" borderId="0" xfId="23" applyNumberFormat="1" applyFont="1"/>
    <xf numFmtId="3" fontId="50" fillId="0" borderId="0" xfId="23" applyNumberFormat="1" applyFont="1"/>
    <xf numFmtId="164" fontId="50" fillId="0" borderId="0" xfId="108" applyNumberFormat="1" applyFont="1" applyAlignment="1">
      <alignment horizontal="left"/>
    </xf>
    <xf numFmtId="0" fontId="50" fillId="0" borderId="0" xfId="23" applyFont="1" applyAlignment="1">
      <alignment horizontal="left"/>
    </xf>
    <xf numFmtId="164" fontId="50" fillId="0" borderId="0" xfId="108" applyNumberFormat="1" applyFont="1" applyAlignment="1">
      <alignment horizontal="left" vertical="center"/>
    </xf>
    <xf numFmtId="164" fontId="50" fillId="0" borderId="0" xfId="40" applyNumberFormat="1" applyFont="1"/>
    <xf numFmtId="209" fontId="50" fillId="0" borderId="0" xfId="23" applyNumberFormat="1" applyFont="1"/>
    <xf numFmtId="10" fontId="50" fillId="0" borderId="0" xfId="109" applyNumberFormat="1" applyFont="1"/>
    <xf numFmtId="0" fontId="51" fillId="0" borderId="0" xfId="23" applyFont="1"/>
    <xf numFmtId="177" fontId="50" fillId="0" borderId="0" xfId="108" applyNumberFormat="1" applyFont="1"/>
    <xf numFmtId="164" fontId="51" fillId="0" borderId="1" xfId="23" applyNumberFormat="1" applyFont="1" applyBorder="1" applyAlignment="1">
      <alignment horizontal="center"/>
    </xf>
    <xf numFmtId="0" fontId="51" fillId="0" borderId="1" xfId="23" applyFont="1" applyBorder="1" applyAlignment="1">
      <alignment horizontal="center"/>
    </xf>
    <xf numFmtId="164" fontId="50" fillId="0" borderId="1" xfId="23" applyNumberFormat="1" applyFont="1" applyBorder="1" applyAlignment="1">
      <alignment horizontal="center"/>
    </xf>
    <xf numFmtId="164" fontId="50" fillId="0" borderId="1" xfId="23" applyNumberFormat="1" applyFont="1" applyBorder="1" applyAlignment="1"/>
    <xf numFmtId="0" fontId="50" fillId="0" borderId="1" xfId="23" applyFont="1" applyBorder="1"/>
    <xf numFmtId="0" fontId="50" fillId="0" borderId="1" xfId="23" applyFont="1" applyBorder="1" applyAlignment="1">
      <alignment horizontal="center"/>
    </xf>
    <xf numFmtId="9" fontId="50" fillId="0" borderId="1" xfId="23" applyNumberFormat="1" applyFont="1" applyBorder="1"/>
    <xf numFmtId="164" fontId="50" fillId="0" borderId="1" xfId="40" applyNumberFormat="1" applyFont="1" applyBorder="1" applyAlignment="1">
      <alignment horizontal="right"/>
    </xf>
    <xf numFmtId="164" fontId="50" fillId="0" borderId="1" xfId="30" applyNumberFormat="1" applyFont="1" applyBorder="1"/>
    <xf numFmtId="164" fontId="50" fillId="0" borderId="1" xfId="30" applyNumberFormat="1" applyFont="1" applyBorder="1" applyAlignment="1">
      <alignment horizontal="center"/>
    </xf>
    <xf numFmtId="0" fontId="50" fillId="0" borderId="1" xfId="70" applyFont="1" applyBorder="1" applyAlignment="1">
      <alignment horizontal="center"/>
    </xf>
    <xf numFmtId="0" fontId="50" fillId="0" borderId="1" xfId="70" applyFont="1" applyBorder="1" applyAlignment="1">
      <alignment horizontal="left"/>
    </xf>
    <xf numFmtId="164" fontId="51" fillId="0" borderId="1" xfId="23" applyNumberFormat="1" applyFont="1" applyBorder="1" applyAlignment="1">
      <alignment horizontal="center" vertical="center" wrapText="1"/>
    </xf>
    <xf numFmtId="0" fontId="51" fillId="0" borderId="1" xfId="23" applyFont="1" applyBorder="1" applyAlignment="1">
      <alignment horizontal="center" vertical="center" wrapText="1"/>
    </xf>
    <xf numFmtId="165" fontId="17" fillId="0" borderId="1" xfId="23" applyNumberFormat="1" applyFont="1" applyBorder="1"/>
    <xf numFmtId="43" fontId="50" fillId="0" borderId="0" xfId="23" applyNumberFormat="1" applyFont="1"/>
    <xf numFmtId="165" fontId="50" fillId="0" borderId="0" xfId="81" applyNumberFormat="1" applyFont="1"/>
    <xf numFmtId="9" fontId="50" fillId="0" borderId="0" xfId="81" applyNumberFormat="1" applyFont="1"/>
    <xf numFmtId="164" fontId="51" fillId="0" borderId="1" xfId="40" applyNumberFormat="1" applyFont="1" applyBorder="1" applyAlignment="1">
      <alignment horizontal="center"/>
    </xf>
    <xf numFmtId="9" fontId="50" fillId="0" borderId="0" xfId="109" applyFont="1"/>
    <xf numFmtId="164" fontId="50" fillId="0" borderId="1" xfId="40" applyNumberFormat="1" applyFont="1" applyBorder="1" applyAlignment="1">
      <alignment horizontal="center"/>
    </xf>
    <xf numFmtId="164" fontId="50" fillId="0" borderId="1" xfId="40" applyNumberFormat="1" applyFont="1" applyBorder="1" applyAlignment="1"/>
    <xf numFmtId="164" fontId="50" fillId="0" borderId="1" xfId="40" applyNumberFormat="1" applyFont="1" applyBorder="1" applyAlignment="1">
      <alignment horizontal="right" vertical="center" wrapText="1"/>
    </xf>
    <xf numFmtId="164" fontId="50" fillId="0" borderId="1" xfId="40" applyNumberFormat="1" applyFont="1" applyBorder="1" applyAlignment="1">
      <alignment horizontal="center" vertical="center" wrapText="1"/>
    </xf>
    <xf numFmtId="0" fontId="50" fillId="0" borderId="1" xfId="70" applyFont="1" applyBorder="1" applyAlignment="1">
      <alignment horizontal="center" vertical="center"/>
    </xf>
    <xf numFmtId="0" fontId="50" fillId="0" borderId="1" xfId="70" applyFont="1" applyBorder="1" applyAlignment="1">
      <alignment vertical="center" wrapText="1"/>
    </xf>
    <xf numFmtId="0" fontId="50" fillId="0" borderId="92" xfId="70" applyFont="1" applyBorder="1" applyAlignment="1">
      <alignment horizontal="center" vertical="center"/>
    </xf>
    <xf numFmtId="164" fontId="50" fillId="0" borderId="1" xfId="40" applyNumberFormat="1" applyFont="1" applyBorder="1" applyAlignment="1">
      <alignment horizontal="center" vertical="center"/>
    </xf>
    <xf numFmtId="0" fontId="50" fillId="0" borderId="1" xfId="70" applyFont="1" applyBorder="1" applyAlignment="1">
      <alignment vertical="center"/>
    </xf>
    <xf numFmtId="0" fontId="53" fillId="0" borderId="0" xfId="23" applyFont="1"/>
    <xf numFmtId="0" fontId="4" fillId="0" borderId="0" xfId="110" applyFont="1"/>
    <xf numFmtId="198" fontId="4" fillId="0" borderId="0" xfId="110" applyNumberFormat="1" applyFont="1"/>
    <xf numFmtId="198" fontId="4" fillId="0" borderId="0" xfId="110" applyNumberFormat="1" applyFont="1" applyAlignment="1">
      <alignment horizontal="right"/>
    </xf>
    <xf numFmtId="0" fontId="4" fillId="0" borderId="0" xfId="110" applyFont="1" applyAlignment="1">
      <alignment horizontal="center"/>
    </xf>
    <xf numFmtId="198" fontId="4" fillId="0" borderId="0" xfId="110" applyNumberFormat="1" applyFont="1" applyAlignment="1">
      <alignment horizontal="right" vertical="center"/>
    </xf>
    <xf numFmtId="0" fontId="4" fillId="0" borderId="0" xfId="110" applyFont="1" applyAlignment="1">
      <alignment horizontal="center" vertical="center"/>
    </xf>
    <xf numFmtId="0" fontId="4" fillId="0" borderId="0" xfId="110" applyFont="1" applyAlignment="1">
      <alignment vertical="center"/>
    </xf>
    <xf numFmtId="198" fontId="5" fillId="0" borderId="0" xfId="110" applyNumberFormat="1" applyFont="1" applyAlignment="1">
      <alignment horizontal="right" vertical="center"/>
    </xf>
    <xf numFmtId="0" fontId="5" fillId="0" borderId="0" xfId="110" applyFont="1" applyAlignment="1">
      <alignment vertical="center"/>
    </xf>
    <xf numFmtId="165" fontId="4" fillId="0" borderId="0" xfId="110" applyNumberFormat="1" applyFont="1" applyAlignment="1">
      <alignment vertical="center"/>
    </xf>
    <xf numFmtId="0" fontId="4" fillId="0" borderId="0" xfId="110" quotePrefix="1" applyFont="1"/>
    <xf numFmtId="198" fontId="5" fillId="0" borderId="0" xfId="110" applyNumberFormat="1" applyFont="1" applyAlignment="1">
      <alignment horizontal="right"/>
    </xf>
    <xf numFmtId="215" fontId="4" fillId="0" borderId="0" xfId="111" applyNumberFormat="1" applyFont="1"/>
    <xf numFmtId="214" fontId="4" fillId="0" borderId="0" xfId="110" applyNumberFormat="1" applyFont="1"/>
    <xf numFmtId="216" fontId="4" fillId="0" borderId="0" xfId="111" applyNumberFormat="1" applyFont="1" applyAlignment="1">
      <alignment vertical="center"/>
    </xf>
    <xf numFmtId="0" fontId="4" fillId="0" borderId="0" xfId="110" quotePrefix="1" applyFont="1" applyAlignment="1">
      <alignment vertical="center"/>
    </xf>
    <xf numFmtId="217" fontId="4" fillId="0" borderId="0" xfId="110" applyNumberFormat="1" applyFont="1" applyAlignment="1">
      <alignment vertical="center"/>
    </xf>
    <xf numFmtId="218" fontId="4" fillId="0" borderId="0" xfId="111" applyNumberFormat="1" applyFont="1" applyAlignment="1">
      <alignment vertical="center"/>
    </xf>
    <xf numFmtId="214" fontId="4" fillId="0" borderId="0" xfId="110" applyNumberFormat="1" applyFont="1" applyAlignment="1">
      <alignment vertical="center"/>
    </xf>
    <xf numFmtId="215" fontId="4" fillId="0" borderId="0" xfId="111" applyNumberFormat="1" applyFont="1" applyAlignment="1">
      <alignment vertical="center"/>
    </xf>
    <xf numFmtId="43" fontId="4" fillId="0" borderId="0" xfId="111" applyNumberFormat="1" applyFont="1"/>
    <xf numFmtId="0" fontId="5" fillId="0" borderId="0" xfId="110" applyFont="1"/>
    <xf numFmtId="0" fontId="4" fillId="0" borderId="0" xfId="110" applyFont="1" applyAlignment="1"/>
    <xf numFmtId="198" fontId="4" fillId="0" borderId="0" xfId="110" applyNumberFormat="1" applyFont="1" applyAlignment="1"/>
    <xf numFmtId="0" fontId="17" fillId="0" borderId="0" xfId="110" applyFont="1" applyAlignment="1">
      <alignment horizontal="center"/>
    </xf>
    <xf numFmtId="0" fontId="4" fillId="0" borderId="0" xfId="0" applyFont="1" applyAlignment="1"/>
    <xf numFmtId="0" fontId="5" fillId="0" borderId="0" xfId="0" applyFont="1" applyAlignment="1"/>
    <xf numFmtId="0" fontId="5" fillId="0" borderId="0" xfId="0" applyFont="1" applyAlignment="1">
      <alignment horizontal="center"/>
    </xf>
    <xf numFmtId="164" fontId="5" fillId="0" borderId="0" xfId="0" applyNumberFormat="1" applyFont="1"/>
    <xf numFmtId="0" fontId="4" fillId="0" borderId="0" xfId="0" applyFont="1" applyAlignment="1">
      <alignment horizontal="left"/>
    </xf>
    <xf numFmtId="0" fontId="5" fillId="0" borderId="0" xfId="0" applyFont="1" applyBorder="1"/>
    <xf numFmtId="165" fontId="17" fillId="0" borderId="0" xfId="5" applyNumberFormat="1" applyFont="1"/>
    <xf numFmtId="164" fontId="4" fillId="0" borderId="0" xfId="4" applyNumberFormat="1" applyFont="1" applyBorder="1" applyAlignment="1">
      <alignment horizontal="right"/>
    </xf>
    <xf numFmtId="0" fontId="4" fillId="0" borderId="0" xfId="0" applyFont="1" applyBorder="1" applyAlignment="1"/>
    <xf numFmtId="171" fontId="4" fillId="0" borderId="0" xfId="4" applyNumberFormat="1" applyFont="1" applyBorder="1" applyAlignment="1">
      <alignment horizontal="right"/>
    </xf>
    <xf numFmtId="0" fontId="5" fillId="0" borderId="0" xfId="0" applyFont="1" applyBorder="1" applyAlignment="1"/>
    <xf numFmtId="0" fontId="5" fillId="0" borderId="0" xfId="0" applyFont="1" applyBorder="1" applyAlignment="1">
      <alignment horizontal="left"/>
    </xf>
    <xf numFmtId="0" fontId="59" fillId="0" borderId="1" xfId="0" quotePrefix="1" applyFont="1" applyBorder="1" applyAlignment="1">
      <alignment horizontal="center"/>
    </xf>
    <xf numFmtId="0" fontId="59" fillId="0" borderId="1" xfId="0" applyFont="1" applyBorder="1" applyAlignment="1">
      <alignment horizontal="center"/>
    </xf>
    <xf numFmtId="164" fontId="4" fillId="0" borderId="1" xfId="0" applyNumberFormat="1" applyFont="1" applyBorder="1" applyAlignment="1">
      <alignment horizontal="center"/>
    </xf>
    <xf numFmtId="0" fontId="4" fillId="0" borderId="1" xfId="0" quotePrefix="1" applyFont="1" applyBorder="1" applyAlignment="1">
      <alignment horizontal="center"/>
    </xf>
    <xf numFmtId="164" fontId="4" fillId="0" borderId="1" xfId="4" applyNumberFormat="1" applyFont="1" applyFill="1" applyBorder="1" applyAlignment="1"/>
    <xf numFmtId="3" fontId="4" fillId="0" borderId="1" xfId="0" applyNumberFormat="1" applyFont="1" applyFill="1" applyBorder="1" applyAlignment="1">
      <alignment horizontal="center"/>
    </xf>
    <xf numFmtId="164" fontId="5" fillId="0" borderId="1" xfId="0" applyNumberFormat="1" applyFont="1" applyBorder="1" applyAlignment="1">
      <alignment horizontal="center"/>
    </xf>
    <xf numFmtId="3" fontId="4" fillId="0" borderId="1" xfId="0" applyNumberFormat="1" applyFont="1" applyBorder="1" applyAlignment="1">
      <alignment horizontal="center"/>
    </xf>
    <xf numFmtId="0" fontId="5" fillId="0" borderId="1" xfId="0" applyFont="1" applyBorder="1" applyAlignment="1"/>
    <xf numFmtId="9" fontId="17" fillId="2" borderId="0" xfId="5" applyFont="1" applyFill="1" applyAlignment="1">
      <alignment horizontal="center"/>
    </xf>
    <xf numFmtId="227" fontId="4" fillId="2" borderId="0" xfId="4" applyNumberFormat="1" applyFont="1" applyFill="1" applyAlignment="1">
      <alignment horizontal="center"/>
    </xf>
    <xf numFmtId="219" fontId="4" fillId="0" borderId="0" xfId="4" applyNumberFormat="1" applyFont="1"/>
    <xf numFmtId="171" fontId="4" fillId="0" borderId="0" xfId="4" applyNumberFormat="1" applyFont="1"/>
    <xf numFmtId="0" fontId="42" fillId="0" borderId="0" xfId="0" applyFont="1" applyFill="1" applyBorder="1" applyAlignment="1">
      <alignment horizontal="left" vertical="top" wrapText="1"/>
    </xf>
    <xf numFmtId="0" fontId="5" fillId="0" borderId="0" xfId="0" applyFont="1" applyFill="1" applyBorder="1" applyAlignment="1">
      <alignment vertical="top" wrapText="1"/>
    </xf>
    <xf numFmtId="0" fontId="5" fillId="0" borderId="1" xfId="0" quotePrefix="1" applyFont="1" applyFill="1" applyBorder="1" applyAlignment="1">
      <alignment horizontal="center" vertical="top" wrapText="1"/>
    </xf>
    <xf numFmtId="164" fontId="4" fillId="0" borderId="1" xfId="0" applyNumberFormat="1" applyFont="1" applyFill="1" applyBorder="1" applyAlignment="1">
      <alignment vertical="top" wrapText="1"/>
    </xf>
    <xf numFmtId="0" fontId="4" fillId="0" borderId="1" xfId="0" quotePrefix="1" applyFont="1" applyFill="1" applyBorder="1" applyAlignment="1">
      <alignment horizontal="center" vertical="top" wrapText="1"/>
    </xf>
    <xf numFmtId="164" fontId="4" fillId="0" borderId="1" xfId="4" applyNumberFormat="1" applyFont="1" applyFill="1" applyBorder="1" applyAlignment="1">
      <alignment vertical="top" wrapText="1"/>
    </xf>
    <xf numFmtId="0" fontId="5" fillId="0" borderId="1" xfId="0" applyFont="1" applyFill="1" applyBorder="1" applyAlignment="1">
      <alignment vertical="top" wrapText="1"/>
    </xf>
    <xf numFmtId="164" fontId="5" fillId="0" borderId="1" xfId="4" applyNumberFormat="1" applyFont="1" applyBorder="1" applyAlignment="1">
      <alignment horizontal="center" vertical="top" wrapText="1"/>
    </xf>
    <xf numFmtId="0" fontId="5" fillId="0" borderId="1" xfId="0" applyFont="1" applyBorder="1" applyAlignment="1">
      <alignment horizontal="justify" vertical="top" wrapText="1"/>
    </xf>
    <xf numFmtId="164" fontId="4" fillId="0" borderId="1" xfId="4" applyNumberFormat="1" applyFont="1" applyBorder="1" applyAlignment="1">
      <alignment horizontal="center" vertical="top" wrapText="1"/>
    </xf>
    <xf numFmtId="3" fontId="5" fillId="0" borderId="1" xfId="0" applyNumberFormat="1" applyFont="1" applyBorder="1" applyAlignment="1">
      <alignment horizontal="center" vertical="top" wrapText="1"/>
    </xf>
    <xf numFmtId="43" fontId="17" fillId="0" borderId="0" xfId="4" applyNumberFormat="1" applyFont="1"/>
    <xf numFmtId="227" fontId="4" fillId="0" borderId="0" xfId="4" applyNumberFormat="1" applyFont="1"/>
    <xf numFmtId="164" fontId="5" fillId="0" borderId="1" xfId="4" applyNumberFormat="1" applyFont="1" applyBorder="1" applyAlignment="1">
      <alignment vertical="center"/>
    </xf>
    <xf numFmtId="0" fontId="5" fillId="0" borderId="1" xfId="0" quotePrefix="1" applyFont="1" applyFill="1" applyBorder="1" applyAlignment="1">
      <alignment horizontal="center" vertical="center" wrapText="1"/>
    </xf>
    <xf numFmtId="164" fontId="4" fillId="0" borderId="1" xfId="0" applyNumberFormat="1" applyFont="1" applyFill="1" applyBorder="1" applyAlignment="1">
      <alignment vertical="center" wrapText="1"/>
    </xf>
    <xf numFmtId="0" fontId="4" fillId="0" borderId="1" xfId="0" quotePrefix="1" applyFont="1" applyFill="1" applyBorder="1" applyAlignment="1">
      <alignment horizontal="center" vertical="center" wrapText="1"/>
    </xf>
    <xf numFmtId="164" fontId="4" fillId="0" borderId="1" xfId="4" applyNumberFormat="1" applyFont="1" applyFill="1" applyBorder="1" applyAlignment="1">
      <alignment vertical="center" wrapText="1"/>
    </xf>
    <xf numFmtId="0" fontId="5" fillId="0" borderId="1" xfId="0" applyFont="1" applyFill="1" applyBorder="1" applyAlignment="1">
      <alignment vertical="center" wrapText="1"/>
    </xf>
    <xf numFmtId="164" fontId="4" fillId="0" borderId="1" xfId="4" applyNumberFormat="1" applyFont="1" applyBorder="1" applyAlignment="1">
      <alignment vertical="center"/>
    </xf>
    <xf numFmtId="164" fontId="5" fillId="0" borderId="1" xfId="4" applyNumberFormat="1" applyFont="1" applyBorder="1" applyAlignment="1">
      <alignment horizontal="center" vertical="center" wrapText="1"/>
    </xf>
    <xf numFmtId="0" fontId="14" fillId="12" borderId="0" xfId="0" applyFont="1" applyFill="1" applyAlignment="1">
      <alignment vertical="center" wrapText="1"/>
    </xf>
    <xf numFmtId="3" fontId="14" fillId="0" borderId="1" xfId="0" applyNumberFormat="1" applyFont="1" applyBorder="1" applyAlignment="1">
      <alignment horizontal="right"/>
    </xf>
    <xf numFmtId="3" fontId="14" fillId="0" borderId="1" xfId="0" applyNumberFormat="1" applyFont="1" applyBorder="1" applyAlignment="1">
      <alignment horizontal="right" wrapText="1"/>
    </xf>
    <xf numFmtId="0" fontId="14" fillId="0" borderId="1" xfId="0" applyFont="1" applyBorder="1" applyAlignment="1">
      <alignment horizontal="center" wrapText="1"/>
    </xf>
    <xf numFmtId="0" fontId="14" fillId="0" borderId="1" xfId="0" applyFont="1" applyBorder="1" applyAlignment="1">
      <alignment horizontal="left" wrapText="1"/>
    </xf>
    <xf numFmtId="3" fontId="60" fillId="0" borderId="1" xfId="0" applyNumberFormat="1" applyFont="1" applyBorder="1" applyAlignment="1">
      <alignment horizontal="right" wrapText="1"/>
    </xf>
    <xf numFmtId="0" fontId="60" fillId="0" borderId="1" xfId="0" applyFont="1" applyBorder="1" applyAlignment="1">
      <alignment horizontal="center" wrapText="1"/>
    </xf>
    <xf numFmtId="0" fontId="4" fillId="0" borderId="0" xfId="133" applyFont="1" applyAlignment="1">
      <alignment horizontal="center" vertical="center"/>
    </xf>
    <xf numFmtId="164" fontId="4" fillId="0" borderId="0" xfId="134" applyNumberFormat="1" applyFont="1" applyAlignment="1">
      <alignment horizontal="center" vertical="center"/>
    </xf>
    <xf numFmtId="164" fontId="4" fillId="0" borderId="0" xfId="134" applyNumberFormat="1" applyFont="1" applyAlignment="1">
      <alignment horizontal="right" vertical="center"/>
    </xf>
    <xf numFmtId="0" fontId="4" fillId="0" borderId="0" xfId="133" applyFont="1" applyAlignment="1">
      <alignment horizontal="right" vertical="center"/>
    </xf>
    <xf numFmtId="168" fontId="4" fillId="0" borderId="0" xfId="133" applyNumberFormat="1" applyFont="1" applyAlignment="1">
      <alignment horizontal="center" vertical="center"/>
    </xf>
    <xf numFmtId="171" fontId="4" fillId="0" borderId="0" xfId="134" applyNumberFormat="1" applyFont="1" applyAlignment="1">
      <alignment horizontal="center" vertical="center"/>
    </xf>
    <xf numFmtId="9" fontId="4" fillId="0" borderId="0" xfId="135" applyFont="1" applyAlignment="1">
      <alignment horizontal="right" vertical="center"/>
    </xf>
    <xf numFmtId="9" fontId="4" fillId="0" borderId="0" xfId="135" applyNumberFormat="1" applyFont="1" applyAlignment="1">
      <alignment horizontal="right" vertical="center"/>
    </xf>
    <xf numFmtId="43" fontId="4" fillId="0" borderId="0" xfId="133" applyNumberFormat="1" applyFont="1" applyAlignment="1">
      <alignment horizontal="center" vertical="center"/>
    </xf>
    <xf numFmtId="164" fontId="5" fillId="0" borderId="0" xfId="134" applyNumberFormat="1" applyFont="1" applyAlignment="1">
      <alignment horizontal="right" vertical="center"/>
    </xf>
    <xf numFmtId="10" fontId="4" fillId="0" borderId="0" xfId="135" applyNumberFormat="1" applyFont="1" applyAlignment="1">
      <alignment horizontal="center" vertical="center"/>
    </xf>
    <xf numFmtId="169" fontId="4" fillId="0" borderId="0" xfId="133" applyNumberFormat="1" applyFont="1" applyAlignment="1">
      <alignment horizontal="right" vertical="center"/>
    </xf>
    <xf numFmtId="0" fontId="4" fillId="0" borderId="0" xfId="133" applyFont="1" applyAlignment="1">
      <alignment horizontal="left" vertical="center"/>
    </xf>
    <xf numFmtId="164" fontId="4" fillId="0" borderId="0" xfId="133" applyNumberFormat="1" applyFont="1" applyAlignment="1">
      <alignment horizontal="right" vertical="center"/>
    </xf>
    <xf numFmtId="164" fontId="5" fillId="0" borderId="0" xfId="134" applyNumberFormat="1" applyFont="1" applyBorder="1" applyAlignment="1">
      <alignment horizontal="right" vertical="center"/>
    </xf>
    <xf numFmtId="0" fontId="5" fillId="0" borderId="0" xfId="133" applyFont="1" applyBorder="1" applyAlignment="1">
      <alignment horizontal="center" vertical="center"/>
    </xf>
    <xf numFmtId="229" fontId="4" fillId="0" borderId="0" xfId="133" applyNumberFormat="1" applyFont="1" applyAlignment="1">
      <alignment horizontal="center" vertical="center"/>
    </xf>
    <xf numFmtId="164" fontId="4" fillId="0" borderId="0" xfId="133" applyNumberFormat="1" applyFont="1" applyAlignment="1">
      <alignment horizontal="center" vertical="center"/>
    </xf>
    <xf numFmtId="165" fontId="14" fillId="0" borderId="0" xfId="5" applyNumberFormat="1" applyFont="1"/>
    <xf numFmtId="164" fontId="5" fillId="0" borderId="1" xfId="138" applyNumberFormat="1" applyFont="1" applyBorder="1"/>
    <xf numFmtId="164" fontId="4" fillId="0" borderId="1" xfId="138" applyNumberFormat="1" applyFont="1" applyBorder="1"/>
    <xf numFmtId="164" fontId="4" fillId="0" borderId="1" xfId="138" applyNumberFormat="1" applyFont="1" applyBorder="1" applyAlignment="1"/>
    <xf numFmtId="0" fontId="13" fillId="0" borderId="0" xfId="0" applyFont="1" applyBorder="1" applyAlignment="1">
      <alignment horizontal="right"/>
    </xf>
    <xf numFmtId="172" fontId="14" fillId="0" borderId="0" xfId="0" applyNumberFormat="1" applyFont="1"/>
    <xf numFmtId="172" fontId="14" fillId="0" borderId="0" xfId="138" applyNumberFormat="1" applyFont="1"/>
    <xf numFmtId="172" fontId="14" fillId="2" borderId="0" xfId="138" applyNumberFormat="1" applyFont="1" applyFill="1"/>
    <xf numFmtId="0" fontId="5" fillId="0" borderId="0" xfId="0" applyFont="1" applyAlignment="1">
      <alignment horizontal="right"/>
    </xf>
    <xf numFmtId="0" fontId="17" fillId="0" borderId="0" xfId="133" applyFont="1" applyAlignment="1">
      <alignment horizontal="center" vertical="center"/>
    </xf>
    <xf numFmtId="0" fontId="4" fillId="0" borderId="0" xfId="10" applyFont="1" applyFill="1" applyAlignment="1">
      <alignment horizontal="center" vertical="center"/>
    </xf>
    <xf numFmtId="0" fontId="4" fillId="0" borderId="0" xfId="10" applyFont="1" applyFill="1" applyAlignment="1">
      <alignment vertical="center"/>
    </xf>
    <xf numFmtId="3" fontId="17" fillId="0" borderId="0" xfId="10" applyNumberFormat="1" applyFont="1" applyFill="1" applyAlignment="1">
      <alignment vertical="center"/>
    </xf>
    <xf numFmtId="0" fontId="5" fillId="0" borderId="0" xfId="10" applyFont="1" applyAlignment="1">
      <alignment horizontal="center" vertical="center"/>
    </xf>
    <xf numFmtId="0" fontId="5" fillId="0" borderId="0" xfId="10" applyFont="1" applyAlignment="1">
      <alignment vertical="center"/>
    </xf>
    <xf numFmtId="3" fontId="5" fillId="0" borderId="0" xfId="10" applyNumberFormat="1" applyFont="1" applyAlignment="1">
      <alignment vertical="center"/>
    </xf>
    <xf numFmtId="0" fontId="4" fillId="0" borderId="0" xfId="10" applyFont="1" applyAlignment="1">
      <alignment horizontal="center" vertical="center"/>
    </xf>
    <xf numFmtId="0" fontId="6" fillId="0" borderId="0" xfId="10" applyFont="1" applyAlignment="1">
      <alignment vertical="center"/>
    </xf>
    <xf numFmtId="0" fontId="4" fillId="0" borderId="0" xfId="10" applyFont="1" applyAlignment="1">
      <alignment vertical="center"/>
    </xf>
    <xf numFmtId="3" fontId="4" fillId="0" borderId="0" xfId="10" applyNumberFormat="1" applyFont="1" applyAlignment="1">
      <alignment vertical="center"/>
    </xf>
    <xf numFmtId="10" fontId="4" fillId="0" borderId="0" xfId="11" applyNumberFormat="1" applyFont="1" applyAlignment="1">
      <alignment vertical="center"/>
    </xf>
    <xf numFmtId="0" fontId="4" fillId="0" borderId="0" xfId="10" quotePrefix="1" applyFont="1" applyAlignment="1">
      <alignment horizontal="center" vertical="center"/>
    </xf>
    <xf numFmtId="165" fontId="4" fillId="0" borderId="0" xfId="11" applyNumberFormat="1" applyFont="1" applyAlignment="1">
      <alignment vertical="center"/>
    </xf>
    <xf numFmtId="0" fontId="5" fillId="0" borderId="0" xfId="10" applyFont="1" applyAlignment="1">
      <alignment horizontal="right" vertical="center"/>
    </xf>
    <xf numFmtId="0" fontId="5" fillId="0" borderId="0" xfId="10" applyFont="1" applyFill="1" applyAlignment="1">
      <alignment horizontal="center" vertical="center"/>
    </xf>
    <xf numFmtId="0" fontId="5" fillId="0" borderId="0" xfId="10" applyFont="1" applyFill="1" applyAlignment="1">
      <alignment vertical="center"/>
    </xf>
    <xf numFmtId="0" fontId="5" fillId="0" borderId="0" xfId="10" applyFont="1" applyFill="1" applyAlignment="1">
      <alignment horizontal="right" vertical="center"/>
    </xf>
    <xf numFmtId="3" fontId="5" fillId="0" borderId="0" xfId="10" applyNumberFormat="1" applyFont="1" applyFill="1" applyAlignment="1">
      <alignment vertical="center"/>
    </xf>
    <xf numFmtId="0" fontId="5" fillId="0" borderId="4" xfId="10" applyFont="1" applyFill="1" applyBorder="1" applyAlignment="1">
      <alignment vertical="center"/>
    </xf>
    <xf numFmtId="0" fontId="5" fillId="0" borderId="13" xfId="10" applyFont="1" applyFill="1" applyBorder="1" applyAlignment="1">
      <alignment vertical="center"/>
    </xf>
    <xf numFmtId="0" fontId="5" fillId="0" borderId="5" xfId="10" applyFont="1" applyFill="1" applyBorder="1" applyAlignment="1">
      <alignment vertical="center"/>
    </xf>
    <xf numFmtId="3" fontId="5" fillId="0" borderId="1" xfId="10" applyNumberFormat="1" applyFont="1" applyFill="1" applyBorder="1" applyAlignment="1">
      <alignment vertical="center"/>
    </xf>
    <xf numFmtId="164" fontId="5" fillId="0" borderId="19" xfId="12" applyNumberFormat="1" applyFont="1" applyBorder="1" applyAlignment="1">
      <alignment horizontal="center" vertical="center"/>
    </xf>
    <xf numFmtId="0" fontId="5" fillId="0" borderId="1" xfId="10" quotePrefix="1" applyFont="1" applyFill="1" applyBorder="1" applyAlignment="1">
      <alignment horizontal="center" vertical="center"/>
    </xf>
    <xf numFmtId="0" fontId="5" fillId="0" borderId="19" xfId="10" applyFont="1" applyFill="1" applyBorder="1" applyAlignment="1">
      <alignment horizontal="center" vertical="center"/>
    </xf>
    <xf numFmtId="0" fontId="4" fillId="0" borderId="1" xfId="10" applyFont="1" applyFill="1" applyBorder="1" applyAlignment="1">
      <alignment horizontal="center" vertical="center"/>
    </xf>
    <xf numFmtId="0" fontId="4" fillId="0" borderId="1" xfId="10" applyFont="1" applyBorder="1"/>
    <xf numFmtId="0" fontId="4" fillId="0" borderId="13" xfId="10" applyFont="1" applyFill="1" applyBorder="1" applyAlignment="1">
      <alignment horizontal="center" vertical="center"/>
    </xf>
    <xf numFmtId="172" fontId="4" fillId="0" borderId="1" xfId="12" applyNumberFormat="1" applyFont="1" applyBorder="1"/>
    <xf numFmtId="3" fontId="4" fillId="0" borderId="1" xfId="10" applyNumberFormat="1" applyFont="1" applyFill="1" applyBorder="1" applyAlignment="1">
      <alignment horizontal="right" vertical="center"/>
    </xf>
    <xf numFmtId="164" fontId="4" fillId="0" borderId="19" xfId="12" applyNumberFormat="1" applyFont="1" applyBorder="1" applyAlignment="1">
      <alignment horizontal="center" vertical="center"/>
    </xf>
    <xf numFmtId="0" fontId="4" fillId="0" borderId="13" xfId="10" applyFont="1" applyFill="1" applyBorder="1" applyAlignment="1">
      <alignment vertical="center"/>
    </xf>
    <xf numFmtId="0" fontId="4" fillId="0" borderId="1" xfId="10" applyFont="1" applyFill="1" applyBorder="1" applyAlignment="1">
      <alignment vertical="center"/>
    </xf>
    <xf numFmtId="0" fontId="63" fillId="0" borderId="0" xfId="10" applyFont="1" applyFill="1" applyBorder="1" applyAlignment="1">
      <alignment vertical="center" wrapText="1"/>
    </xf>
    <xf numFmtId="3" fontId="4" fillId="0" borderId="0" xfId="10" applyNumberFormat="1" applyFont="1" applyFill="1" applyAlignment="1">
      <alignment vertical="center"/>
    </xf>
    <xf numFmtId="165" fontId="4" fillId="0" borderId="0" xfId="11" applyNumberFormat="1" applyFont="1" applyFill="1" applyAlignment="1">
      <alignment vertical="center"/>
    </xf>
    <xf numFmtId="0" fontId="4" fillId="0" borderId="0" xfId="10" applyFont="1" applyFill="1" applyAlignment="1">
      <alignment horizontal="right" vertical="center"/>
    </xf>
    <xf numFmtId="165" fontId="5" fillId="0" borderId="0" xfId="11" applyNumberFormat="1" applyFont="1" applyFill="1" applyAlignment="1">
      <alignment vertical="center"/>
    </xf>
    <xf numFmtId="171" fontId="4" fillId="0" borderId="0" xfId="12" applyNumberFormat="1" applyFont="1" applyFill="1" applyAlignment="1">
      <alignment vertical="center"/>
    </xf>
    <xf numFmtId="0" fontId="4" fillId="0" borderId="0" xfId="10" applyFont="1" applyFill="1" applyAlignment="1">
      <alignment horizontal="left" vertical="center"/>
    </xf>
    <xf numFmtId="0" fontId="4" fillId="0" borderId="0" xfId="10" applyFont="1" applyAlignment="1">
      <alignment horizontal="right" vertical="center"/>
    </xf>
    <xf numFmtId="0" fontId="4" fillId="0" borderId="0" xfId="10" applyFont="1" applyAlignment="1">
      <alignment horizontal="left" vertical="center"/>
    </xf>
    <xf numFmtId="3" fontId="45" fillId="0" borderId="0" xfId="62" applyNumberFormat="1" applyFont="1" applyAlignment="1">
      <alignment horizontal="center"/>
    </xf>
    <xf numFmtId="3" fontId="45" fillId="0" borderId="38" xfId="62" applyNumberFormat="1" applyFont="1" applyBorder="1"/>
    <xf numFmtId="3" fontId="48" fillId="0" borderId="12" xfId="62" applyNumberFormat="1" applyFont="1" applyBorder="1" applyAlignment="1">
      <alignment horizontal="center"/>
    </xf>
    <xf numFmtId="3" fontId="4" fillId="0" borderId="29" xfId="62" applyNumberFormat="1" applyFont="1" applyBorder="1"/>
    <xf numFmtId="3" fontId="4" fillId="0" borderId="49" xfId="62" applyNumberFormat="1" applyFont="1" applyBorder="1" applyAlignment="1">
      <alignment horizontal="center"/>
    </xf>
    <xf numFmtId="3" fontId="4" fillId="0" borderId="48" xfId="62" applyNumberFormat="1" applyFont="1" applyBorder="1" applyAlignment="1">
      <alignment horizontal="center"/>
    </xf>
    <xf numFmtId="3" fontId="4" fillId="0" borderId="37" xfId="62" applyNumberFormat="1" applyFont="1" applyBorder="1" applyAlignment="1">
      <alignment horizontal="center"/>
    </xf>
    <xf numFmtId="0" fontId="45" fillId="0" borderId="26" xfId="62" applyFont="1" applyBorder="1"/>
    <xf numFmtId="3" fontId="4" fillId="0" borderId="25" xfId="62" applyNumberFormat="1" applyFont="1" applyBorder="1" applyAlignment="1">
      <alignment horizontal="center"/>
    </xf>
    <xf numFmtId="0" fontId="45" fillId="0" borderId="0" xfId="62" applyFont="1"/>
    <xf numFmtId="193" fontId="45" fillId="0" borderId="1" xfId="62" applyNumberFormat="1" applyFont="1" applyBorder="1"/>
    <xf numFmtId="3" fontId="45" fillId="0" borderId="6" xfId="62" applyNumberFormat="1" applyFont="1" applyBorder="1"/>
    <xf numFmtId="3" fontId="45" fillId="0" borderId="39" xfId="62" applyNumberFormat="1" applyFont="1" applyBorder="1"/>
    <xf numFmtId="3" fontId="4" fillId="0" borderId="1" xfId="62" applyNumberFormat="1" applyFont="1" applyBorder="1" applyAlignment="1">
      <alignment vertical="center"/>
    </xf>
    <xf numFmtId="3" fontId="4" fillId="0" borderId="47" xfId="62" applyNumberFormat="1" applyFont="1" applyBorder="1"/>
    <xf numFmtId="164" fontId="45" fillId="0" borderId="18" xfId="30" applyNumberFormat="1" applyFont="1" applyBorder="1"/>
    <xf numFmtId="3" fontId="45" fillId="0" borderId="37" xfId="62" applyNumberFormat="1" applyFont="1" applyBorder="1"/>
    <xf numFmtId="3" fontId="45" fillId="0" borderId="36" xfId="62" applyNumberFormat="1" applyFont="1" applyBorder="1"/>
    <xf numFmtId="9" fontId="4" fillId="0" borderId="0" xfId="62" applyNumberFormat="1" applyFont="1"/>
    <xf numFmtId="193" fontId="45" fillId="0" borderId="37" xfId="62" applyNumberFormat="1" applyFont="1" applyBorder="1"/>
    <xf numFmtId="10" fontId="45" fillId="0" borderId="24" xfId="62" applyNumberFormat="1" applyFont="1" applyBorder="1"/>
    <xf numFmtId="3" fontId="45" fillId="0" borderId="0" xfId="62" applyNumberFormat="1" applyFont="1"/>
    <xf numFmtId="0" fontId="45" fillId="0" borderId="0" xfId="67" applyFont="1" applyBorder="1" applyAlignment="1">
      <alignment horizontal="center"/>
    </xf>
    <xf numFmtId="1" fontId="5" fillId="7" borderId="35" xfId="67" applyNumberFormat="1" applyFont="1" applyFill="1" applyBorder="1" applyAlignment="1">
      <alignment horizontal="center" vertical="center" wrapText="1"/>
    </xf>
    <xf numFmtId="1" fontId="5" fillId="7" borderId="34" xfId="67" applyNumberFormat="1" applyFont="1" applyFill="1" applyBorder="1" applyAlignment="1">
      <alignment horizontal="center" vertical="center" wrapText="1"/>
    </xf>
    <xf numFmtId="0" fontId="45" fillId="0" borderId="31" xfId="67" applyFont="1" applyBorder="1"/>
    <xf numFmtId="0" fontId="5" fillId="0" borderId="31" xfId="67" applyFont="1" applyBorder="1"/>
    <xf numFmtId="0" fontId="5" fillId="0" borderId="30" xfId="67" applyFont="1" applyBorder="1" applyAlignment="1">
      <alignment horizontal="center" vertical="center" wrapText="1"/>
    </xf>
    <xf numFmtId="0" fontId="5" fillId="7" borderId="29" xfId="67" applyFont="1" applyFill="1" applyBorder="1" applyAlignment="1">
      <alignment horizontal="center"/>
    </xf>
    <xf numFmtId="0" fontId="5" fillId="7" borderId="28" xfId="67" applyFont="1" applyFill="1" applyBorder="1"/>
    <xf numFmtId="0" fontId="5" fillId="7" borderId="28" xfId="67" applyFont="1" applyFill="1" applyBorder="1" applyAlignment="1">
      <alignment horizontal="center"/>
    </xf>
    <xf numFmtId="3" fontId="5" fillId="7" borderId="28" xfId="67" applyNumberFormat="1" applyFont="1" applyFill="1" applyBorder="1" applyAlignment="1"/>
    <xf numFmtId="3" fontId="5" fillId="7" borderId="27" xfId="67" applyNumberFormat="1" applyFont="1" applyFill="1" applyBorder="1" applyAlignment="1"/>
    <xf numFmtId="0" fontId="4" fillId="7" borderId="29" xfId="67" applyFont="1" applyFill="1" applyBorder="1" applyAlignment="1">
      <alignment horizontal="center"/>
    </xf>
    <xf numFmtId="0" fontId="4" fillId="7" borderId="28" xfId="67" applyFont="1" applyFill="1" applyBorder="1"/>
    <xf numFmtId="0" fontId="4" fillId="7" borderId="28" xfId="67" applyFont="1" applyFill="1" applyBorder="1" applyAlignment="1">
      <alignment horizontal="center"/>
    </xf>
    <xf numFmtId="3" fontId="4" fillId="7" borderId="28" xfId="67" applyNumberFormat="1" applyFont="1" applyFill="1" applyBorder="1" applyAlignment="1"/>
    <xf numFmtId="3" fontId="4" fillId="7" borderId="28" xfId="67" applyNumberFormat="1" applyFont="1" applyFill="1" applyBorder="1" applyAlignment="1">
      <alignment horizontal="center"/>
    </xf>
    <xf numFmtId="3" fontId="4" fillId="7" borderId="28" xfId="67" applyNumberFormat="1" applyFont="1" applyFill="1" applyBorder="1"/>
    <xf numFmtId="3" fontId="4" fillId="7" borderId="27" xfId="67" applyNumberFormat="1" applyFont="1" applyFill="1" applyBorder="1" applyAlignment="1"/>
    <xf numFmtId="0" fontId="45" fillId="7" borderId="28" xfId="67" applyFont="1" applyFill="1" applyBorder="1"/>
    <xf numFmtId="3" fontId="5" fillId="7" borderId="28" xfId="67" applyNumberFormat="1" applyFont="1" applyFill="1" applyBorder="1" applyAlignment="1">
      <alignment horizontal="center"/>
    </xf>
    <xf numFmtId="3" fontId="5" fillId="7" borderId="28" xfId="67" applyNumberFormat="1" applyFont="1" applyFill="1" applyBorder="1"/>
    <xf numFmtId="193" fontId="4" fillId="7" borderId="28" xfId="67" applyNumberFormat="1" applyFont="1" applyFill="1" applyBorder="1" applyAlignment="1">
      <alignment horizontal="center"/>
    </xf>
    <xf numFmtId="0" fontId="45" fillId="0" borderId="25" xfId="67" applyFont="1" applyBorder="1"/>
    <xf numFmtId="3" fontId="5" fillId="7" borderId="24" xfId="67" applyNumberFormat="1" applyFont="1" applyFill="1" applyBorder="1" applyAlignment="1"/>
    <xf numFmtId="0" fontId="4" fillId="0" borderId="1" xfId="10" quotePrefix="1" applyFont="1" applyFill="1" applyBorder="1" applyAlignment="1">
      <alignment horizontal="center" vertical="center"/>
    </xf>
    <xf numFmtId="3" fontId="4" fillId="0" borderId="1" xfId="12" applyNumberFormat="1" applyFont="1" applyFill="1" applyBorder="1" applyAlignment="1">
      <alignment vertical="center"/>
    </xf>
    <xf numFmtId="3" fontId="4" fillId="0" borderId="1" xfId="10" applyNumberFormat="1" applyFont="1" applyFill="1" applyBorder="1" applyAlignment="1">
      <alignment vertical="center"/>
    </xf>
    <xf numFmtId="0" fontId="4" fillId="0" borderId="19" xfId="10" applyFont="1" applyFill="1" applyBorder="1" applyAlignment="1">
      <alignment horizontal="center" vertical="center"/>
    </xf>
    <xf numFmtId="0" fontId="4" fillId="0" borderId="1" xfId="10" applyFont="1" applyBorder="1" applyAlignment="1">
      <alignment vertical="center"/>
    </xf>
    <xf numFmtId="0" fontId="4" fillId="0" borderId="1" xfId="10" applyFont="1" applyBorder="1" applyAlignment="1">
      <alignment horizontal="center" vertical="center"/>
    </xf>
    <xf numFmtId="3" fontId="4" fillId="0" borderId="4" xfId="10" applyNumberFormat="1" applyFont="1" applyBorder="1" applyAlignment="1">
      <alignment vertical="center"/>
    </xf>
    <xf numFmtId="3" fontId="4" fillId="0" borderId="13" xfId="10" applyNumberFormat="1" applyFont="1" applyBorder="1" applyAlignment="1">
      <alignment vertical="center"/>
    </xf>
    <xf numFmtId="3" fontId="4" fillId="0" borderId="5" xfId="10" applyNumberFormat="1" applyFont="1" applyBorder="1" applyAlignment="1">
      <alignment vertical="center"/>
    </xf>
    <xf numFmtId="3" fontId="4" fillId="0" borderId="1" xfId="12" applyNumberFormat="1" applyFont="1" applyBorder="1" applyAlignment="1">
      <alignment vertical="center"/>
    </xf>
    <xf numFmtId="0" fontId="5" fillId="0" borderId="1" xfId="10" applyFont="1" applyBorder="1" applyAlignment="1">
      <alignment horizontal="center" vertical="center"/>
    </xf>
    <xf numFmtId="3" fontId="5" fillId="0" borderId="1" xfId="12" applyNumberFormat="1" applyFont="1" applyBorder="1" applyAlignment="1">
      <alignment vertical="center"/>
    </xf>
    <xf numFmtId="3" fontId="4" fillId="0" borderId="0" xfId="10" applyNumberFormat="1" applyFont="1" applyFill="1" applyAlignment="1">
      <alignment horizontal="center" vertical="center"/>
    </xf>
    <xf numFmtId="165" fontId="4" fillId="0" borderId="0" xfId="11" applyNumberFormat="1" applyFont="1" applyFill="1" applyAlignment="1">
      <alignment horizontal="right" vertical="center"/>
    </xf>
    <xf numFmtId="0" fontId="5" fillId="0" borderId="0" xfId="10" quotePrefix="1" applyFont="1" applyAlignment="1">
      <alignment horizontal="center" vertical="center"/>
    </xf>
    <xf numFmtId="3" fontId="4" fillId="0" borderId="0" xfId="10" applyNumberFormat="1" applyFont="1" applyAlignment="1">
      <alignment horizontal="right" vertical="center"/>
    </xf>
    <xf numFmtId="0" fontId="17" fillId="0" borderId="0" xfId="136" applyFont="1"/>
    <xf numFmtId="0" fontId="13" fillId="0" borderId="1" xfId="136" applyFont="1" applyBorder="1" applyAlignment="1">
      <alignment horizontal="center" vertical="center" wrapText="1"/>
    </xf>
    <xf numFmtId="0" fontId="13" fillId="0" borderId="1" xfId="136" applyFont="1" applyBorder="1" applyAlignment="1">
      <alignment horizontal="right" vertical="center" wrapText="1"/>
    </xf>
    <xf numFmtId="0" fontId="14" fillId="0" borderId="1" xfId="136" applyFont="1" applyBorder="1" applyAlignment="1">
      <alignment vertical="center" wrapText="1"/>
    </xf>
    <xf numFmtId="3" fontId="13" fillId="0" borderId="1" xfId="136" applyNumberFormat="1" applyFont="1" applyBorder="1" applyAlignment="1">
      <alignment horizontal="right" vertical="center" wrapText="1"/>
    </xf>
    <xf numFmtId="0" fontId="14" fillId="0" borderId="1" xfId="136" applyFont="1" applyBorder="1" applyAlignment="1">
      <alignment horizontal="center" vertical="center" wrapText="1"/>
    </xf>
    <xf numFmtId="0" fontId="65" fillId="0" borderId="1" xfId="136" applyFont="1" applyBorder="1" applyAlignment="1">
      <alignment vertical="center"/>
    </xf>
    <xf numFmtId="0" fontId="65" fillId="0" borderId="1" xfId="136" applyFont="1" applyBorder="1" applyAlignment="1">
      <alignment horizontal="center" vertical="center"/>
    </xf>
    <xf numFmtId="0" fontId="65" fillId="0" borderId="1" xfId="136" applyFont="1" applyBorder="1" applyAlignment="1">
      <alignment horizontal="right" vertical="center"/>
    </xf>
    <xf numFmtId="3" fontId="65" fillId="0" borderId="1" xfId="136" applyNumberFormat="1" applyFont="1" applyBorder="1" applyAlignment="1">
      <alignment horizontal="right" vertical="center"/>
    </xf>
    <xf numFmtId="3" fontId="14" fillId="0" borderId="1" xfId="136" applyNumberFormat="1" applyFont="1" applyBorder="1" applyAlignment="1">
      <alignment horizontal="right" vertical="center" wrapText="1"/>
    </xf>
    <xf numFmtId="0" fontId="61" fillId="0" borderId="1" xfId="136" applyFont="1" applyBorder="1" applyAlignment="1">
      <alignment horizontal="center" vertical="center"/>
    </xf>
    <xf numFmtId="3" fontId="14" fillId="0" borderId="5" xfId="136" applyNumberFormat="1" applyFont="1" applyBorder="1" applyAlignment="1">
      <alignment horizontal="right" vertical="center" wrapText="1"/>
    </xf>
    <xf numFmtId="0" fontId="14" fillId="0" borderId="3" xfId="136" applyFont="1" applyBorder="1" applyAlignment="1">
      <alignment vertical="center" wrapText="1"/>
    </xf>
    <xf numFmtId="0" fontId="14" fillId="0" borderId="0" xfId="136" applyFont="1"/>
    <xf numFmtId="0" fontId="65" fillId="0" borderId="1" xfId="136" applyFont="1" applyBorder="1" applyAlignment="1">
      <alignment horizontal="right" vertical="center" wrapText="1"/>
    </xf>
    <xf numFmtId="3" fontId="66" fillId="0" borderId="1" xfId="136" applyNumberFormat="1" applyFont="1" applyBorder="1" applyAlignment="1">
      <alignment horizontal="right" vertical="center" wrapText="1"/>
    </xf>
    <xf numFmtId="9" fontId="65" fillId="0" borderId="1" xfId="136" applyNumberFormat="1" applyFont="1" applyBorder="1" applyAlignment="1">
      <alignment horizontal="right" vertical="center" wrapText="1"/>
    </xf>
    <xf numFmtId="165" fontId="65" fillId="0" borderId="1" xfId="136" applyNumberFormat="1" applyFont="1" applyBorder="1" applyAlignment="1">
      <alignment horizontal="right" vertical="center" wrapText="1"/>
    </xf>
    <xf numFmtId="0" fontId="66" fillId="0" borderId="1" xfId="136" applyFont="1" applyBorder="1" applyAlignment="1">
      <alignment horizontal="right" vertical="center" wrapText="1"/>
    </xf>
    <xf numFmtId="172" fontId="14" fillId="0" borderId="1" xfId="137" applyNumberFormat="1" applyFont="1" applyBorder="1" applyAlignment="1">
      <alignment horizontal="right" vertical="center" wrapText="1"/>
    </xf>
    <xf numFmtId="3" fontId="14" fillId="0" borderId="0" xfId="136" applyNumberFormat="1" applyFont="1"/>
    <xf numFmtId="3" fontId="65" fillId="0" borderId="1" xfId="136" applyNumberFormat="1" applyFont="1" applyBorder="1" applyAlignment="1">
      <alignment horizontal="right" vertical="center" wrapText="1"/>
    </xf>
    <xf numFmtId="0" fontId="14" fillId="0" borderId="1" xfId="136" applyFont="1" applyBorder="1" applyAlignment="1">
      <alignment horizontal="right" vertical="center" wrapText="1"/>
    </xf>
    <xf numFmtId="9" fontId="66" fillId="5" borderId="1" xfId="136" applyNumberFormat="1" applyFont="1" applyFill="1" applyBorder="1" applyAlignment="1">
      <alignment horizontal="right" vertical="center" wrapText="1"/>
    </xf>
    <xf numFmtId="0" fontId="46" fillId="0" borderId="1" xfId="136" applyFont="1" applyBorder="1" applyAlignment="1">
      <alignment horizontal="center" vertical="center" wrapText="1"/>
    </xf>
    <xf numFmtId="0" fontId="46" fillId="0" borderId="1" xfId="136" applyFont="1" applyBorder="1" applyAlignment="1">
      <alignment vertical="center" wrapText="1"/>
    </xf>
    <xf numFmtId="3" fontId="46" fillId="0" borderId="1" xfId="136" applyNumberFormat="1" applyFont="1" applyBorder="1" applyAlignment="1">
      <alignment horizontal="right" vertical="center" wrapText="1"/>
    </xf>
    <xf numFmtId="0" fontId="46" fillId="0" borderId="1" xfId="136" applyFont="1" applyBorder="1" applyAlignment="1">
      <alignment horizontal="right" vertical="center" wrapText="1"/>
    </xf>
    <xf numFmtId="0" fontId="13" fillId="0" borderId="0" xfId="136" applyFont="1"/>
    <xf numFmtId="0" fontId="17" fillId="0" borderId="1" xfId="136" applyFont="1" applyBorder="1" applyAlignment="1">
      <alignment horizontal="right" vertical="center" wrapText="1"/>
    </xf>
    <xf numFmtId="9" fontId="14" fillId="0" borderId="1" xfId="136" applyNumberFormat="1" applyFont="1" applyBorder="1" applyAlignment="1">
      <alignment horizontal="right" vertical="center" wrapText="1"/>
    </xf>
    <xf numFmtId="0" fontId="14" fillId="0" borderId="76" xfId="20" quotePrefix="1" applyFont="1" applyBorder="1" applyAlignment="1"/>
    <xf numFmtId="0" fontId="14" fillId="0" borderId="76" xfId="20" applyFont="1" applyBorder="1" applyAlignment="1"/>
    <xf numFmtId="203" fontId="14" fillId="0" borderId="76" xfId="20" applyNumberFormat="1" applyFont="1" applyBorder="1" applyAlignment="1"/>
    <xf numFmtId="203" fontId="14" fillId="0" borderId="76" xfId="48" applyNumberFormat="1" applyFont="1" applyBorder="1" applyAlignment="1"/>
    <xf numFmtId="0" fontId="14" fillId="0" borderId="75" xfId="20" quotePrefix="1" applyFont="1" applyBorder="1" applyAlignment="1">
      <alignment horizontal="left"/>
    </xf>
    <xf numFmtId="0" fontId="14" fillId="0" borderId="75" xfId="20" applyFont="1" applyBorder="1" applyAlignment="1">
      <alignment horizontal="left"/>
    </xf>
    <xf numFmtId="203" fontId="14" fillId="0" borderId="75" xfId="48" applyNumberFormat="1" applyFont="1" applyBorder="1" applyAlignment="1"/>
    <xf numFmtId="0" fontId="13" fillId="0" borderId="0" xfId="20" applyFont="1"/>
    <xf numFmtId="0" fontId="14" fillId="0" borderId="0" xfId="20" applyFont="1" applyAlignment="1"/>
    <xf numFmtId="0" fontId="13" fillId="0" borderId="1" xfId="20" applyFont="1" applyBorder="1" applyAlignment="1">
      <alignment horizontal="center" vertical="center" wrapText="1"/>
    </xf>
    <xf numFmtId="0" fontId="14" fillId="0" borderId="22" xfId="20" applyFont="1" applyBorder="1" applyAlignment="1">
      <alignment horizontal="center" vertical="center" wrapText="1"/>
    </xf>
    <xf numFmtId="0" fontId="14" fillId="0" borderId="22" xfId="20" applyFont="1" applyBorder="1" applyAlignment="1">
      <alignment vertical="center" wrapText="1"/>
    </xf>
    <xf numFmtId="164" fontId="17" fillId="0" borderId="22" xfId="4" applyNumberFormat="1" applyFont="1" applyBorder="1" applyAlignment="1">
      <alignment horizontal="right" vertical="center" wrapText="1"/>
    </xf>
    <xf numFmtId="164" fontId="14" fillId="0" borderId="22" xfId="48" applyNumberFormat="1" applyFont="1" applyBorder="1" applyAlignment="1">
      <alignment vertical="center" wrapText="1"/>
    </xf>
    <xf numFmtId="3" fontId="14" fillId="0" borderId="22" xfId="20" applyNumberFormat="1" applyFont="1" applyBorder="1" applyAlignment="1">
      <alignment vertical="center" wrapText="1"/>
    </xf>
    <xf numFmtId="164" fontId="17" fillId="0" borderId="22" xfId="4" applyNumberFormat="1" applyFont="1" applyBorder="1" applyAlignment="1">
      <alignment horizontal="center" vertical="center" wrapText="1"/>
    </xf>
    <xf numFmtId="3" fontId="17" fillId="0" borderId="22" xfId="20" applyNumberFormat="1" applyFont="1" applyBorder="1" applyAlignment="1">
      <alignment horizontal="center" vertical="center" wrapText="1"/>
    </xf>
    <xf numFmtId="0" fontId="14" fillId="0" borderId="21" xfId="20" applyFont="1" applyBorder="1" applyAlignment="1">
      <alignment horizontal="center" vertical="center" wrapText="1"/>
    </xf>
    <xf numFmtId="0" fontId="14" fillId="0" borderId="21" xfId="20" applyFont="1" applyBorder="1" applyAlignment="1">
      <alignment vertical="center" wrapText="1"/>
    </xf>
    <xf numFmtId="3" fontId="14" fillId="0" borderId="21" xfId="20" applyNumberFormat="1" applyFont="1" applyBorder="1" applyAlignment="1">
      <alignment vertical="center" wrapText="1"/>
    </xf>
    <xf numFmtId="0" fontId="13" fillId="0" borderId="1" xfId="20" applyFont="1" applyBorder="1" applyAlignment="1">
      <alignment vertical="center" wrapText="1"/>
    </xf>
    <xf numFmtId="3" fontId="13" fillId="0" borderId="1" xfId="20" applyNumberFormat="1" applyFont="1" applyBorder="1" applyAlignment="1">
      <alignment vertical="center" wrapText="1"/>
    </xf>
    <xf numFmtId="0" fontId="14" fillId="0" borderId="0" xfId="20" applyFont="1" applyBorder="1" applyAlignment="1">
      <alignment horizontal="center" vertical="top" wrapText="1"/>
    </xf>
    <xf numFmtId="0" fontId="14" fillId="0" borderId="0" xfId="20" applyFont="1" applyBorder="1" applyAlignment="1">
      <alignment vertical="top" wrapText="1"/>
    </xf>
    <xf numFmtId="0" fontId="14" fillId="0" borderId="0" xfId="20" applyFont="1" applyBorder="1" applyAlignment="1">
      <alignment horizontal="center" vertical="center" wrapText="1"/>
    </xf>
    <xf numFmtId="3" fontId="14" fillId="0" borderId="0" xfId="20" applyNumberFormat="1" applyFont="1" applyBorder="1" applyAlignment="1">
      <alignment horizontal="right" vertical="top" wrapText="1"/>
    </xf>
    <xf numFmtId="0" fontId="14" fillId="0" borderId="18" xfId="20" applyFont="1" applyBorder="1" applyAlignment="1">
      <alignment horizontal="center" vertical="center" wrapText="1"/>
    </xf>
    <xf numFmtId="164" fontId="17" fillId="0" borderId="18" xfId="4" applyNumberFormat="1" applyFont="1" applyBorder="1" applyAlignment="1">
      <alignment horizontal="center" vertical="center" wrapText="1"/>
    </xf>
    <xf numFmtId="164" fontId="14" fillId="0" borderId="18" xfId="48" applyNumberFormat="1" applyFont="1" applyBorder="1" applyAlignment="1">
      <alignment vertical="center" wrapText="1"/>
    </xf>
    <xf numFmtId="3" fontId="14" fillId="0" borderId="18" xfId="20" applyNumberFormat="1" applyFont="1" applyBorder="1" applyAlignment="1">
      <alignment vertical="center" wrapText="1"/>
    </xf>
    <xf numFmtId="0" fontId="14" fillId="0" borderId="86" xfId="20" applyFont="1" applyBorder="1" applyAlignment="1">
      <alignment horizontal="center" vertical="center" wrapText="1"/>
    </xf>
    <xf numFmtId="0" fontId="14" fillId="0" borderId="85" xfId="20" applyFont="1" applyBorder="1" applyAlignment="1">
      <alignment horizontal="left" vertical="center" wrapText="1"/>
    </xf>
    <xf numFmtId="0" fontId="14" fillId="0" borderId="84" xfId="20" applyFont="1" applyBorder="1" applyAlignment="1">
      <alignment horizontal="left" vertical="center" wrapText="1"/>
    </xf>
    <xf numFmtId="0" fontId="14" fillId="0" borderId="83" xfId="20" applyFont="1" applyBorder="1" applyAlignment="1">
      <alignment horizontal="left" vertical="center" wrapText="1"/>
    </xf>
    <xf numFmtId="0" fontId="18" fillId="0" borderId="0" xfId="20" applyFont="1" applyBorder="1" applyAlignment="1">
      <alignment horizontal="center" vertical="top" wrapText="1"/>
    </xf>
    <xf numFmtId="0" fontId="46" fillId="0" borderId="0" xfId="20" applyFont="1" applyBorder="1" applyAlignment="1">
      <alignment vertical="top" wrapText="1"/>
    </xf>
    <xf numFmtId="9" fontId="14" fillId="0" borderId="0" xfId="83" applyFont="1" applyBorder="1" applyAlignment="1">
      <alignment horizontal="right" vertical="top" wrapText="1"/>
    </xf>
    <xf numFmtId="0" fontId="14" fillId="0" borderId="0" xfId="20" applyFont="1"/>
    <xf numFmtId="0" fontId="17" fillId="0" borderId="0" xfId="23" applyFont="1"/>
    <xf numFmtId="0" fontId="14" fillId="11" borderId="0" xfId="70" applyFont="1" applyFill="1"/>
    <xf numFmtId="164" fontId="17" fillId="0" borderId="0" xfId="108" applyNumberFormat="1" applyFont="1"/>
    <xf numFmtId="210" fontId="4" fillId="0" borderId="0" xfId="109" applyNumberFormat="1" applyFont="1"/>
    <xf numFmtId="164" fontId="4" fillId="0" borderId="0" xfId="40" applyNumberFormat="1" applyFont="1"/>
    <xf numFmtId="209" fontId="17" fillId="0" borderId="0" xfId="23" applyNumberFormat="1" applyFont="1"/>
    <xf numFmtId="164" fontId="17" fillId="0" borderId="0" xfId="40" applyNumberFormat="1" applyFont="1"/>
    <xf numFmtId="0" fontId="4" fillId="0" borderId="0" xfId="23" applyFont="1" applyAlignment="1">
      <alignment horizontal="left"/>
    </xf>
    <xf numFmtId="164" fontId="17" fillId="0" borderId="0" xfId="108" applyNumberFormat="1" applyFont="1" applyAlignment="1">
      <alignment horizontal="left" vertical="center"/>
    </xf>
    <xf numFmtId="164" fontId="4" fillId="0" borderId="0" xfId="108" applyNumberFormat="1" applyFont="1" applyAlignment="1">
      <alignment horizontal="left"/>
    </xf>
    <xf numFmtId="3" fontId="4" fillId="0" borderId="0" xfId="23" applyNumberFormat="1" applyFont="1"/>
    <xf numFmtId="211" fontId="4" fillId="0" borderId="0" xfId="23" applyNumberFormat="1" applyFont="1"/>
    <xf numFmtId="210" fontId="4" fillId="0" borderId="0" xfId="81" applyNumberFormat="1" applyFont="1"/>
    <xf numFmtId="14" fontId="4" fillId="0" borderId="0" xfId="108" quotePrefix="1" applyNumberFormat="1" applyFont="1"/>
    <xf numFmtId="0" fontId="4" fillId="0" borderId="0" xfId="112" applyFont="1" applyBorder="1"/>
    <xf numFmtId="164" fontId="4" fillId="0" borderId="0" xfId="113" applyNumberFormat="1" applyFont="1" applyBorder="1"/>
    <xf numFmtId="0" fontId="17" fillId="0" borderId="0" xfId="112" applyFont="1" applyBorder="1"/>
    <xf numFmtId="0" fontId="5" fillId="0" borderId="1" xfId="112" applyFont="1" applyBorder="1" applyAlignment="1">
      <alignment horizontal="center" vertical="center" wrapText="1"/>
    </xf>
    <xf numFmtId="3" fontId="5" fillId="0" borderId="1" xfId="112" applyNumberFormat="1" applyFont="1" applyBorder="1" applyAlignment="1">
      <alignment horizontal="right" vertical="center" wrapText="1"/>
    </xf>
    <xf numFmtId="0" fontId="4" fillId="0" borderId="1" xfId="112" applyFont="1" applyBorder="1" applyAlignment="1">
      <alignment horizontal="center" vertical="center" wrapText="1"/>
    </xf>
    <xf numFmtId="3" fontId="4" fillId="0" borderId="1" xfId="112" applyNumberFormat="1" applyFont="1" applyBorder="1" applyAlignment="1">
      <alignment horizontal="right" vertical="center" wrapText="1"/>
    </xf>
    <xf numFmtId="0" fontId="5" fillId="0" borderId="1" xfId="112" applyFont="1" applyBorder="1" applyAlignment="1">
      <alignment horizontal="center" vertical="center"/>
    </xf>
    <xf numFmtId="0" fontId="5" fillId="0" borderId="0" xfId="112" applyFont="1" applyBorder="1"/>
    <xf numFmtId="0" fontId="5" fillId="0" borderId="1" xfId="112" quotePrefix="1" applyFont="1" applyBorder="1" applyAlignment="1">
      <alignment horizontal="center" vertical="center" wrapText="1"/>
    </xf>
    <xf numFmtId="3" fontId="17" fillId="0" borderId="1" xfId="112" applyNumberFormat="1" applyFont="1" applyBorder="1" applyAlignment="1">
      <alignment horizontal="right" vertical="center" wrapText="1"/>
    </xf>
    <xf numFmtId="3" fontId="4" fillId="0" borderId="0" xfId="112" applyNumberFormat="1" applyFont="1" applyBorder="1"/>
    <xf numFmtId="0" fontId="5" fillId="0" borderId="0" xfId="112" applyFont="1" applyFill="1" applyBorder="1" applyAlignment="1">
      <alignment vertical="top"/>
    </xf>
    <xf numFmtId="0" fontId="5" fillId="0" borderId="0" xfId="112" applyFont="1" applyFill="1" applyBorder="1" applyAlignment="1">
      <alignment vertical="top" wrapText="1"/>
    </xf>
    <xf numFmtId="0" fontId="4" fillId="0" borderId="0" xfId="112" applyFont="1" applyFill="1" applyBorder="1" applyAlignment="1">
      <alignment horizontal="left" vertical="top" wrapText="1"/>
    </xf>
    <xf numFmtId="171" fontId="4" fillId="0" borderId="0" xfId="113" applyNumberFormat="1" applyFont="1" applyBorder="1"/>
    <xf numFmtId="219" fontId="4" fillId="0" borderId="0" xfId="113" applyNumberFormat="1" applyFont="1" applyBorder="1"/>
    <xf numFmtId="43" fontId="17" fillId="0" borderId="0" xfId="113" applyNumberFormat="1" applyFont="1" applyBorder="1"/>
    <xf numFmtId="164" fontId="4" fillId="0" borderId="0" xfId="113" applyNumberFormat="1" applyFont="1" applyBorder="1" applyAlignment="1">
      <alignment horizontal="right"/>
    </xf>
    <xf numFmtId="0" fontId="61" fillId="0" borderId="0" xfId="0" applyFont="1" applyBorder="1" applyAlignment="1">
      <alignment horizontal="center" vertical="center"/>
    </xf>
    <xf numFmtId="3" fontId="61" fillId="0" borderId="0" xfId="0" applyNumberFormat="1" applyFont="1" applyBorder="1" applyAlignment="1">
      <alignment horizontal="right" vertical="center"/>
    </xf>
    <xf numFmtId="3" fontId="65" fillId="0" borderId="100" xfId="0" applyNumberFormat="1" applyFont="1" applyFill="1" applyBorder="1" applyAlignment="1">
      <alignment horizontal="right" vertical="center"/>
    </xf>
    <xf numFmtId="10" fontId="14" fillId="0" borderId="0" xfId="5" applyNumberFormat="1" applyFont="1"/>
    <xf numFmtId="0" fontId="14" fillId="0" borderId="99" xfId="0" applyFont="1" applyBorder="1" applyAlignment="1">
      <alignment horizontal="center"/>
    </xf>
    <xf numFmtId="0" fontId="14" fillId="0" borderId="99" xfId="0" applyFont="1" applyBorder="1"/>
    <xf numFmtId="0" fontId="13" fillId="0" borderId="99" xfId="0" applyFont="1" applyBorder="1" applyAlignment="1">
      <alignment horizontal="right" vertical="center"/>
    </xf>
    <xf numFmtId="0" fontId="61" fillId="0" borderId="98" xfId="0" applyFont="1" applyBorder="1" applyAlignment="1">
      <alignment horizontal="center" vertical="center" wrapText="1"/>
    </xf>
    <xf numFmtId="0" fontId="61" fillId="0" borderId="97" xfId="0" applyFont="1" applyBorder="1" applyAlignment="1">
      <alignment horizontal="center" vertical="center" wrapText="1"/>
    </xf>
    <xf numFmtId="0" fontId="65" fillId="0" borderId="98" xfId="0" applyFont="1" applyBorder="1" applyAlignment="1">
      <alignment horizontal="center" vertical="center" wrapText="1"/>
    </xf>
    <xf numFmtId="0" fontId="65" fillId="0" borderId="97" xfId="0" applyFont="1" applyBorder="1" applyAlignment="1">
      <alignment vertical="center" wrapText="1"/>
    </xf>
    <xf numFmtId="3" fontId="14" fillId="0" borderId="97" xfId="0" applyNumberFormat="1" applyFont="1" applyBorder="1" applyAlignment="1">
      <alignment horizontal="right" vertical="center" wrapText="1"/>
    </xf>
    <xf numFmtId="0" fontId="61" fillId="0" borderId="97" xfId="0" applyFont="1" applyBorder="1" applyAlignment="1">
      <alignment horizontal="left" vertical="center" wrapText="1"/>
    </xf>
    <xf numFmtId="3" fontId="13" fillId="0" borderId="97" xfId="0" applyNumberFormat="1" applyFont="1" applyBorder="1" applyAlignment="1">
      <alignment horizontal="right" vertical="center" wrapText="1"/>
    </xf>
    <xf numFmtId="164" fontId="5" fillId="0" borderId="1" xfId="113" applyNumberFormat="1" applyFont="1" applyBorder="1" applyAlignment="1">
      <alignment horizontal="center" vertical="center" wrapText="1"/>
    </xf>
    <xf numFmtId="3" fontId="5" fillId="0" borderId="1" xfId="112" applyNumberFormat="1" applyFont="1" applyBorder="1" applyAlignment="1">
      <alignment horizontal="center" vertical="center" wrapText="1"/>
    </xf>
    <xf numFmtId="0" fontId="4" fillId="0" borderId="1" xfId="112" applyFont="1" applyBorder="1" applyAlignment="1">
      <alignment horizontal="left" vertical="center"/>
    </xf>
    <xf numFmtId="0" fontId="4" fillId="0" borderId="1" xfId="112" applyFont="1" applyBorder="1" applyAlignment="1">
      <alignment horizontal="center" vertical="top" wrapText="1"/>
    </xf>
    <xf numFmtId="164" fontId="4" fillId="0" borderId="1" xfId="113" applyNumberFormat="1" applyFont="1" applyBorder="1" applyAlignment="1">
      <alignment horizontal="center" vertical="top" wrapText="1"/>
    </xf>
    <xf numFmtId="0" fontId="4" fillId="0" borderId="1" xfId="112" applyFont="1" applyBorder="1" applyAlignment="1">
      <alignment horizontal="left" vertical="center" wrapText="1"/>
    </xf>
    <xf numFmtId="0" fontId="4" fillId="0" borderId="1" xfId="112" applyFont="1" applyBorder="1" applyAlignment="1">
      <alignment horizontal="center" wrapText="1"/>
    </xf>
    <xf numFmtId="164" fontId="4" fillId="0" borderId="1" xfId="113" applyNumberFormat="1" applyFont="1" applyBorder="1" applyAlignment="1">
      <alignment horizontal="center" vertical="center" wrapText="1"/>
    </xf>
    <xf numFmtId="164" fontId="4" fillId="0" borderId="1" xfId="113" applyNumberFormat="1" applyFont="1" applyBorder="1" applyAlignment="1">
      <alignment horizontal="right" vertical="center" wrapText="1"/>
    </xf>
    <xf numFmtId="3" fontId="5" fillId="0" borderId="0" xfId="112" applyNumberFormat="1" applyFont="1" applyBorder="1"/>
    <xf numFmtId="43" fontId="17" fillId="0" borderId="0" xfId="113" applyNumberFormat="1" applyFont="1" applyBorder="1" applyAlignment="1">
      <alignment horizontal="right"/>
    </xf>
    <xf numFmtId="0" fontId="4" fillId="0" borderId="1" xfId="0" applyFont="1" applyBorder="1" applyAlignment="1">
      <alignment horizontal="justify" vertical="top" wrapText="1"/>
    </xf>
    <xf numFmtId="0" fontId="5" fillId="0" borderId="0" xfId="0" applyFont="1" applyBorder="1" applyAlignment="1">
      <alignment vertical="top" wrapText="1"/>
    </xf>
    <xf numFmtId="164" fontId="4" fillId="0" borderId="0" xfId="4" applyNumberFormat="1" applyFont="1" applyAlignment="1">
      <alignment horizontal="right"/>
    </xf>
    <xf numFmtId="164" fontId="5" fillId="0" borderId="0" xfId="4" applyNumberFormat="1" applyFont="1" applyAlignment="1">
      <alignment horizontal="right"/>
    </xf>
    <xf numFmtId="164" fontId="4" fillId="0" borderId="1" xfId="0" applyNumberFormat="1" applyFont="1" applyFill="1" applyBorder="1" applyAlignment="1">
      <alignment horizontal="center" vertical="top" wrapText="1"/>
    </xf>
    <xf numFmtId="0" fontId="4" fillId="0" borderId="0" xfId="0" applyFont="1" applyFill="1" applyBorder="1" applyAlignment="1">
      <alignment horizontal="left" vertical="top" wrapText="1"/>
    </xf>
    <xf numFmtId="227" fontId="67" fillId="0" borderId="0" xfId="4" applyNumberFormat="1" applyFont="1"/>
    <xf numFmtId="3" fontId="13" fillId="14" borderId="0" xfId="0" applyNumberFormat="1" applyFont="1" applyFill="1"/>
    <xf numFmtId="0" fontId="13" fillId="14" borderId="0" xfId="0" applyFont="1" applyFill="1"/>
    <xf numFmtId="0" fontId="14" fillId="14" borderId="0" xfId="0" applyFont="1" applyFill="1"/>
    <xf numFmtId="193" fontId="14" fillId="15" borderId="0" xfId="0" applyNumberFormat="1" applyFont="1" applyFill="1"/>
    <xf numFmtId="0" fontId="5" fillId="0" borderId="1" xfId="139" applyFont="1" applyBorder="1" applyAlignment="1">
      <alignment horizontal="center" vertical="center" wrapText="1"/>
    </xf>
    <xf numFmtId="3" fontId="14" fillId="15" borderId="0" xfId="0" applyNumberFormat="1" applyFont="1" applyFill="1"/>
    <xf numFmtId="0" fontId="4" fillId="0" borderId="1" xfId="139" quotePrefix="1" applyFont="1" applyBorder="1" applyAlignment="1">
      <alignment horizontal="center"/>
    </xf>
    <xf numFmtId="0" fontId="4" fillId="0" borderId="1" xfId="139" applyFont="1" applyBorder="1" applyAlignment="1">
      <alignment wrapText="1"/>
    </xf>
    <xf numFmtId="0" fontId="4" fillId="0" borderId="1" xfId="139" applyFont="1" applyBorder="1" applyAlignment="1">
      <alignment horizontal="center" wrapText="1"/>
    </xf>
    <xf numFmtId="3" fontId="4" fillId="0" borderId="1" xfId="139" applyNumberFormat="1" applyFont="1" applyBorder="1" applyAlignment="1">
      <alignment horizontal="right" wrapText="1"/>
    </xf>
    <xf numFmtId="3" fontId="4" fillId="0" borderId="1" xfId="139" applyNumberFormat="1" applyFont="1" applyBorder="1" applyAlignment="1">
      <alignment horizontal="right"/>
    </xf>
    <xf numFmtId="9" fontId="14" fillId="15" borderId="0" xfId="0" applyNumberFormat="1" applyFont="1" applyFill="1"/>
    <xf numFmtId="165" fontId="14" fillId="15" borderId="0" xfId="0" applyNumberFormat="1" applyFont="1" applyFill="1"/>
    <xf numFmtId="0" fontId="4" fillId="0" borderId="1" xfId="139" applyFont="1" applyBorder="1"/>
    <xf numFmtId="3" fontId="5" fillId="0" borderId="1" xfId="139" applyNumberFormat="1" applyFont="1" applyBorder="1" applyAlignment="1">
      <alignment horizontal="right"/>
    </xf>
    <xf numFmtId="0" fontId="14" fillId="15" borderId="0" xfId="0" applyFont="1" applyFill="1"/>
    <xf numFmtId="0" fontId="5" fillId="0" borderId="1" xfId="123" applyFont="1" applyBorder="1" applyAlignment="1">
      <alignment horizontal="center" vertical="center" wrapText="1"/>
    </xf>
    <xf numFmtId="164" fontId="14" fillId="13" borderId="0" xfId="4" applyNumberFormat="1" applyFont="1" applyFill="1"/>
    <xf numFmtId="0" fontId="5" fillId="0" borderId="1" xfId="123" applyFont="1" applyBorder="1" applyAlignment="1">
      <alignment horizontal="left" wrapText="1"/>
    </xf>
    <xf numFmtId="3" fontId="5" fillId="0" borderId="1" xfId="123" applyNumberFormat="1" applyFont="1" applyBorder="1" applyAlignment="1">
      <alignment horizontal="right"/>
    </xf>
    <xf numFmtId="0" fontId="5" fillId="0" borderId="1" xfId="123" applyFont="1" applyBorder="1"/>
    <xf numFmtId="0" fontId="4" fillId="0" borderId="1" xfId="123" quotePrefix="1" applyFont="1" applyBorder="1" applyAlignment="1">
      <alignment horizontal="center"/>
    </xf>
    <xf numFmtId="0" fontId="4" fillId="0" borderId="1" xfId="123" applyFont="1" applyBorder="1" applyAlignment="1">
      <alignment wrapText="1"/>
    </xf>
    <xf numFmtId="3" fontId="4" fillId="0" borderId="1" xfId="123" applyNumberFormat="1" applyFont="1" applyBorder="1" applyAlignment="1">
      <alignment horizontal="right" wrapText="1"/>
    </xf>
    <xf numFmtId="3" fontId="4" fillId="0" borderId="1" xfId="123" applyNumberFormat="1" applyFont="1" applyBorder="1" applyAlignment="1">
      <alignment horizontal="right"/>
    </xf>
    <xf numFmtId="3" fontId="4" fillId="0" borderId="1" xfId="123" applyNumberFormat="1" applyFont="1" applyBorder="1" applyAlignment="1">
      <alignment wrapText="1"/>
    </xf>
    <xf numFmtId="0" fontId="4" fillId="0" borderId="1" xfId="123" applyFont="1" applyBorder="1" applyAlignment="1">
      <alignment horizontal="center"/>
    </xf>
    <xf numFmtId="0" fontId="4" fillId="0" borderId="0" xfId="64" applyFont="1" applyAlignment="1">
      <alignment horizontal="center"/>
    </xf>
    <xf numFmtId="0" fontId="4" fillId="0" borderId="0" xfId="64" applyFont="1"/>
    <xf numFmtId="0" fontId="4" fillId="0" borderId="0" xfId="64" applyFont="1" applyAlignment="1">
      <alignment horizontal="left"/>
    </xf>
    <xf numFmtId="0" fontId="4" fillId="0" borderId="0" xfId="32" applyNumberFormat="1" applyFont="1" applyAlignment="1">
      <alignment horizontal="center"/>
    </xf>
    <xf numFmtId="164" fontId="4" fillId="0" borderId="0" xfId="32" applyNumberFormat="1" applyFont="1"/>
    <xf numFmtId="164" fontId="17" fillId="0" borderId="0" xfId="32" applyNumberFormat="1" applyFont="1"/>
    <xf numFmtId="0" fontId="5" fillId="0" borderId="1" xfId="64" applyFont="1" applyBorder="1" applyAlignment="1">
      <alignment horizontal="center" vertical="center" wrapText="1"/>
    </xf>
    <xf numFmtId="0" fontId="5" fillId="0" borderId="1" xfId="32" applyNumberFormat="1" applyFont="1" applyBorder="1" applyAlignment="1">
      <alignment horizontal="center" vertical="center" wrapText="1"/>
    </xf>
    <xf numFmtId="164" fontId="5" fillId="0" borderId="1" xfId="32" applyNumberFormat="1" applyFont="1" applyBorder="1" applyAlignment="1">
      <alignment horizontal="center" vertical="center" wrapText="1"/>
    </xf>
    <xf numFmtId="0" fontId="5" fillId="0" borderId="0" xfId="64" applyFont="1" applyAlignment="1">
      <alignment wrapText="1"/>
    </xf>
    <xf numFmtId="0" fontId="4" fillId="0" borderId="1" xfId="64" applyFont="1" applyBorder="1" applyAlignment="1">
      <alignment horizontal="center"/>
    </xf>
    <xf numFmtId="0" fontId="4" fillId="0" borderId="1" xfId="64" applyFont="1" applyBorder="1"/>
    <xf numFmtId="164" fontId="4" fillId="0" borderId="1" xfId="32" applyNumberFormat="1" applyFont="1" applyBorder="1" applyAlignment="1">
      <alignment horizontal="center"/>
    </xf>
    <xf numFmtId="164" fontId="4" fillId="0" borderId="1" xfId="32" applyNumberFormat="1" applyFont="1" applyBorder="1"/>
    <xf numFmtId="164" fontId="4" fillId="0" borderId="1" xfId="64" applyNumberFormat="1" applyFont="1" applyBorder="1"/>
    <xf numFmtId="0" fontId="5" fillId="6" borderId="1" xfId="64" applyFont="1" applyFill="1" applyBorder="1" applyAlignment="1">
      <alignment horizontal="center"/>
    </xf>
    <xf numFmtId="0" fontId="5" fillId="6" borderId="1" xfId="64" applyFont="1" applyFill="1" applyBorder="1"/>
    <xf numFmtId="0" fontId="5" fillId="6" borderId="1" xfId="32" applyNumberFormat="1" applyFont="1" applyFill="1" applyBorder="1" applyAlignment="1">
      <alignment horizontal="center"/>
    </xf>
    <xf numFmtId="164" fontId="5" fillId="6" borderId="1" xfId="32" applyNumberFormat="1" applyFont="1" applyFill="1" applyBorder="1"/>
    <xf numFmtId="164" fontId="5" fillId="6" borderId="1" xfId="64" applyNumberFormat="1" applyFont="1" applyFill="1" applyBorder="1"/>
    <xf numFmtId="0" fontId="5" fillId="6" borderId="0" xfId="64" applyFont="1" applyFill="1"/>
    <xf numFmtId="0" fontId="5" fillId="0" borderId="0" xfId="64" applyFont="1" applyAlignment="1">
      <alignment horizontal="center"/>
    </xf>
    <xf numFmtId="0" fontId="5" fillId="0" borderId="0" xfId="64" applyFont="1" applyAlignment="1"/>
    <xf numFmtId="164" fontId="5" fillId="0" borderId="0" xfId="64" applyNumberFormat="1" applyFont="1" applyAlignment="1"/>
    <xf numFmtId="164" fontId="5" fillId="0" borderId="0" xfId="32" applyNumberFormat="1" applyFont="1"/>
    <xf numFmtId="0" fontId="5" fillId="0" borderId="0" xfId="64" applyFont="1"/>
    <xf numFmtId="0" fontId="4" fillId="0" borderId="0" xfId="64" quotePrefix="1" applyFont="1"/>
    <xf numFmtId="164" fontId="4" fillId="0" borderId="0" xfId="64" applyNumberFormat="1" applyFont="1" applyAlignment="1"/>
    <xf numFmtId="164" fontId="5" fillId="0" borderId="0" xfId="64" quotePrefix="1" applyNumberFormat="1" applyFont="1" applyAlignment="1">
      <alignment horizontal="right"/>
    </xf>
    <xf numFmtId="164" fontId="17" fillId="2" borderId="0" xfId="0" applyNumberFormat="1" applyFont="1" applyFill="1"/>
    <xf numFmtId="0" fontId="59" fillId="0" borderId="0" xfId="0" applyFont="1"/>
    <xf numFmtId="10" fontId="41" fillId="2" borderId="0" xfId="5" applyNumberFormat="1" applyFont="1" applyFill="1" applyAlignment="1">
      <alignment horizontal="center"/>
    </xf>
    <xf numFmtId="0" fontId="17" fillId="0" borderId="0" xfId="20" applyNumberFormat="1" applyFont="1"/>
    <xf numFmtId="0" fontId="13" fillId="0" borderId="76" xfId="20" applyFont="1" applyBorder="1" applyAlignment="1">
      <alignment horizontal="left"/>
    </xf>
    <xf numFmtId="4" fontId="13" fillId="0" borderId="76" xfId="20" applyNumberFormat="1" applyFont="1" applyBorder="1" applyAlignment="1">
      <alignment horizontal="left"/>
    </xf>
    <xf numFmtId="9" fontId="14" fillId="0" borderId="87" xfId="83" applyFont="1" applyBorder="1" applyAlignment="1">
      <alignment horizontal="right" vertical="top" wrapText="1"/>
    </xf>
    <xf numFmtId="0" fontId="18" fillId="0" borderId="87" xfId="20" applyFont="1" applyBorder="1" applyAlignment="1">
      <alignment horizontal="left" vertical="top" wrapText="1"/>
    </xf>
    <xf numFmtId="0" fontId="61" fillId="0" borderId="1" xfId="58" applyFont="1" applyBorder="1" applyAlignment="1">
      <alignment horizontal="center" vertical="center"/>
    </xf>
    <xf numFmtId="0" fontId="61" fillId="0" borderId="1" xfId="58" applyFont="1" applyBorder="1" applyAlignment="1">
      <alignment vertical="center" wrapText="1"/>
    </xf>
    <xf numFmtId="0" fontId="61" fillId="0" borderId="1" xfId="58" applyFont="1" applyBorder="1" applyAlignment="1">
      <alignment horizontal="right" vertical="center"/>
    </xf>
    <xf numFmtId="3" fontId="61" fillId="0" borderId="1" xfId="58" applyNumberFormat="1" applyFont="1" applyBorder="1" applyAlignment="1">
      <alignment horizontal="right" vertical="center"/>
    </xf>
    <xf numFmtId="3" fontId="65" fillId="0" borderId="1" xfId="58" applyNumberFormat="1" applyFont="1" applyBorder="1" applyAlignment="1">
      <alignment horizontal="right" vertical="center"/>
    </xf>
    <xf numFmtId="0" fontId="65" fillId="0" borderId="1" xfId="58" applyFont="1" applyBorder="1" applyAlignment="1">
      <alignment vertical="center" wrapText="1"/>
    </xf>
    <xf numFmtId="0" fontId="65" fillId="0" borderId="1" xfId="58" applyFont="1" applyBorder="1" applyAlignment="1">
      <alignment horizontal="right" vertical="center"/>
    </xf>
    <xf numFmtId="0" fontId="61" fillId="0" borderId="1" xfId="58" applyFont="1" applyBorder="1" applyAlignment="1">
      <alignment vertical="center"/>
    </xf>
    <xf numFmtId="0" fontId="68" fillId="0" borderId="1" xfId="58" applyFont="1" applyBorder="1" applyAlignment="1">
      <alignment horizontal="center" vertical="center"/>
    </xf>
    <xf numFmtId="0" fontId="68" fillId="0" borderId="1" xfId="58" applyFont="1" applyBorder="1" applyAlignment="1">
      <alignment vertical="center"/>
    </xf>
    <xf numFmtId="0" fontId="68" fillId="0" borderId="1" xfId="58" applyFont="1" applyBorder="1" applyAlignment="1">
      <alignment horizontal="right" vertical="center"/>
    </xf>
    <xf numFmtId="0" fontId="4" fillId="0" borderId="0" xfId="58" applyFont="1"/>
    <xf numFmtId="0" fontId="17" fillId="0" borderId="0" xfId="58" applyFont="1"/>
    <xf numFmtId="0" fontId="5" fillId="0" borderId="0" xfId="58" applyFont="1" applyAlignment="1">
      <alignment vertical="center" wrapText="1"/>
    </xf>
    <xf numFmtId="0" fontId="5" fillId="0" borderId="0" xfId="58" applyFont="1"/>
    <xf numFmtId="0" fontId="4" fillId="0" borderId="0" xfId="58" applyFont="1" applyAlignment="1">
      <alignment vertical="center" wrapText="1"/>
    </xf>
    <xf numFmtId="9" fontId="4" fillId="0" borderId="0" xfId="109" applyFont="1"/>
    <xf numFmtId="9" fontId="4" fillId="0" borderId="0" xfId="81" applyFont="1"/>
    <xf numFmtId="0" fontId="4" fillId="0" borderId="0" xfId="112" applyFont="1" applyFill="1" applyBorder="1" applyAlignment="1"/>
    <xf numFmtId="0" fontId="4" fillId="0" borderId="0" xfId="112" applyFont="1" applyFill="1" applyBorder="1"/>
    <xf numFmtId="0" fontId="17" fillId="0" borderId="0" xfId="112" applyFont="1" applyFill="1" applyBorder="1"/>
    <xf numFmtId="0" fontId="5" fillId="0" borderId="1" xfId="112" applyFont="1" applyFill="1" applyBorder="1" applyAlignment="1">
      <alignment horizontal="center" vertical="center" wrapText="1"/>
    </xf>
    <xf numFmtId="164" fontId="5" fillId="0" borderId="1" xfId="113" applyNumberFormat="1" applyFont="1" applyFill="1" applyBorder="1" applyAlignment="1">
      <alignment horizontal="center" vertical="center" wrapText="1"/>
    </xf>
    <xf numFmtId="0" fontId="4" fillId="0" borderId="1" xfId="112" applyFont="1" applyFill="1" applyBorder="1" applyAlignment="1">
      <alignment horizontal="center"/>
    </xf>
    <xf numFmtId="0" fontId="4" fillId="0" borderId="1" xfId="112" applyFont="1" applyFill="1" applyBorder="1" applyAlignment="1">
      <alignment horizontal="left"/>
    </xf>
    <xf numFmtId="164" fontId="4" fillId="0" borderId="1" xfId="113" applyNumberFormat="1" applyFont="1" applyFill="1" applyBorder="1" applyAlignment="1">
      <alignment horizontal="center"/>
    </xf>
    <xf numFmtId="164" fontId="4" fillId="0" borderId="1" xfId="112" applyNumberFormat="1" applyFont="1" applyFill="1" applyBorder="1" applyAlignment="1">
      <alignment horizontal="center"/>
    </xf>
    <xf numFmtId="164" fontId="4" fillId="0" borderId="1" xfId="113" applyNumberFormat="1" applyFont="1" applyFill="1" applyBorder="1" applyAlignment="1"/>
    <xf numFmtId="164" fontId="4" fillId="0" borderId="1" xfId="113" applyNumberFormat="1" applyFont="1" applyFill="1" applyBorder="1"/>
    <xf numFmtId="0" fontId="5" fillId="0" borderId="1" xfId="112" applyFont="1" applyFill="1" applyBorder="1" applyAlignment="1">
      <alignment horizontal="center"/>
    </xf>
    <xf numFmtId="164" fontId="5" fillId="0" borderId="1" xfId="113" applyNumberFormat="1" applyFont="1" applyFill="1" applyBorder="1"/>
    <xf numFmtId="164" fontId="5" fillId="0" borderId="1" xfId="113" applyNumberFormat="1" applyFont="1" applyFill="1" applyBorder="1" applyAlignment="1"/>
    <xf numFmtId="0" fontId="5" fillId="0" borderId="1" xfId="112" applyFont="1" applyFill="1" applyBorder="1"/>
    <xf numFmtId="0" fontId="4" fillId="0" borderId="1" xfId="124" applyFont="1" applyFill="1" applyBorder="1" applyAlignment="1">
      <alignment horizontal="center"/>
    </xf>
    <xf numFmtId="3" fontId="4" fillId="0" borderId="1" xfId="124" applyNumberFormat="1" applyFont="1" applyFill="1" applyBorder="1" applyAlignment="1"/>
    <xf numFmtId="3" fontId="4" fillId="0" borderId="1" xfId="113" applyNumberFormat="1" applyFont="1" applyFill="1" applyBorder="1"/>
    <xf numFmtId="0" fontId="20" fillId="0" borderId="0" xfId="112" applyFont="1" applyFill="1" applyBorder="1"/>
    <xf numFmtId="3" fontId="20" fillId="0" borderId="1" xfId="124" applyNumberFormat="1" applyFont="1" applyFill="1" applyBorder="1" applyAlignment="1"/>
    <xf numFmtId="3" fontId="20" fillId="0" borderId="1" xfId="113" applyNumberFormat="1" applyFont="1" applyFill="1" applyBorder="1"/>
    <xf numFmtId="0" fontId="5" fillId="0" borderId="1" xfId="124" applyFont="1" applyFill="1" applyBorder="1" applyAlignment="1">
      <alignment horizontal="center"/>
    </xf>
    <xf numFmtId="3" fontId="5" fillId="0" borderId="1" xfId="124" applyNumberFormat="1" applyFont="1" applyFill="1" applyBorder="1" applyAlignment="1"/>
    <xf numFmtId="3" fontId="5" fillId="0" borderId="1" xfId="113" applyNumberFormat="1" applyFont="1" applyFill="1" applyBorder="1"/>
    <xf numFmtId="0" fontId="5" fillId="0" borderId="1" xfId="112" applyFont="1" applyFill="1" applyBorder="1" applyAlignment="1"/>
    <xf numFmtId="0" fontId="4" fillId="0" borderId="1" xfId="112" applyFont="1" applyFill="1" applyBorder="1" applyAlignment="1"/>
    <xf numFmtId="164" fontId="5" fillId="0" borderId="0" xfId="112" applyNumberFormat="1" applyFont="1" applyFill="1" applyBorder="1" applyAlignment="1">
      <alignment horizontal="left"/>
    </xf>
    <xf numFmtId="0" fontId="5" fillId="0" borderId="1" xfId="112" applyFont="1" applyFill="1" applyBorder="1" applyAlignment="1">
      <alignment horizontal="left"/>
    </xf>
    <xf numFmtId="0" fontId="45" fillId="0" borderId="1" xfId="112" applyFont="1" applyFill="1" applyBorder="1" applyAlignment="1">
      <alignment horizontal="left"/>
    </xf>
    <xf numFmtId="0" fontId="4" fillId="0" borderId="1" xfId="112" applyFont="1" applyFill="1" applyBorder="1" applyAlignment="1">
      <alignment horizontal="right"/>
    </xf>
    <xf numFmtId="0" fontId="4" fillId="0" borderId="1" xfId="112" quotePrefix="1" applyFont="1" applyFill="1" applyBorder="1" applyAlignment="1">
      <alignment horizontal="left"/>
    </xf>
    <xf numFmtId="0" fontId="4" fillId="0" borderId="0" xfId="112" applyFont="1" applyFill="1" applyBorder="1" applyAlignment="1">
      <alignment horizontal="center" vertical="center" wrapText="1"/>
    </xf>
    <xf numFmtId="0" fontId="4" fillId="0" borderId="0" xfId="112" applyFont="1" applyFill="1" applyBorder="1" applyAlignment="1">
      <alignment horizontal="left" vertical="center" wrapText="1"/>
    </xf>
    <xf numFmtId="164" fontId="4" fillId="0" borderId="0" xfId="113" applyNumberFormat="1" applyFont="1" applyFill="1" applyBorder="1" applyAlignment="1">
      <alignment horizontal="center"/>
    </xf>
    <xf numFmtId="164" fontId="4" fillId="0" borderId="0" xfId="113" applyNumberFormat="1" applyFont="1" applyFill="1" applyBorder="1" applyAlignment="1">
      <alignment horizontal="left"/>
    </xf>
    <xf numFmtId="164" fontId="14" fillId="0" borderId="0" xfId="113" applyNumberFormat="1" applyFont="1" applyFill="1" applyBorder="1"/>
    <xf numFmtId="0" fontId="4" fillId="0" borderId="1" xfId="112" applyFont="1" applyFill="1" applyBorder="1"/>
    <xf numFmtId="0" fontId="5" fillId="0" borderId="0" xfId="112" applyFont="1" applyFill="1" applyBorder="1"/>
    <xf numFmtId="0" fontId="4" fillId="0" borderId="1" xfId="112" applyFont="1" applyBorder="1" applyAlignment="1">
      <alignment horizontal="center" vertical="center"/>
    </xf>
    <xf numFmtId="3" fontId="17" fillId="2" borderId="0" xfId="112" applyNumberFormat="1" applyFont="1" applyFill="1" applyBorder="1"/>
    <xf numFmtId="171" fontId="17" fillId="0" borderId="0" xfId="113" applyNumberFormat="1" applyFont="1" applyBorder="1"/>
    <xf numFmtId="227" fontId="67" fillId="0" borderId="0" xfId="113" applyNumberFormat="1" applyFont="1" applyBorder="1"/>
    <xf numFmtId="171" fontId="17" fillId="2" borderId="0" xfId="113" applyNumberFormat="1" applyFont="1" applyFill="1" applyBorder="1"/>
    <xf numFmtId="3" fontId="65" fillId="0" borderId="1" xfId="58" applyNumberFormat="1" applyFont="1" applyBorder="1" applyAlignment="1">
      <alignment vertical="center" wrapText="1"/>
    </xf>
    <xf numFmtId="164" fontId="5" fillId="0" borderId="0" xfId="132" applyNumberFormat="1" applyFont="1" applyAlignment="1">
      <alignment vertical="center" wrapText="1"/>
    </xf>
    <xf numFmtId="164" fontId="14" fillId="0" borderId="0" xfId="132" applyNumberFormat="1" applyFont="1"/>
    <xf numFmtId="0" fontId="5" fillId="0" borderId="1" xfId="58" applyFont="1" applyBorder="1" applyAlignment="1">
      <alignment vertical="center" wrapText="1"/>
    </xf>
    <xf numFmtId="0" fontId="5" fillId="0" borderId="1" xfId="58" applyFont="1" applyBorder="1" applyAlignment="1">
      <alignment horizontal="center" vertical="center" wrapText="1"/>
    </xf>
    <xf numFmtId="0" fontId="5" fillId="0" borderId="1" xfId="58" applyFont="1" applyBorder="1" applyAlignment="1">
      <alignment horizontal="right" vertical="center" wrapText="1"/>
    </xf>
    <xf numFmtId="3" fontId="5" fillId="0" borderId="1" xfId="58" applyNumberFormat="1" applyFont="1" applyBorder="1" applyAlignment="1">
      <alignment horizontal="right" vertical="center" wrapText="1"/>
    </xf>
    <xf numFmtId="0" fontId="4" fillId="0" borderId="1" xfId="58" applyFont="1" applyBorder="1" applyAlignment="1">
      <alignment horizontal="center" vertical="center" wrapText="1"/>
    </xf>
    <xf numFmtId="0" fontId="4" fillId="0" borderId="1" xfId="58" applyFont="1" applyBorder="1" applyAlignment="1">
      <alignment vertical="center" wrapText="1"/>
    </xf>
    <xf numFmtId="0" fontId="4" fillId="0" borderId="1" xfId="58" applyFont="1" applyBorder="1" applyAlignment="1">
      <alignment horizontal="right" vertical="center" wrapText="1"/>
    </xf>
    <xf numFmtId="3" fontId="4" fillId="0" borderId="1" xfId="58" applyNumberFormat="1" applyFont="1" applyBorder="1" applyAlignment="1">
      <alignment horizontal="right" vertical="center" wrapText="1"/>
    </xf>
    <xf numFmtId="0" fontId="7" fillId="0" borderId="1" xfId="58" applyFont="1" applyBorder="1" applyAlignment="1">
      <alignment horizontal="center" vertical="center" wrapText="1"/>
    </xf>
    <xf numFmtId="0" fontId="7" fillId="0" borderId="1" xfId="58" applyFont="1" applyBorder="1" applyAlignment="1">
      <alignment vertical="center" wrapText="1"/>
    </xf>
    <xf numFmtId="0" fontId="7" fillId="0" borderId="1" xfId="58" applyFont="1" applyBorder="1" applyAlignment="1">
      <alignment horizontal="right" vertical="center" wrapText="1"/>
    </xf>
    <xf numFmtId="3" fontId="7" fillId="0" borderId="1" xfId="58" applyNumberFormat="1" applyFont="1" applyBorder="1" applyAlignment="1">
      <alignment horizontal="right" vertical="center" wrapText="1"/>
    </xf>
    <xf numFmtId="3" fontId="4" fillId="0" borderId="0" xfId="58" applyNumberFormat="1" applyFont="1"/>
    <xf numFmtId="164" fontId="4" fillId="0" borderId="0" xfId="132" applyNumberFormat="1" applyFont="1"/>
    <xf numFmtId="164" fontId="4" fillId="0" borderId="0" xfId="58" applyNumberFormat="1" applyFont="1"/>
    <xf numFmtId="164" fontId="13" fillId="0" borderId="1" xfId="4" applyNumberFormat="1" applyFont="1" applyBorder="1" applyAlignment="1">
      <alignment horizontal="center" vertical="center"/>
    </xf>
    <xf numFmtId="164" fontId="14" fillId="0" borderId="1" xfId="4" applyNumberFormat="1" applyFont="1" applyBorder="1" applyAlignment="1">
      <alignment horizontal="right" vertical="center"/>
    </xf>
    <xf numFmtId="164" fontId="14" fillId="0" borderId="1" xfId="4" applyNumberFormat="1" applyFont="1" applyBorder="1" applyAlignment="1">
      <alignment horizontal="center" vertical="center"/>
    </xf>
    <xf numFmtId="164" fontId="14" fillId="0" borderId="1" xfId="4" applyNumberFormat="1" applyFont="1" applyBorder="1" applyAlignment="1">
      <alignment horizontal="center" vertical="center" wrapText="1"/>
    </xf>
    <xf numFmtId="0" fontId="14" fillId="0" borderId="4" xfId="0" applyFont="1" applyBorder="1" applyAlignment="1">
      <alignment vertical="center"/>
    </xf>
    <xf numFmtId="208" fontId="14" fillId="0" borderId="5" xfId="0" applyNumberFormat="1" applyFont="1" applyBorder="1" applyAlignment="1">
      <alignment vertical="center"/>
    </xf>
    <xf numFmtId="207" fontId="14" fillId="0" borderId="1" xfId="0" applyNumberFormat="1" applyFont="1" applyBorder="1" applyAlignment="1">
      <alignment vertical="center"/>
    </xf>
    <xf numFmtId="164" fontId="13" fillId="0" borderId="1" xfId="4" applyNumberFormat="1" applyFont="1" applyBorder="1" applyAlignment="1">
      <alignment horizontal="right" vertical="center"/>
    </xf>
    <xf numFmtId="0" fontId="14" fillId="0" borderId="1" xfId="0" applyFont="1" applyBorder="1" applyAlignment="1">
      <alignment vertical="top" wrapText="1"/>
    </xf>
    <xf numFmtId="0" fontId="14" fillId="0" borderId="1" xfId="0" applyFont="1" applyBorder="1" applyAlignment="1">
      <alignment horizontal="center" vertical="top" wrapText="1"/>
    </xf>
    <xf numFmtId="164" fontId="14" fillId="0" borderId="1" xfId="4" applyNumberFormat="1" applyFont="1" applyBorder="1" applyAlignment="1">
      <alignment horizontal="right" vertical="top" wrapText="1"/>
    </xf>
    <xf numFmtId="164" fontId="14" fillId="0" borderId="1" xfId="4" applyNumberFormat="1" applyFont="1" applyBorder="1" applyAlignment="1">
      <alignment vertical="top" wrapText="1"/>
    </xf>
    <xf numFmtId="3" fontId="17" fillId="0" borderId="86" xfId="20" applyNumberFormat="1" applyFont="1" applyBorder="1" applyAlignment="1">
      <alignment horizontal="center" vertical="center" wrapText="1"/>
    </xf>
    <xf numFmtId="164" fontId="14" fillId="0" borderId="86" xfId="48" applyNumberFormat="1" applyFont="1" applyBorder="1" applyAlignment="1">
      <alignment vertical="center" wrapText="1"/>
    </xf>
    <xf numFmtId="0" fontId="13" fillId="0" borderId="0" xfId="20" applyFont="1" applyBorder="1" applyAlignment="1">
      <alignment horizontal="center" vertical="center" wrapText="1"/>
    </xf>
    <xf numFmtId="0" fontId="13" fillId="0" borderId="0" xfId="20" applyFont="1" applyBorder="1" applyAlignment="1">
      <alignment vertical="center" wrapText="1"/>
    </xf>
    <xf numFmtId="3" fontId="13" fillId="0" borderId="0" xfId="20" applyNumberFormat="1" applyFont="1" applyBorder="1" applyAlignment="1">
      <alignment vertical="center" wrapText="1"/>
    </xf>
    <xf numFmtId="1" fontId="17" fillId="0" borderId="22" xfId="20" applyNumberFormat="1" applyFont="1" applyBorder="1" applyAlignment="1">
      <alignment horizontal="right" vertical="center" wrapText="1"/>
    </xf>
    <xf numFmtId="43" fontId="17" fillId="0" borderId="22" xfId="4" applyNumberFormat="1" applyFont="1" applyBorder="1" applyAlignment="1">
      <alignment horizontal="center" vertical="center" wrapText="1"/>
    </xf>
    <xf numFmtId="43" fontId="17" fillId="0" borderId="22" xfId="4" applyFont="1" applyBorder="1" applyAlignment="1">
      <alignment horizontal="center" vertical="center" wrapText="1"/>
    </xf>
    <xf numFmtId="0" fontId="13" fillId="0" borderId="13" xfId="20" applyNumberFormat="1" applyFont="1" applyBorder="1" applyAlignment="1">
      <alignment horizontal="center"/>
    </xf>
    <xf numFmtId="0" fontId="14" fillId="0" borderId="13" xfId="20" applyNumberFormat="1" applyFont="1" applyBorder="1" applyAlignment="1"/>
    <xf numFmtId="3" fontId="17" fillId="0" borderId="22" xfId="20" applyNumberFormat="1" applyFont="1" applyBorder="1" applyAlignment="1">
      <alignment vertical="center" wrapText="1"/>
    </xf>
    <xf numFmtId="0" fontId="14" fillId="0" borderId="82" xfId="20" applyFont="1" applyBorder="1" applyAlignment="1">
      <alignment vertical="center" wrapText="1"/>
    </xf>
    <xf numFmtId="43" fontId="14" fillId="0" borderId="1" xfId="0" applyNumberFormat="1" applyFont="1" applyBorder="1" applyAlignment="1">
      <alignment vertical="top" wrapText="1"/>
    </xf>
    <xf numFmtId="0" fontId="13" fillId="12" borderId="1" xfId="0" applyFont="1" applyFill="1" applyBorder="1" applyAlignment="1">
      <alignment horizontal="center" vertical="center" wrapText="1"/>
    </xf>
    <xf numFmtId="0" fontId="14" fillId="12" borderId="1" xfId="0" applyFont="1" applyFill="1" applyBorder="1" applyAlignment="1">
      <alignment vertical="center" wrapText="1"/>
    </xf>
    <xf numFmtId="3" fontId="13" fillId="12" borderId="1" xfId="0" applyNumberFormat="1" applyFont="1" applyFill="1" applyBorder="1" applyAlignment="1">
      <alignment horizontal="right" vertical="center" wrapText="1"/>
    </xf>
    <xf numFmtId="0" fontId="14" fillId="12" borderId="1" xfId="0" applyFont="1" applyFill="1" applyBorder="1" applyAlignment="1">
      <alignment horizontal="center" vertical="center" wrapText="1"/>
    </xf>
    <xf numFmtId="3" fontId="14" fillId="12" borderId="1" xfId="0" applyNumberFormat="1" applyFont="1" applyFill="1" applyBorder="1" applyAlignment="1">
      <alignment horizontal="right" vertical="center" wrapText="1"/>
    </xf>
    <xf numFmtId="3" fontId="14" fillId="12" borderId="1" xfId="0" applyNumberFormat="1" applyFont="1" applyFill="1" applyBorder="1" applyAlignment="1">
      <alignment horizontal="center" vertical="center" wrapText="1"/>
    </xf>
    <xf numFmtId="10" fontId="13" fillId="12" borderId="1" xfId="0" applyNumberFormat="1" applyFont="1" applyFill="1" applyBorder="1" applyAlignment="1">
      <alignment horizontal="center" vertical="center" wrapText="1"/>
    </xf>
    <xf numFmtId="3" fontId="13" fillId="12" borderId="1" xfId="0" applyNumberFormat="1" applyFont="1" applyFill="1" applyBorder="1" applyAlignment="1">
      <alignment horizontal="center" vertical="center" wrapText="1"/>
    </xf>
    <xf numFmtId="0" fontId="13" fillId="12" borderId="2" xfId="0" applyFont="1" applyFill="1" applyBorder="1" applyAlignment="1">
      <alignment vertical="center" wrapText="1"/>
    </xf>
    <xf numFmtId="0" fontId="14" fillId="12" borderId="2" xfId="0" applyFont="1" applyFill="1" applyBorder="1" applyAlignment="1">
      <alignment vertical="center" wrapText="1"/>
    </xf>
    <xf numFmtId="0" fontId="13" fillId="12" borderId="1" xfId="0" applyFont="1" applyFill="1" applyBorder="1" applyAlignment="1">
      <alignment horizontal="right" vertical="center" wrapText="1"/>
    </xf>
    <xf numFmtId="9" fontId="14" fillId="12" borderId="1" xfId="5" applyFont="1" applyFill="1" applyBorder="1" applyAlignment="1">
      <alignment vertical="center" wrapText="1"/>
    </xf>
    <xf numFmtId="0" fontId="65" fillId="0" borderId="1" xfId="0" applyFont="1" applyBorder="1" applyAlignment="1">
      <alignment vertical="center" wrapText="1"/>
    </xf>
    <xf numFmtId="164" fontId="65" fillId="0" borderId="1" xfId="4" applyNumberFormat="1" applyFont="1" applyBorder="1" applyAlignment="1">
      <alignment horizontal="center" vertical="center" wrapText="1"/>
    </xf>
    <xf numFmtId="9" fontId="65" fillId="0" borderId="1" xfId="5" applyFont="1" applyBorder="1" applyAlignment="1">
      <alignment horizontal="center" vertical="center" wrapText="1"/>
    </xf>
    <xf numFmtId="227" fontId="14" fillId="0" borderId="0" xfId="4" applyNumberFormat="1" applyFont="1"/>
    <xf numFmtId="0" fontId="14" fillId="0" borderId="0" xfId="0" applyFont="1" applyBorder="1" applyAlignment="1">
      <alignment vertical="center" wrapText="1"/>
    </xf>
    <xf numFmtId="0" fontId="14" fillId="0" borderId="0" xfId="0" applyFont="1" applyBorder="1" applyAlignment="1">
      <alignment vertical="center"/>
    </xf>
    <xf numFmtId="0" fontId="4" fillId="0" borderId="0" xfId="65" applyFont="1" applyAlignment="1">
      <alignment horizontal="center"/>
    </xf>
    <xf numFmtId="0" fontId="4" fillId="0" borderId="0" xfId="65" applyFont="1"/>
    <xf numFmtId="0" fontId="4" fillId="0" borderId="0" xfId="33" applyNumberFormat="1" applyFont="1" applyAlignment="1">
      <alignment horizontal="left"/>
    </xf>
    <xf numFmtId="164" fontId="4" fillId="0" borderId="0" xfId="33" applyNumberFormat="1" applyFont="1"/>
    <xf numFmtId="164" fontId="17" fillId="0" borderId="0" xfId="33" applyNumberFormat="1" applyFont="1"/>
    <xf numFmtId="0" fontId="4" fillId="0" borderId="0" xfId="65" applyFont="1" applyFill="1"/>
    <xf numFmtId="0" fontId="4" fillId="0" borderId="0" xfId="65" applyFont="1" applyAlignment="1">
      <alignment horizontal="left"/>
    </xf>
    <xf numFmtId="0" fontId="4" fillId="0" borderId="0" xfId="65" applyFont="1" applyBorder="1" applyAlignment="1"/>
    <xf numFmtId="0" fontId="5" fillId="0" borderId="1" xfId="65" applyFont="1" applyBorder="1" applyAlignment="1">
      <alignment horizontal="center" vertical="center" wrapText="1"/>
    </xf>
    <xf numFmtId="0" fontId="5" fillId="0" borderId="1" xfId="33" applyNumberFormat="1" applyFont="1" applyBorder="1" applyAlignment="1">
      <alignment horizontal="center" vertical="center" wrapText="1"/>
    </xf>
    <xf numFmtId="164" fontId="5" fillId="0" borderId="1" xfId="33" applyNumberFormat="1" applyFont="1" applyBorder="1" applyAlignment="1">
      <alignment horizontal="center" vertical="center" wrapText="1"/>
    </xf>
    <xf numFmtId="0" fontId="5" fillId="0" borderId="0" xfId="65" applyFont="1" applyBorder="1" applyAlignment="1">
      <alignment horizontal="center" vertical="center" wrapText="1"/>
    </xf>
    <xf numFmtId="0" fontId="5" fillId="0" borderId="0" xfId="65" applyFont="1" applyFill="1" applyAlignment="1">
      <alignment wrapText="1"/>
    </xf>
    <xf numFmtId="0" fontId="5" fillId="0" borderId="0" xfId="65" applyFont="1" applyAlignment="1">
      <alignment wrapText="1"/>
    </xf>
    <xf numFmtId="0" fontId="4" fillId="0" borderId="1" xfId="65" applyFont="1" applyBorder="1" applyAlignment="1">
      <alignment horizontal="center" vertical="center"/>
    </xf>
    <xf numFmtId="0" fontId="14" fillId="0" borderId="1" xfId="65" applyFont="1" applyBorder="1" applyAlignment="1">
      <alignment horizontal="left" wrapText="1"/>
    </xf>
    <xf numFmtId="164" fontId="14" fillId="0" borderId="1" xfId="33" applyNumberFormat="1" applyFont="1" applyBorder="1"/>
    <xf numFmtId="164" fontId="14" fillId="0" borderId="0" xfId="33" applyNumberFormat="1" applyFont="1" applyBorder="1"/>
    <xf numFmtId="0" fontId="4" fillId="0" borderId="0" xfId="65" applyFont="1" applyFill="1" applyAlignment="1">
      <alignment vertical="center"/>
    </xf>
    <xf numFmtId="0" fontId="4" fillId="0" borderId="0" xfId="65" applyFont="1" applyAlignment="1">
      <alignment vertical="center"/>
    </xf>
    <xf numFmtId="177" fontId="14" fillId="0" borderId="0" xfId="33" applyNumberFormat="1" applyFont="1" applyBorder="1"/>
    <xf numFmtId="0" fontId="5" fillId="0" borderId="1" xfId="33" applyNumberFormat="1" applyFont="1" applyFill="1" applyBorder="1" applyAlignment="1">
      <alignment horizontal="center"/>
    </xf>
    <xf numFmtId="164" fontId="5" fillId="0" borderId="1" xfId="33" applyNumberFormat="1" applyFont="1" applyFill="1" applyBorder="1"/>
    <xf numFmtId="164" fontId="5" fillId="0" borderId="0" xfId="65" applyNumberFormat="1" applyFont="1" applyFill="1" applyBorder="1"/>
    <xf numFmtId="0" fontId="5" fillId="0" borderId="0" xfId="65" applyFont="1" applyFill="1"/>
    <xf numFmtId="0" fontId="5" fillId="0" borderId="0" xfId="65" applyFont="1" applyAlignment="1"/>
    <xf numFmtId="0" fontId="5" fillId="0" borderId="0" xfId="65" applyFont="1"/>
    <xf numFmtId="164" fontId="5" fillId="0" borderId="0" xfId="65" applyNumberFormat="1" applyFont="1" applyAlignment="1"/>
    <xf numFmtId="164" fontId="5" fillId="0" borderId="0" xfId="33" applyNumberFormat="1" applyFont="1"/>
    <xf numFmtId="164" fontId="5" fillId="0" borderId="0" xfId="65" applyNumberFormat="1" applyFont="1" applyFill="1"/>
    <xf numFmtId="0" fontId="4" fillId="0" borderId="0" xfId="65" quotePrefix="1" applyFont="1"/>
    <xf numFmtId="164" fontId="4" fillId="0" borderId="0" xfId="65" applyNumberFormat="1" applyFont="1" applyAlignment="1"/>
    <xf numFmtId="164" fontId="4" fillId="0" borderId="0" xfId="65" applyNumberFormat="1" applyFont="1" applyFill="1"/>
    <xf numFmtId="164" fontId="4" fillId="0" borderId="0" xfId="65" applyNumberFormat="1" applyFont="1" applyAlignment="1">
      <alignment vertical="center"/>
    </xf>
    <xf numFmtId="164" fontId="4" fillId="0" borderId="0" xfId="33" applyNumberFormat="1" applyFont="1" applyAlignment="1">
      <alignment vertical="center"/>
    </xf>
    <xf numFmtId="164" fontId="4" fillId="0" borderId="0" xfId="65" applyNumberFormat="1" applyFont="1"/>
    <xf numFmtId="0" fontId="5" fillId="0" borderId="0" xfId="65" quotePrefix="1" applyFont="1" applyAlignment="1"/>
    <xf numFmtId="164" fontId="5" fillId="0" borderId="0" xfId="65" quotePrefix="1" applyNumberFormat="1" applyFont="1" applyAlignment="1">
      <alignment horizontal="right"/>
    </xf>
    <xf numFmtId="164" fontId="5" fillId="0" borderId="0" xfId="65" quotePrefix="1" applyNumberFormat="1" applyFont="1" applyAlignment="1">
      <alignment horizontal="center"/>
    </xf>
    <xf numFmtId="177" fontId="5" fillId="0" borderId="0" xfId="33" applyNumberFormat="1" applyFont="1"/>
    <xf numFmtId="192" fontId="5" fillId="0" borderId="0" xfId="65" applyNumberFormat="1" applyFont="1"/>
    <xf numFmtId="10" fontId="5" fillId="0" borderId="0" xfId="78" applyNumberFormat="1" applyFont="1"/>
    <xf numFmtId="10" fontId="5" fillId="0" borderId="0" xfId="78" applyNumberFormat="1" applyFont="1" applyFill="1"/>
    <xf numFmtId="177" fontId="5" fillId="0" borderId="0" xfId="65" applyNumberFormat="1" applyFont="1" applyAlignment="1"/>
    <xf numFmtId="9" fontId="5" fillId="0" borderId="0" xfId="65" applyNumberFormat="1" applyFont="1" applyFill="1"/>
    <xf numFmtId="191" fontId="5" fillId="0" borderId="0" xfId="25" applyNumberFormat="1" applyFont="1"/>
    <xf numFmtId="0" fontId="4" fillId="0" borderId="0" xfId="33" applyNumberFormat="1" applyFont="1" applyAlignment="1">
      <alignment horizontal="center"/>
    </xf>
    <xf numFmtId="0" fontId="13" fillId="0" borderId="0" xfId="0" applyFont="1" applyAlignment="1">
      <alignment vertical="center"/>
    </xf>
    <xf numFmtId="0" fontId="41" fillId="0" borderId="0" xfId="0" applyFont="1" applyAlignment="1">
      <alignment vertical="center"/>
    </xf>
    <xf numFmtId="0" fontId="14" fillId="0" borderId="0" xfId="0" applyFont="1" applyAlignment="1">
      <alignment horizontal="center" vertical="center"/>
    </xf>
    <xf numFmtId="0" fontId="13" fillId="0" borderId="17" xfId="0" applyFont="1" applyBorder="1" applyAlignment="1">
      <alignment vertical="center"/>
    </xf>
    <xf numFmtId="0" fontId="14" fillId="0" borderId="1" xfId="0" applyFont="1" applyBorder="1" applyAlignment="1">
      <alignment horizontal="left" vertical="center"/>
    </xf>
    <xf numFmtId="167" fontId="14" fillId="0" borderId="1" xfId="0" applyNumberFormat="1" applyFont="1" applyBorder="1" applyAlignment="1">
      <alignment horizontal="center" vertical="center"/>
    </xf>
    <xf numFmtId="164" fontId="13" fillId="0" borderId="1" xfId="0" applyNumberFormat="1" applyFont="1" applyBorder="1" applyAlignment="1">
      <alignment horizontal="center" vertical="center"/>
    </xf>
    <xf numFmtId="0" fontId="13" fillId="0" borderId="5" xfId="0" applyFont="1" applyBorder="1" applyAlignment="1">
      <alignment horizontal="left" vertical="center"/>
    </xf>
    <xf numFmtId="164" fontId="14" fillId="0" borderId="1" xfId="0" applyNumberFormat="1" applyFont="1" applyBorder="1" applyAlignment="1">
      <alignment horizontal="center" vertical="center"/>
    </xf>
    <xf numFmtId="0" fontId="13" fillId="0" borderId="0" xfId="0" applyFont="1" applyBorder="1" applyAlignment="1">
      <alignment horizontal="center" vertical="center"/>
    </xf>
    <xf numFmtId="164" fontId="14" fillId="0" borderId="0" xfId="4" applyNumberFormat="1" applyFont="1" applyBorder="1" applyAlignment="1">
      <alignment horizontal="center" vertical="center"/>
    </xf>
    <xf numFmtId="0" fontId="14" fillId="0" borderId="0" xfId="0" applyFont="1" applyAlignment="1">
      <alignment horizontal="center" vertical="center" wrapText="1"/>
    </xf>
    <xf numFmtId="164" fontId="13" fillId="0" borderId="0" xfId="0" applyNumberFormat="1" applyFont="1" applyAlignment="1">
      <alignment horizontal="center" vertical="center"/>
    </xf>
    <xf numFmtId="164" fontId="14" fillId="0" borderId="1" xfId="0" applyNumberFormat="1" applyFont="1" applyBorder="1" applyAlignment="1">
      <alignment horizontal="right" vertical="center"/>
    </xf>
    <xf numFmtId="0" fontId="14" fillId="0" borderId="1" xfId="0" applyFont="1" applyBorder="1" applyAlignment="1">
      <alignment horizontal="right" vertical="center"/>
    </xf>
    <xf numFmtId="9" fontId="14" fillId="0" borderId="1" xfId="5" applyFont="1" applyBorder="1" applyAlignment="1">
      <alignment horizontal="center" vertical="center"/>
    </xf>
    <xf numFmtId="0" fontId="14" fillId="0" borderId="0" xfId="0" applyFont="1" applyAlignment="1">
      <alignment vertical="center"/>
    </xf>
    <xf numFmtId="0" fontId="61" fillId="10" borderId="1" xfId="0" applyFont="1" applyFill="1" applyBorder="1" applyAlignment="1">
      <alignment horizontal="center" vertical="center" wrapText="1"/>
    </xf>
    <xf numFmtId="0" fontId="61" fillId="10" borderId="1" xfId="0" applyFont="1" applyFill="1" applyBorder="1" applyAlignment="1">
      <alignment vertical="center" wrapText="1"/>
    </xf>
    <xf numFmtId="0" fontId="14" fillId="10" borderId="1" xfId="0" applyFont="1" applyFill="1" applyBorder="1" applyAlignment="1">
      <alignment vertical="center" wrapText="1"/>
    </xf>
    <xf numFmtId="3" fontId="61" fillId="10" borderId="1" xfId="0" applyNumberFormat="1" applyFont="1" applyFill="1" applyBorder="1" applyAlignment="1">
      <alignment horizontal="right" vertical="center" wrapText="1"/>
    </xf>
    <xf numFmtId="0" fontId="65" fillId="0" borderId="1" xfId="0" applyFont="1" applyBorder="1" applyAlignment="1">
      <alignment horizontal="center" vertical="center" wrapText="1"/>
    </xf>
    <xf numFmtId="3" fontId="65" fillId="0" borderId="1" xfId="0" applyNumberFormat="1" applyFont="1" applyBorder="1" applyAlignment="1">
      <alignment horizontal="center" vertical="center" wrapText="1"/>
    </xf>
    <xf numFmtId="3" fontId="65" fillId="0" borderId="1" xfId="0" applyNumberFormat="1" applyFont="1" applyBorder="1" applyAlignment="1">
      <alignment horizontal="right" vertical="center" wrapText="1"/>
    </xf>
    <xf numFmtId="0" fontId="13" fillId="10" borderId="1" xfId="0" applyFont="1" applyFill="1" applyBorder="1" applyAlignment="1">
      <alignment vertical="center" wrapText="1"/>
    </xf>
    <xf numFmtId="0" fontId="5" fillId="10" borderId="1" xfId="0" applyFont="1" applyFill="1" applyBorder="1" applyAlignment="1">
      <alignment horizontal="center" vertical="center" wrapText="1"/>
    </xf>
    <xf numFmtId="0" fontId="5" fillId="10" borderId="1" xfId="0" applyFont="1" applyFill="1" applyBorder="1" applyAlignment="1">
      <alignment vertical="center" wrapText="1"/>
    </xf>
    <xf numFmtId="0" fontId="4" fillId="10" borderId="1" xfId="0" applyFont="1" applyFill="1" applyBorder="1" applyAlignment="1">
      <alignment vertical="center" wrapText="1"/>
    </xf>
    <xf numFmtId="3" fontId="5" fillId="10" borderId="1" xfId="0" applyNumberFormat="1" applyFont="1" applyFill="1" applyBorder="1" applyAlignment="1">
      <alignment horizontal="right" vertical="center" wrapText="1"/>
    </xf>
    <xf numFmtId="9" fontId="4" fillId="0" borderId="1" xfId="0" applyNumberFormat="1" applyFont="1" applyBorder="1" applyAlignment="1">
      <alignment vertical="center" wrapText="1"/>
    </xf>
    <xf numFmtId="0" fontId="13" fillId="10" borderId="1" xfId="0" applyFont="1" applyFill="1" applyBorder="1" applyAlignment="1">
      <alignment horizontal="center" vertical="center"/>
    </xf>
    <xf numFmtId="0" fontId="13" fillId="10" borderId="1" xfId="0" applyFont="1" applyFill="1" applyBorder="1" applyAlignment="1">
      <alignment vertical="center"/>
    </xf>
    <xf numFmtId="0" fontId="14" fillId="10" borderId="1" xfId="0" applyFont="1" applyFill="1" applyBorder="1"/>
    <xf numFmtId="3" fontId="13" fillId="10" borderId="1" xfId="0" applyNumberFormat="1" applyFont="1" applyFill="1" applyBorder="1" applyAlignment="1">
      <alignment vertical="center"/>
    </xf>
    <xf numFmtId="43" fontId="14" fillId="0" borderId="0" xfId="0" applyNumberFormat="1" applyFont="1"/>
    <xf numFmtId="4" fontId="13" fillId="10" borderId="1" xfId="0" applyNumberFormat="1" applyFont="1" applyFill="1" applyBorder="1" applyAlignment="1">
      <alignment vertical="center"/>
    </xf>
    <xf numFmtId="169" fontId="13" fillId="10" borderId="1" xfId="7" applyNumberFormat="1" applyFont="1" applyFill="1" applyBorder="1" applyAlignment="1">
      <alignment vertical="center"/>
    </xf>
    <xf numFmtId="165" fontId="13" fillId="10" borderId="1" xfId="5" applyNumberFormat="1" applyFont="1" applyFill="1" applyBorder="1"/>
    <xf numFmtId="0" fontId="13" fillId="10" borderId="1" xfId="0" applyFont="1" applyFill="1" applyBorder="1"/>
    <xf numFmtId="165" fontId="14" fillId="0" borderId="1" xfId="0" applyNumberFormat="1" applyFont="1" applyBorder="1"/>
    <xf numFmtId="165" fontId="13" fillId="10" borderId="1" xfId="0" applyNumberFormat="1" applyFont="1" applyFill="1" applyBorder="1"/>
    <xf numFmtId="169" fontId="13" fillId="10" borderId="1" xfId="0" applyNumberFormat="1" applyFont="1" applyFill="1" applyBorder="1" applyAlignment="1">
      <alignment vertical="center"/>
    </xf>
    <xf numFmtId="169" fontId="14" fillId="0" borderId="1" xfId="0" applyNumberFormat="1" applyFont="1" applyBorder="1" applyAlignment="1">
      <alignment vertical="center"/>
    </xf>
    <xf numFmtId="10" fontId="65" fillId="0" borderId="1" xfId="0" applyNumberFormat="1" applyFont="1" applyBorder="1" applyAlignment="1">
      <alignment horizontal="center" vertical="center" wrapText="1"/>
    </xf>
    <xf numFmtId="169" fontId="13" fillId="0" borderId="0" xfId="7" applyNumberFormat="1" applyFont="1"/>
    <xf numFmtId="169" fontId="17" fillId="0" borderId="0" xfId="7" applyNumberFormat="1" applyFont="1"/>
    <xf numFmtId="168" fontId="17" fillId="0" borderId="0" xfId="0" applyNumberFormat="1" applyFont="1"/>
    <xf numFmtId="43" fontId="17" fillId="0" borderId="0" xfId="7" applyNumberFormat="1" applyFont="1"/>
    <xf numFmtId="0" fontId="14" fillId="0" borderId="0" xfId="0" applyFont="1" applyAlignment="1">
      <alignment vertical="center" wrapText="1"/>
    </xf>
    <xf numFmtId="172" fontId="14" fillId="0" borderId="0" xfId="7" applyNumberFormat="1" applyFont="1" applyAlignment="1">
      <alignment vertical="center"/>
    </xf>
    <xf numFmtId="164" fontId="6" fillId="0" borderId="0" xfId="134" applyNumberFormat="1" applyFont="1" applyAlignment="1">
      <alignment horizontal="right" vertical="center"/>
    </xf>
    <xf numFmtId="164" fontId="5" fillId="0" borderId="1" xfId="134" applyNumberFormat="1" applyFont="1" applyBorder="1" applyAlignment="1">
      <alignment horizontal="center" vertical="center" wrapText="1"/>
    </xf>
    <xf numFmtId="164" fontId="5" fillId="0" borderId="1" xfId="134" applyNumberFormat="1" applyFont="1" applyBorder="1" applyAlignment="1">
      <alignment horizontal="center" vertical="center"/>
    </xf>
    <xf numFmtId="0" fontId="5" fillId="0" borderId="1" xfId="133" applyFont="1" applyBorder="1" applyAlignment="1">
      <alignment horizontal="left" vertical="center"/>
    </xf>
    <xf numFmtId="164" fontId="5" fillId="0" borderId="1" xfId="134" applyNumberFormat="1" applyFont="1" applyBorder="1" applyAlignment="1">
      <alignment horizontal="right" vertical="center"/>
    </xf>
    <xf numFmtId="0" fontId="4" fillId="0" borderId="1" xfId="133" applyFont="1" applyBorder="1" applyAlignment="1">
      <alignment horizontal="center" vertical="center"/>
    </xf>
    <xf numFmtId="0" fontId="4" fillId="0" borderId="1" xfId="133" applyFont="1" applyBorder="1" applyAlignment="1">
      <alignment horizontal="left" vertical="center"/>
    </xf>
    <xf numFmtId="164" fontId="4" fillId="0" borderId="1" xfId="134" applyNumberFormat="1" applyFont="1" applyBorder="1" applyAlignment="1">
      <alignment horizontal="right" vertical="center"/>
    </xf>
    <xf numFmtId="164" fontId="4" fillId="0" borderId="1" xfId="134" applyNumberFormat="1" applyFont="1" applyBorder="1" applyAlignment="1">
      <alignment vertical="center"/>
    </xf>
    <xf numFmtId="164" fontId="4" fillId="0" borderId="1" xfId="134" applyNumberFormat="1" applyFont="1" applyBorder="1" applyAlignment="1">
      <alignment horizontal="center" vertical="center"/>
    </xf>
    <xf numFmtId="0" fontId="5" fillId="0" borderId="1" xfId="133" applyFont="1" applyBorder="1" applyAlignment="1">
      <alignment horizontal="left" vertical="center" wrapText="1"/>
    </xf>
    <xf numFmtId="164" fontId="6" fillId="0" borderId="0" xfId="134" applyNumberFormat="1" applyFont="1" applyBorder="1" applyAlignment="1">
      <alignment horizontal="right" vertical="center"/>
    </xf>
    <xf numFmtId="3" fontId="4" fillId="0" borderId="0" xfId="133" applyNumberFormat="1" applyFont="1" applyBorder="1"/>
    <xf numFmtId="3" fontId="4" fillId="0" borderId="0" xfId="133" applyNumberFormat="1" applyFont="1" applyBorder="1" applyAlignment="1">
      <alignment horizontal="center"/>
    </xf>
    <xf numFmtId="3" fontId="5" fillId="0" borderId="0" xfId="133" applyNumberFormat="1" applyFont="1" applyBorder="1" applyAlignment="1">
      <alignment horizontal="center"/>
    </xf>
    <xf numFmtId="3" fontId="5" fillId="0" borderId="0" xfId="133" applyNumberFormat="1" applyFont="1" applyBorder="1" applyAlignment="1"/>
    <xf numFmtId="3" fontId="4" fillId="0" borderId="0" xfId="133" applyNumberFormat="1" applyFont="1" applyBorder="1" applyAlignment="1">
      <alignment horizontal="right"/>
    </xf>
    <xf numFmtId="3" fontId="42" fillId="0" borderId="0" xfId="133" applyNumberFormat="1" applyFont="1" applyBorder="1" applyAlignment="1">
      <alignment horizontal="center"/>
    </xf>
    <xf numFmtId="3" fontId="4" fillId="0" borderId="0" xfId="133" applyNumberFormat="1" applyFont="1" applyBorder="1" applyAlignment="1"/>
    <xf numFmtId="3" fontId="5" fillId="0" borderId="0" xfId="133" applyNumberFormat="1" applyFont="1"/>
    <xf numFmtId="3" fontId="4" fillId="0" borderId="0" xfId="133" applyNumberFormat="1" applyFont="1"/>
    <xf numFmtId="3" fontId="7" fillId="0" borderId="0" xfId="133" applyNumberFormat="1" applyFont="1"/>
    <xf numFmtId="3" fontId="4" fillId="0" borderId="0" xfId="133" applyNumberFormat="1" applyFont="1" applyAlignment="1">
      <alignment horizontal="right"/>
    </xf>
    <xf numFmtId="3" fontId="7" fillId="0" borderId="0" xfId="133" applyNumberFormat="1" applyFont="1" applyBorder="1"/>
    <xf numFmtId="0" fontId="65" fillId="12" borderId="0" xfId="133" quotePrefix="1" applyFont="1" applyFill="1" applyBorder="1" applyAlignment="1">
      <alignment horizontal="left" vertical="center"/>
    </xf>
    <xf numFmtId="10" fontId="4" fillId="0" borderId="0" xfId="135" applyNumberFormat="1" applyFont="1" applyAlignment="1"/>
    <xf numFmtId="228" fontId="4" fillId="0" borderId="0" xfId="133" applyNumberFormat="1" applyFont="1" applyAlignment="1"/>
    <xf numFmtId="0" fontId="65" fillId="12" borderId="0" xfId="133" quotePrefix="1" applyFont="1" applyFill="1" applyBorder="1" applyAlignment="1">
      <alignment vertical="center"/>
    </xf>
    <xf numFmtId="165" fontId="4" fillId="0" borderId="0" xfId="135" applyNumberFormat="1" applyFont="1" applyAlignment="1"/>
    <xf numFmtId="0" fontId="4" fillId="0" borderId="0" xfId="133" applyFont="1"/>
    <xf numFmtId="9" fontId="5" fillId="0" borderId="0" xfId="11" applyNumberFormat="1" applyFont="1" applyAlignment="1">
      <alignment vertical="center"/>
    </xf>
    <xf numFmtId="9" fontId="4" fillId="0" borderId="0" xfId="11" applyNumberFormat="1" applyFont="1" applyAlignment="1">
      <alignment vertical="center"/>
    </xf>
    <xf numFmtId="173" fontId="5" fillId="0" borderId="1" xfId="10" applyNumberFormat="1" applyFont="1" applyBorder="1" applyAlignment="1">
      <alignment horizontal="left"/>
    </xf>
    <xf numFmtId="173" fontId="7" fillId="0" borderId="1" xfId="10" applyNumberFormat="1" applyFont="1" applyBorder="1" applyAlignment="1">
      <alignment horizontal="left"/>
    </xf>
    <xf numFmtId="173" fontId="7" fillId="0" borderId="1" xfId="10" applyNumberFormat="1" applyFont="1" applyBorder="1" applyAlignment="1">
      <alignment horizontal="center"/>
    </xf>
    <xf numFmtId="164" fontId="5" fillId="0" borderId="1" xfId="12" applyNumberFormat="1" applyFont="1" applyBorder="1" applyAlignment="1">
      <alignment horizontal="right"/>
    </xf>
    <xf numFmtId="173" fontId="4" fillId="0" borderId="1" xfId="10" applyNumberFormat="1" applyFont="1" applyBorder="1" applyAlignment="1">
      <alignment horizontal="left"/>
    </xf>
    <xf numFmtId="173" fontId="4" fillId="0" borderId="1" xfId="10" applyNumberFormat="1" applyFont="1" applyBorder="1" applyAlignment="1">
      <alignment horizontal="center"/>
    </xf>
    <xf numFmtId="164" fontId="4" fillId="0" borderId="1" xfId="12" applyNumberFormat="1" applyFont="1" applyBorder="1"/>
    <xf numFmtId="0" fontId="7" fillId="0" borderId="0" xfId="10" applyFont="1" applyFill="1" applyAlignment="1">
      <alignment vertical="center"/>
    </xf>
    <xf numFmtId="3" fontId="7" fillId="0" borderId="0" xfId="10" applyNumberFormat="1" applyFont="1" applyFill="1" applyAlignment="1">
      <alignment vertical="center"/>
    </xf>
    <xf numFmtId="164" fontId="4" fillId="0" borderId="0" xfId="12" applyNumberFormat="1" applyFont="1" applyFill="1" applyAlignment="1">
      <alignment vertical="center"/>
    </xf>
    <xf numFmtId="9" fontId="5" fillId="0" borderId="0" xfId="11" applyFont="1" applyAlignment="1">
      <alignment vertical="center"/>
    </xf>
    <xf numFmtId="0" fontId="14" fillId="0" borderId="1" xfId="20" applyFont="1" applyBorder="1" applyAlignment="1">
      <alignment horizontal="center" vertical="center" wrapText="1"/>
    </xf>
    <xf numFmtId="0" fontId="14" fillId="0" borderId="1" xfId="20" applyFont="1" applyBorder="1" applyAlignment="1">
      <alignment vertical="center" wrapText="1"/>
    </xf>
    <xf numFmtId="0" fontId="17" fillId="0" borderId="22" xfId="20" applyFont="1" applyBorder="1" applyAlignment="1">
      <alignment vertical="center" wrapText="1"/>
    </xf>
    <xf numFmtId="164" fontId="14" fillId="0" borderId="22" xfId="20" applyNumberFormat="1" applyFont="1" applyBorder="1" applyAlignment="1">
      <alignment vertical="center" wrapText="1"/>
    </xf>
    <xf numFmtId="0" fontId="14" fillId="0" borderId="18" xfId="20" applyFont="1" applyBorder="1" applyAlignment="1">
      <alignment vertical="center" wrapText="1"/>
    </xf>
    <xf numFmtId="3" fontId="17" fillId="0" borderId="18" xfId="20" applyNumberFormat="1" applyFont="1" applyBorder="1" applyAlignment="1">
      <alignment vertical="center" wrapText="1"/>
    </xf>
    <xf numFmtId="164" fontId="14" fillId="0" borderId="18" xfId="20" applyNumberFormat="1" applyFont="1" applyBorder="1" applyAlignment="1">
      <alignment vertical="center" wrapText="1"/>
    </xf>
    <xf numFmtId="164" fontId="14" fillId="0" borderId="1" xfId="20" applyNumberFormat="1" applyFont="1" applyBorder="1" applyAlignment="1">
      <alignment vertical="center" wrapText="1"/>
    </xf>
    <xf numFmtId="0" fontId="13" fillId="0" borderId="0" xfId="0" applyFont="1" applyAlignment="1"/>
    <xf numFmtId="3" fontId="4" fillId="0" borderId="0" xfId="0" applyNumberFormat="1" applyFont="1" applyAlignment="1">
      <alignment horizontal="right"/>
    </xf>
    <xf numFmtId="3" fontId="4" fillId="0" borderId="0" xfId="0" applyNumberFormat="1" applyFont="1" applyAlignment="1">
      <alignment horizontal="left"/>
    </xf>
    <xf numFmtId="3" fontId="60" fillId="5" borderId="0" xfId="0" applyNumberFormat="1" applyFont="1" applyFill="1" applyAlignment="1">
      <alignment horizontal="left"/>
    </xf>
    <xf numFmtId="3" fontId="4" fillId="0" borderId="0" xfId="0" applyNumberFormat="1" applyFont="1" applyAlignment="1">
      <alignment horizontal="center"/>
    </xf>
    <xf numFmtId="3" fontId="5" fillId="0" borderId="1" xfId="0" applyNumberFormat="1" applyFont="1" applyBorder="1" applyAlignment="1">
      <alignment horizontal="center"/>
    </xf>
    <xf numFmtId="3" fontId="5" fillId="0" borderId="4" xfId="0" applyNumberFormat="1" applyFont="1" applyBorder="1" applyAlignment="1">
      <alignment horizontal="center"/>
    </xf>
    <xf numFmtId="0" fontId="5" fillId="0" borderId="31" xfId="0" applyFont="1" applyBorder="1" applyAlignment="1">
      <alignment horizontal="center"/>
    </xf>
    <xf numFmtId="0" fontId="5" fillId="0" borderId="31" xfId="0" applyFont="1" applyBorder="1" applyAlignment="1">
      <alignment horizontal="left"/>
    </xf>
    <xf numFmtId="3" fontId="5" fillId="0" borderId="31" xfId="0" applyNumberFormat="1" applyFont="1" applyBorder="1" applyAlignment="1">
      <alignment horizontal="center"/>
    </xf>
    <xf numFmtId="3" fontId="5" fillId="0" borderId="94" xfId="0" applyNumberFormat="1" applyFont="1" applyBorder="1" applyAlignment="1">
      <alignment horizontal="center"/>
    </xf>
    <xf numFmtId="3" fontId="5" fillId="0" borderId="31" xfId="0" applyNumberFormat="1" applyFont="1" applyBorder="1" applyAlignment="1">
      <alignment horizontal="right"/>
    </xf>
    <xf numFmtId="0" fontId="5" fillId="0" borderId="31" xfId="0" applyFont="1" applyBorder="1" applyAlignment="1">
      <alignment vertical="center" wrapText="1"/>
    </xf>
    <xf numFmtId="0" fontId="4" fillId="0" borderId="31" xfId="0" applyFont="1" applyBorder="1" applyAlignment="1">
      <alignment horizontal="center"/>
    </xf>
    <xf numFmtId="3" fontId="4" fillId="0" borderId="31" xfId="0" applyNumberFormat="1" applyFont="1" applyBorder="1" applyAlignment="1">
      <alignment horizontal="center"/>
    </xf>
    <xf numFmtId="3" fontId="4" fillId="0" borderId="94" xfId="0" applyNumberFormat="1" applyFont="1" applyBorder="1" applyAlignment="1">
      <alignment horizontal="center"/>
    </xf>
    <xf numFmtId="0" fontId="5" fillId="0" borderId="28" xfId="0" applyFont="1" applyBorder="1" applyAlignment="1">
      <alignment horizontal="center"/>
    </xf>
    <xf numFmtId="0" fontId="7" fillId="0" borderId="28" xfId="0" applyFont="1" applyBorder="1"/>
    <xf numFmtId="0" fontId="7" fillId="0" borderId="28" xfId="0" applyFont="1" applyBorder="1" applyAlignment="1">
      <alignment horizontal="center"/>
    </xf>
    <xf numFmtId="3" fontId="7" fillId="0" borderId="28" xfId="0" applyNumberFormat="1" applyFont="1" applyBorder="1" applyAlignment="1">
      <alignment horizontal="center"/>
    </xf>
    <xf numFmtId="3" fontId="7" fillId="0" borderId="49" xfId="0" applyNumberFormat="1" applyFont="1" applyBorder="1" applyAlignment="1">
      <alignment horizontal="center"/>
    </xf>
    <xf numFmtId="3" fontId="7" fillId="0" borderId="28" xfId="0" applyNumberFormat="1" applyFont="1" applyBorder="1" applyAlignment="1">
      <alignment horizontal="right"/>
    </xf>
    <xf numFmtId="0" fontId="4" fillId="0" borderId="28" xfId="0" applyFont="1" applyBorder="1"/>
    <xf numFmtId="0" fontId="4" fillId="0" borderId="28" xfId="0" applyFont="1" applyBorder="1" applyAlignment="1">
      <alignment horizontal="center"/>
    </xf>
    <xf numFmtId="3" fontId="4" fillId="0" borderId="28" xfId="0" applyNumberFormat="1" applyFont="1" applyBorder="1" applyAlignment="1">
      <alignment horizontal="center"/>
    </xf>
    <xf numFmtId="3" fontId="4" fillId="0" borderId="49" xfId="0" applyNumberFormat="1" applyFont="1" applyBorder="1" applyAlignment="1">
      <alignment horizontal="center"/>
    </xf>
    <xf numFmtId="3" fontId="4" fillId="0" borderId="28" xfId="0" applyNumberFormat="1" applyFont="1" applyBorder="1" applyAlignment="1">
      <alignment horizontal="right"/>
    </xf>
    <xf numFmtId="0" fontId="4" fillId="0" borderId="28" xfId="0" applyFont="1" applyBorder="1" applyAlignment="1">
      <alignment horizontal="left" vertical="center" wrapText="1"/>
    </xf>
    <xf numFmtId="0" fontId="4" fillId="0" borderId="51" xfId="0" applyNumberFormat="1" applyFont="1" applyBorder="1"/>
    <xf numFmtId="0" fontId="7" fillId="0" borderId="37" xfId="0" applyFont="1" applyBorder="1" applyAlignment="1">
      <alignment horizontal="center"/>
    </xf>
    <xf numFmtId="3" fontId="7" fillId="0" borderId="37" xfId="0" applyNumberFormat="1" applyFont="1" applyBorder="1" applyAlignment="1">
      <alignment horizontal="center"/>
    </xf>
    <xf numFmtId="3" fontId="7" fillId="0" borderId="48" xfId="0" applyNumberFormat="1" applyFont="1" applyBorder="1" applyAlignment="1">
      <alignment horizontal="center"/>
    </xf>
    <xf numFmtId="0" fontId="4" fillId="0" borderId="28" xfId="0" applyNumberFormat="1" applyFont="1" applyBorder="1"/>
    <xf numFmtId="0" fontId="4" fillId="0" borderId="49" xfId="5" applyNumberFormat="1" applyFont="1" applyBorder="1" applyAlignment="1">
      <alignment horizontal="center"/>
    </xf>
    <xf numFmtId="0" fontId="5" fillId="0" borderId="18" xfId="0" applyFont="1" applyBorder="1" applyAlignment="1">
      <alignment horizontal="center"/>
    </xf>
    <xf numFmtId="0" fontId="4" fillId="0" borderId="18" xfId="0" applyFont="1" applyBorder="1"/>
    <xf numFmtId="0" fontId="4" fillId="0" borderId="18" xfId="0" applyFont="1" applyBorder="1" applyAlignment="1">
      <alignment horizontal="center"/>
    </xf>
    <xf numFmtId="3" fontId="4" fillId="0" borderId="18" xfId="0" applyNumberFormat="1" applyFont="1" applyBorder="1" applyAlignment="1">
      <alignment horizontal="center"/>
    </xf>
    <xf numFmtId="0" fontId="4" fillId="0" borderId="12" xfId="5" applyNumberFormat="1" applyFont="1" applyBorder="1" applyAlignment="1">
      <alignment horizontal="center"/>
    </xf>
    <xf numFmtId="0" fontId="17" fillId="0" borderId="31" xfId="0" applyFont="1" applyBorder="1" applyAlignment="1">
      <alignment vertical="center" wrapText="1"/>
    </xf>
    <xf numFmtId="0" fontId="7" fillId="0" borderId="31" xfId="0" applyFont="1" applyBorder="1"/>
    <xf numFmtId="0" fontId="4" fillId="0" borderId="94" xfId="5" applyNumberFormat="1" applyFont="1" applyBorder="1" applyAlignment="1">
      <alignment horizontal="center"/>
    </xf>
    <xf numFmtId="3" fontId="4" fillId="0" borderId="31" xfId="0" applyNumberFormat="1" applyFont="1" applyBorder="1" applyAlignment="1">
      <alignment horizontal="right"/>
    </xf>
    <xf numFmtId="0" fontId="5" fillId="0" borderId="3" xfId="0" applyFont="1" applyBorder="1" applyAlignment="1">
      <alignment horizontal="center"/>
    </xf>
    <xf numFmtId="0" fontId="5" fillId="0" borderId="3" xfId="0" applyFont="1" applyBorder="1"/>
    <xf numFmtId="0" fontId="42" fillId="0" borderId="3" xfId="0" applyFont="1" applyBorder="1" applyAlignment="1">
      <alignment horizontal="center"/>
    </xf>
    <xf numFmtId="3" fontId="42" fillId="0" borderId="3" xfId="0" applyNumberFormat="1" applyFont="1" applyBorder="1" applyAlignment="1">
      <alignment horizontal="center"/>
    </xf>
    <xf numFmtId="0" fontId="42" fillId="0" borderId="15" xfId="5" applyNumberFormat="1" applyFont="1" applyBorder="1" applyAlignment="1">
      <alignment horizontal="center"/>
    </xf>
    <xf numFmtId="3" fontId="5" fillId="0" borderId="3" xfId="0" applyNumberFormat="1" applyFont="1" applyBorder="1" applyAlignment="1">
      <alignment horizontal="right"/>
    </xf>
    <xf numFmtId="0" fontId="5" fillId="0" borderId="28" xfId="0" applyFont="1" applyBorder="1" applyAlignment="1">
      <alignment horizontal="right"/>
    </xf>
    <xf numFmtId="193" fontId="4" fillId="0" borderId="28" xfId="0" applyNumberFormat="1" applyFont="1" applyBorder="1" applyAlignment="1">
      <alignment horizontal="center"/>
    </xf>
    <xf numFmtId="0" fontId="5" fillId="0" borderId="50" xfId="0" applyFont="1" applyBorder="1" applyAlignment="1">
      <alignment horizontal="right"/>
    </xf>
    <xf numFmtId="0" fontId="4" fillId="0" borderId="50" xfId="0" applyFont="1" applyBorder="1"/>
    <xf numFmtId="1" fontId="4" fillId="0" borderId="50" xfId="0" applyNumberFormat="1" applyFont="1" applyBorder="1" applyAlignment="1">
      <alignment horizontal="center"/>
    </xf>
    <xf numFmtId="193" fontId="4" fillId="0" borderId="50" xfId="0" applyNumberFormat="1" applyFont="1" applyBorder="1" applyAlignment="1">
      <alignment horizontal="center"/>
    </xf>
    <xf numFmtId="3" fontId="4" fillId="0" borderId="93" xfId="0" applyNumberFormat="1" applyFont="1" applyBorder="1" applyAlignment="1">
      <alignment horizontal="center"/>
    </xf>
    <xf numFmtId="3" fontId="4" fillId="0" borderId="50" xfId="0" applyNumberFormat="1" applyFont="1" applyBorder="1" applyAlignment="1">
      <alignment horizontal="right"/>
    </xf>
    <xf numFmtId="3" fontId="4" fillId="0" borderId="37" xfId="0" applyNumberFormat="1" applyFont="1" applyBorder="1" applyAlignment="1">
      <alignment horizontal="right"/>
    </xf>
    <xf numFmtId="3" fontId="4" fillId="0" borderId="18" xfId="0" applyNumberFormat="1" applyFont="1" applyBorder="1" applyAlignment="1">
      <alignment horizontal="right"/>
    </xf>
    <xf numFmtId="0" fontId="5" fillId="0" borderId="1" xfId="62" applyFont="1" applyBorder="1"/>
    <xf numFmtId="164" fontId="5" fillId="0" borderId="1" xfId="30" applyNumberFormat="1" applyFont="1" applyBorder="1" applyAlignment="1">
      <alignment horizontal="center"/>
    </xf>
    <xf numFmtId="3" fontId="45" fillId="0" borderId="1" xfId="62" applyNumberFormat="1" applyFont="1" applyBorder="1"/>
    <xf numFmtId="10" fontId="45" fillId="0" borderId="1" xfId="62" applyNumberFormat="1" applyFont="1" applyBorder="1"/>
    <xf numFmtId="3" fontId="60" fillId="0" borderId="0" xfId="0" applyNumberFormat="1" applyFont="1" applyAlignment="1">
      <alignment horizontal="left"/>
    </xf>
    <xf numFmtId="3" fontId="17" fillId="0" borderId="28" xfId="0" applyNumberFormat="1" applyFont="1" applyBorder="1" applyAlignment="1">
      <alignment horizontal="right"/>
    </xf>
    <xf numFmtId="0" fontId="5" fillId="0" borderId="37" xfId="0" applyFont="1" applyBorder="1" applyAlignment="1">
      <alignment horizontal="center"/>
    </xf>
    <xf numFmtId="0" fontId="4" fillId="0" borderId="37" xfId="0" applyFont="1" applyBorder="1" applyAlignment="1">
      <alignment horizontal="left" vertical="center" wrapText="1"/>
    </xf>
    <xf numFmtId="3" fontId="4" fillId="0" borderId="37" xfId="0" applyNumberFormat="1" applyFont="1" applyBorder="1" applyAlignment="1">
      <alignment horizontal="center"/>
    </xf>
    <xf numFmtId="0" fontId="5" fillId="0" borderId="50" xfId="0" applyFont="1" applyBorder="1" applyAlignment="1">
      <alignment horizontal="center"/>
    </xf>
    <xf numFmtId="0" fontId="4" fillId="0" borderId="50" xfId="0" applyFont="1" applyBorder="1" applyAlignment="1">
      <alignment horizontal="center"/>
    </xf>
    <xf numFmtId="3" fontId="4" fillId="0" borderId="50" xfId="0" applyNumberFormat="1" applyFont="1" applyBorder="1" applyAlignment="1">
      <alignment horizontal="center"/>
    </xf>
    <xf numFmtId="3" fontId="17" fillId="0" borderId="50" xfId="0" applyNumberFormat="1" applyFont="1" applyBorder="1" applyAlignment="1">
      <alignment horizontal="right"/>
    </xf>
    <xf numFmtId="0" fontId="7" fillId="0" borderId="1" xfId="0" applyFont="1" applyBorder="1"/>
    <xf numFmtId="193" fontId="4" fillId="0" borderId="1" xfId="0" applyNumberFormat="1" applyFont="1" applyBorder="1" applyAlignment="1">
      <alignment horizontal="center"/>
    </xf>
    <xf numFmtId="3" fontId="4" fillId="0" borderId="4" xfId="0" applyNumberFormat="1" applyFont="1" applyBorder="1" applyAlignment="1">
      <alignment horizontal="center"/>
    </xf>
    <xf numFmtId="0" fontId="5" fillId="0" borderId="51" xfId="0" applyFont="1" applyBorder="1" applyAlignment="1">
      <alignment horizontal="center"/>
    </xf>
    <xf numFmtId="0" fontId="4" fillId="0" borderId="51" xfId="0" applyFont="1" applyBorder="1" applyAlignment="1">
      <alignment horizontal="left" vertical="center" wrapText="1"/>
    </xf>
    <xf numFmtId="0" fontId="7" fillId="0" borderId="51" xfId="0" applyFont="1" applyBorder="1" applyAlignment="1">
      <alignment horizontal="center"/>
    </xf>
    <xf numFmtId="3" fontId="4" fillId="0" borderId="51" xfId="0" applyNumberFormat="1" applyFont="1" applyBorder="1" applyAlignment="1">
      <alignment horizontal="center"/>
    </xf>
    <xf numFmtId="3" fontId="4" fillId="0" borderId="51" xfId="0" applyNumberFormat="1" applyFont="1" applyBorder="1" applyAlignment="1">
      <alignment horizontal="right"/>
    </xf>
    <xf numFmtId="193" fontId="5" fillId="0" borderId="1" xfId="0" applyNumberFormat="1" applyFont="1" applyBorder="1" applyAlignment="1">
      <alignment horizontal="center"/>
    </xf>
    <xf numFmtId="3" fontId="5" fillId="0" borderId="1" xfId="0" applyNumberFormat="1" applyFont="1" applyBorder="1" applyAlignment="1">
      <alignment horizontal="right"/>
    </xf>
    <xf numFmtId="3" fontId="7" fillId="0" borderId="31" xfId="0" applyNumberFormat="1" applyFont="1" applyBorder="1" applyAlignment="1">
      <alignment horizontal="center"/>
    </xf>
    <xf numFmtId="3" fontId="7" fillId="0" borderId="94" xfId="0" applyNumberFormat="1" applyFont="1" applyBorder="1" applyAlignment="1">
      <alignment horizontal="center"/>
    </xf>
    <xf numFmtId="3" fontId="7" fillId="0" borderId="31" xfId="0" applyNumberFormat="1" applyFont="1" applyBorder="1" applyAlignment="1">
      <alignment horizontal="right"/>
    </xf>
    <xf numFmtId="0" fontId="72" fillId="0" borderId="0" xfId="0" applyFont="1"/>
    <xf numFmtId="0" fontId="4" fillId="0" borderId="3" xfId="0" applyFont="1" applyBorder="1" applyAlignment="1">
      <alignment horizontal="center"/>
    </xf>
    <xf numFmtId="3" fontId="5" fillId="0" borderId="3" xfId="0" applyNumberFormat="1" applyFont="1" applyBorder="1" applyAlignment="1">
      <alignment horizontal="center"/>
    </xf>
    <xf numFmtId="0" fontId="7" fillId="0" borderId="1" xfId="0" applyFont="1" applyBorder="1" applyAlignment="1">
      <alignment horizontal="center"/>
    </xf>
    <xf numFmtId="3" fontId="7" fillId="0" borderId="1" xfId="0" applyNumberFormat="1" applyFont="1" applyBorder="1" applyAlignment="1">
      <alignment horizontal="center"/>
    </xf>
    <xf numFmtId="3" fontId="7" fillId="0" borderId="1" xfId="0" applyNumberFormat="1" applyFont="1" applyBorder="1" applyAlignment="1">
      <alignment horizontal="right"/>
    </xf>
    <xf numFmtId="0" fontId="4" fillId="0" borderId="51" xfId="0" applyFont="1" applyBorder="1"/>
    <xf numFmtId="0" fontId="4" fillId="0" borderId="51" xfId="0" applyFont="1" applyBorder="1" applyAlignment="1">
      <alignment horizontal="center"/>
    </xf>
    <xf numFmtId="3" fontId="4" fillId="0" borderId="51" xfId="0" applyNumberFormat="1" applyFont="1" applyBorder="1" applyAlignment="1"/>
    <xf numFmtId="3" fontId="4" fillId="0" borderId="28" xfId="0" applyNumberFormat="1" applyFont="1" applyBorder="1" applyAlignment="1"/>
    <xf numFmtId="0" fontId="4" fillId="0" borderId="28" xfId="0" applyFont="1" applyBorder="1" applyAlignment="1">
      <alignment horizontal="left"/>
    </xf>
    <xf numFmtId="3" fontId="4" fillId="0" borderId="50" xfId="0" applyNumberFormat="1" applyFont="1" applyBorder="1" applyAlignment="1"/>
    <xf numFmtId="0" fontId="5" fillId="0" borderId="1" xfId="0" applyNumberFormat="1" applyFont="1" applyBorder="1" applyAlignment="1">
      <alignment horizontal="center"/>
    </xf>
    <xf numFmtId="0" fontId="7" fillId="0" borderId="1" xfId="0" applyNumberFormat="1" applyFont="1" applyBorder="1"/>
    <xf numFmtId="0" fontId="7" fillId="0" borderId="1" xfId="0" applyNumberFormat="1" applyFont="1" applyBorder="1" applyAlignment="1">
      <alignment horizontal="center"/>
    </xf>
    <xf numFmtId="0" fontId="5" fillId="0" borderId="51" xfId="0" applyNumberFormat="1" applyFont="1" applyBorder="1" applyAlignment="1">
      <alignment horizontal="center"/>
    </xf>
    <xf numFmtId="0" fontId="7" fillId="0" borderId="51" xfId="0" applyNumberFormat="1" applyFont="1" applyBorder="1" applyAlignment="1">
      <alignment horizontal="center"/>
    </xf>
    <xf numFmtId="3" fontId="7" fillId="0" borderId="51" xfId="0" applyNumberFormat="1" applyFont="1" applyBorder="1" applyAlignment="1">
      <alignment horizontal="center"/>
    </xf>
    <xf numFmtId="0" fontId="5" fillId="0" borderId="28" xfId="0" applyNumberFormat="1" applyFont="1" applyBorder="1" applyAlignment="1">
      <alignment horizontal="center"/>
    </xf>
    <xf numFmtId="0" fontId="7" fillId="0" borderId="28" xfId="0" applyNumberFormat="1" applyFont="1" applyBorder="1" applyAlignment="1">
      <alignment horizontal="center"/>
    </xf>
    <xf numFmtId="0" fontId="5" fillId="0" borderId="37" xfId="0" applyNumberFormat="1" applyFont="1" applyBorder="1" applyAlignment="1">
      <alignment horizontal="center"/>
    </xf>
    <xf numFmtId="0" fontId="4" fillId="0" borderId="37" xfId="0" applyNumberFormat="1" applyFont="1" applyBorder="1"/>
    <xf numFmtId="0" fontId="7" fillId="0" borderId="37" xfId="0" applyNumberFormat="1" applyFont="1" applyBorder="1" applyAlignment="1">
      <alignment horizontal="center"/>
    </xf>
    <xf numFmtId="0" fontId="5" fillId="0" borderId="50" xfId="0" applyNumberFormat="1" applyFont="1" applyBorder="1" applyAlignment="1">
      <alignment horizontal="center"/>
    </xf>
    <xf numFmtId="0" fontId="4" fillId="0" borderId="50" xfId="0" applyNumberFormat="1" applyFont="1" applyBorder="1"/>
    <xf numFmtId="0" fontId="4" fillId="0" borderId="50" xfId="0" applyNumberFormat="1" applyFont="1" applyBorder="1" applyAlignment="1">
      <alignment horizontal="center"/>
    </xf>
    <xf numFmtId="3" fontId="4" fillId="0" borderId="50" xfId="5" applyNumberFormat="1" applyFont="1" applyBorder="1" applyAlignment="1">
      <alignment horizontal="center"/>
    </xf>
    <xf numFmtId="0" fontId="7" fillId="0" borderId="3" xfId="0" applyFont="1" applyBorder="1" applyAlignment="1">
      <alignment horizontal="center"/>
    </xf>
    <xf numFmtId="3" fontId="7" fillId="0" borderId="3" xfId="0" applyNumberFormat="1" applyFont="1" applyBorder="1" applyAlignment="1">
      <alignment horizontal="center"/>
    </xf>
    <xf numFmtId="3" fontId="7" fillId="0" borderId="15" xfId="0" applyNumberFormat="1" applyFont="1" applyBorder="1" applyAlignment="1">
      <alignment horizontal="center"/>
    </xf>
    <xf numFmtId="3" fontId="5" fillId="0" borderId="4" xfId="0" applyNumberFormat="1" applyFont="1" applyBorder="1" applyAlignment="1">
      <alignment horizontal="right"/>
    </xf>
    <xf numFmtId="0" fontId="4" fillId="0" borderId="3" xfId="0" applyFont="1" applyBorder="1" applyAlignment="1">
      <alignment horizontal="left" vertical="center" wrapText="1"/>
    </xf>
    <xf numFmtId="3" fontId="4" fillId="0" borderId="3" xfId="0" applyNumberFormat="1" applyFont="1" applyBorder="1" applyAlignment="1">
      <alignment horizontal="center"/>
    </xf>
    <xf numFmtId="193" fontId="4" fillId="0" borderId="3" xfId="0" applyNumberFormat="1" applyFont="1" applyBorder="1" applyAlignment="1">
      <alignment horizontal="center"/>
    </xf>
    <xf numFmtId="0" fontId="6" fillId="0" borderId="51" xfId="0" applyFont="1" applyBorder="1" applyAlignment="1">
      <alignment horizontal="center"/>
    </xf>
    <xf numFmtId="0" fontId="6" fillId="0" borderId="28" xfId="0" applyFont="1" applyBorder="1" applyAlignment="1">
      <alignment horizontal="center"/>
    </xf>
    <xf numFmtId="0" fontId="6" fillId="0" borderId="50" xfId="0" applyFont="1" applyBorder="1" applyAlignment="1">
      <alignment horizontal="center"/>
    </xf>
    <xf numFmtId="0" fontId="5" fillId="0" borderId="0" xfId="62" applyFont="1" applyAlignment="1">
      <alignment horizontal="left" vertical="top"/>
    </xf>
    <xf numFmtId="164" fontId="5" fillId="0" borderId="44" xfId="30" applyNumberFormat="1" applyFont="1" applyBorder="1" applyAlignment="1">
      <alignment horizontal="center"/>
    </xf>
    <xf numFmtId="164" fontId="5" fillId="0" borderId="18" xfId="30" applyNumberFormat="1" applyFont="1" applyBorder="1" applyAlignment="1">
      <alignment horizontal="center"/>
    </xf>
    <xf numFmtId="164" fontId="5" fillId="0" borderId="3" xfId="30" applyNumberFormat="1" applyFont="1" applyBorder="1" applyAlignment="1">
      <alignment horizontal="center"/>
    </xf>
    <xf numFmtId="0" fontId="4" fillId="0" borderId="3" xfId="62" applyFont="1" applyBorder="1" applyAlignment="1">
      <alignment horizontal="center"/>
    </xf>
    <xf numFmtId="0" fontId="4" fillId="0" borderId="5" xfId="62" applyFont="1" applyBorder="1" applyAlignment="1">
      <alignment horizontal="center"/>
    </xf>
    <xf numFmtId="0" fontId="4" fillId="0" borderId="54" xfId="62" applyFont="1" applyBorder="1" applyAlignment="1">
      <alignment horizontal="center"/>
    </xf>
    <xf numFmtId="0" fontId="45" fillId="0" borderId="53" xfId="62" applyFont="1" applyBorder="1"/>
    <xf numFmtId="0" fontId="45" fillId="0" borderId="51" xfId="62" applyFont="1" applyBorder="1"/>
    <xf numFmtId="164" fontId="45" fillId="0" borderId="51" xfId="30" applyNumberFormat="1" applyFont="1" applyBorder="1"/>
    <xf numFmtId="164" fontId="73" fillId="0" borderId="28" xfId="30" applyNumberFormat="1" applyFont="1" applyBorder="1"/>
    <xf numFmtId="0" fontId="45" fillId="0" borderId="29" xfId="62" applyFont="1" applyBorder="1"/>
    <xf numFmtId="0" fontId="45" fillId="0" borderId="28" xfId="62" applyFont="1" applyBorder="1" applyAlignment="1">
      <alignment horizontal="center"/>
    </xf>
    <xf numFmtId="164" fontId="45" fillId="0" borderId="28" xfId="30" applyNumberFormat="1" applyFont="1" applyBorder="1"/>
    <xf numFmtId="164" fontId="45" fillId="0" borderId="25" xfId="30" applyNumberFormat="1" applyFont="1" applyBorder="1"/>
    <xf numFmtId="3" fontId="45" fillId="0" borderId="25" xfId="62" applyNumberFormat="1" applyFont="1" applyBorder="1"/>
    <xf numFmtId="10" fontId="45" fillId="0" borderId="25" xfId="62" applyNumberFormat="1" applyFont="1" applyBorder="1"/>
    <xf numFmtId="3" fontId="48" fillId="0" borderId="18" xfId="62" applyNumberFormat="1" applyFont="1" applyBorder="1" applyAlignment="1">
      <alignment horizontal="center"/>
    </xf>
    <xf numFmtId="193" fontId="45" fillId="0" borderId="18" xfId="62" applyNumberFormat="1" applyFont="1" applyBorder="1"/>
    <xf numFmtId="3" fontId="45" fillId="0" borderId="18" xfId="62" applyNumberFormat="1" applyFont="1" applyBorder="1"/>
    <xf numFmtId="3" fontId="48" fillId="0" borderId="37" xfId="62" applyNumberFormat="1" applyFont="1" applyBorder="1" applyAlignment="1">
      <alignment horizontal="center"/>
    </xf>
    <xf numFmtId="3" fontId="6" fillId="0" borderId="28" xfId="62" applyNumberFormat="1" applyFont="1" applyBorder="1" applyAlignment="1">
      <alignment horizontal="center"/>
    </xf>
    <xf numFmtId="198" fontId="5" fillId="0" borderId="0" xfId="110" applyNumberFormat="1" applyFont="1" applyAlignment="1"/>
    <xf numFmtId="0" fontId="5" fillId="0" borderId="1" xfId="10" applyFont="1" applyFill="1" applyBorder="1" applyAlignment="1">
      <alignment horizontal="center" vertical="center"/>
    </xf>
    <xf numFmtId="3" fontId="5" fillId="0" borderId="0" xfId="62" applyNumberFormat="1" applyFont="1" applyAlignment="1">
      <alignment horizontal="center"/>
    </xf>
    <xf numFmtId="193" fontId="5" fillId="0" borderId="0" xfId="62" applyNumberFormat="1" applyFont="1" applyAlignment="1">
      <alignment horizontal="center"/>
    </xf>
    <xf numFmtId="0" fontId="5" fillId="0" borderId="4" xfId="0" applyFont="1" applyBorder="1" applyAlignment="1">
      <alignment horizontal="center"/>
    </xf>
    <xf numFmtId="0" fontId="5" fillId="0" borderId="0" xfId="67" applyFont="1" applyBorder="1" applyAlignment="1">
      <alignment horizontal="center"/>
    </xf>
    <xf numFmtId="0" fontId="4" fillId="0" borderId="0" xfId="10" applyFont="1" applyAlignment="1">
      <alignment horizontal="center" vertical="center" wrapText="1"/>
    </xf>
    <xf numFmtId="0" fontId="4" fillId="0" borderId="1" xfId="10" applyFont="1" applyFill="1" applyBorder="1" applyAlignment="1">
      <alignment horizontal="left" vertical="center"/>
    </xf>
    <xf numFmtId="3" fontId="5" fillId="0" borderId="0" xfId="67" applyNumberFormat="1" applyFont="1" applyAlignment="1">
      <alignment horizontal="center"/>
    </xf>
    <xf numFmtId="3" fontId="5" fillId="0" borderId="45" xfId="67" applyNumberFormat="1" applyFont="1" applyBorder="1" applyAlignment="1">
      <alignment horizontal="center"/>
    </xf>
    <xf numFmtId="3" fontId="5" fillId="0" borderId="15" xfId="67" applyNumberFormat="1" applyFont="1" applyBorder="1" applyAlignment="1">
      <alignment horizontal="center"/>
    </xf>
    <xf numFmtId="0" fontId="5" fillId="0" borderId="0" xfId="67" applyFont="1" applyAlignment="1">
      <alignment horizontal="center"/>
    </xf>
    <xf numFmtId="164" fontId="4" fillId="0" borderId="1" xfId="30" applyNumberFormat="1" applyFont="1" applyBorder="1" applyAlignment="1">
      <alignment horizontal="center"/>
    </xf>
    <xf numFmtId="164" fontId="5" fillId="0" borderId="0" xfId="30" applyNumberFormat="1" applyFont="1" applyAlignment="1">
      <alignment horizontal="center"/>
    </xf>
    <xf numFmtId="0" fontId="6" fillId="0" borderId="0" xfId="0" applyFont="1" applyAlignment="1">
      <alignment horizontal="left"/>
    </xf>
    <xf numFmtId="0" fontId="4" fillId="0" borderId="0" xfId="67" applyFont="1" applyAlignment="1">
      <alignment horizontal="center"/>
    </xf>
    <xf numFmtId="0" fontId="5" fillId="0" borderId="34" xfId="67" applyFont="1" applyBorder="1" applyAlignment="1">
      <alignment horizontal="center"/>
    </xf>
    <xf numFmtId="0" fontId="5" fillId="0" borderId="33" xfId="67" applyFont="1" applyBorder="1" applyAlignment="1">
      <alignment horizontal="center"/>
    </xf>
    <xf numFmtId="0" fontId="5" fillId="0" borderId="67" xfId="67" applyFont="1" applyBorder="1" applyAlignment="1">
      <alignment horizontal="center"/>
    </xf>
    <xf numFmtId="0" fontId="5" fillId="0" borderId="34" xfId="67" applyFont="1" applyBorder="1" applyAlignment="1">
      <alignment horizontal="center" vertical="center"/>
    </xf>
    <xf numFmtId="0" fontId="13" fillId="0" borderId="1" xfId="136" applyFont="1" applyBorder="1" applyAlignment="1">
      <alignment vertical="center" wrapText="1"/>
    </xf>
    <xf numFmtId="0" fontId="5" fillId="0" borderId="1" xfId="0" applyFont="1" applyBorder="1" applyAlignment="1">
      <alignment horizontal="center" vertical="center" wrapText="1"/>
    </xf>
    <xf numFmtId="0" fontId="4" fillId="0" borderId="0" xfId="23" applyFont="1" applyAlignment="1">
      <alignment horizontal="center"/>
    </xf>
    <xf numFmtId="0" fontId="4" fillId="0" borderId="1" xfId="0" applyFont="1" applyBorder="1" applyAlignment="1">
      <alignment horizontal="left"/>
    </xf>
    <xf numFmtId="0" fontId="5" fillId="0" borderId="0" xfId="0" applyFont="1" applyFill="1" applyBorder="1" applyAlignment="1">
      <alignment horizontal="left" vertical="top" wrapText="1"/>
    </xf>
    <xf numFmtId="0" fontId="5" fillId="0" borderId="1" xfId="0" applyFont="1" applyBorder="1" applyAlignment="1">
      <alignment horizontal="left"/>
    </xf>
    <xf numFmtId="0" fontId="4" fillId="0" borderId="1" xfId="0" applyFont="1" applyBorder="1" applyAlignment="1">
      <alignment horizontal="left" vertical="top" wrapText="1"/>
    </xf>
    <xf numFmtId="0" fontId="5" fillId="0" borderId="1" xfId="0" applyFont="1" applyBorder="1" applyAlignment="1">
      <alignment horizontal="center" vertical="top" wrapText="1"/>
    </xf>
    <xf numFmtId="0" fontId="14" fillId="0" borderId="0" xfId="0" applyFont="1" applyAlignment="1">
      <alignment horizontal="left"/>
    </xf>
    <xf numFmtId="0" fontId="5" fillId="0" borderId="1" xfId="123" applyFont="1" applyBorder="1" applyAlignment="1">
      <alignment horizontal="center"/>
    </xf>
    <xf numFmtId="0" fontId="4" fillId="0" borderId="1" xfId="123" applyFont="1" applyBorder="1" applyAlignment="1">
      <alignment horizontal="center" wrapText="1"/>
    </xf>
    <xf numFmtId="0" fontId="4" fillId="0" borderId="1" xfId="123" applyFont="1" applyBorder="1"/>
    <xf numFmtId="0" fontId="6" fillId="0" borderId="4" xfId="6" applyFont="1" applyBorder="1" applyAlignment="1">
      <alignment horizontal="left" vertical="top" wrapText="1"/>
    </xf>
    <xf numFmtId="0" fontId="6" fillId="0" borderId="13" xfId="6" applyFont="1" applyBorder="1" applyAlignment="1">
      <alignment horizontal="left" vertical="top" wrapText="1"/>
    </xf>
    <xf numFmtId="0" fontId="4" fillId="0" borderId="0" xfId="0" applyFont="1" applyBorder="1" applyAlignment="1">
      <alignment horizontal="left"/>
    </xf>
    <xf numFmtId="0" fontId="5" fillId="0" borderId="1" xfId="0" applyFont="1" applyBorder="1" applyAlignment="1">
      <alignment horizontal="center" vertical="center"/>
    </xf>
    <xf numFmtId="0" fontId="61" fillId="0" borderId="1" xfId="58" applyFont="1" applyBorder="1" applyAlignment="1">
      <alignment horizontal="center" vertical="center" wrapText="1"/>
    </xf>
    <xf numFmtId="0" fontId="65" fillId="0" borderId="1" xfId="58" applyFont="1" applyBorder="1" applyAlignment="1">
      <alignment vertical="center"/>
    </xf>
    <xf numFmtId="0" fontId="65" fillId="0" borderId="1" xfId="58" applyFont="1" applyBorder="1" applyAlignment="1">
      <alignment horizontal="center" vertical="center"/>
    </xf>
    <xf numFmtId="164" fontId="20" fillId="0" borderId="1" xfId="113" applyNumberFormat="1" applyFont="1" applyFill="1" applyBorder="1" applyAlignment="1">
      <alignment horizontal="center"/>
    </xf>
    <xf numFmtId="164" fontId="5" fillId="0" borderId="1" xfId="113" applyNumberFormat="1" applyFont="1" applyFill="1" applyBorder="1" applyAlignment="1">
      <alignment horizontal="center"/>
    </xf>
    <xf numFmtId="0" fontId="5" fillId="0" borderId="1" xfId="68" applyFont="1" applyBorder="1" applyAlignment="1">
      <alignment horizontal="center"/>
    </xf>
    <xf numFmtId="0" fontId="5" fillId="0" borderId="1" xfId="0" applyFont="1" applyBorder="1" applyAlignment="1">
      <alignment horizontal="center"/>
    </xf>
    <xf numFmtId="0" fontId="4" fillId="0" borderId="1" xfId="0" applyFont="1" applyBorder="1" applyAlignment="1">
      <alignment horizontal="center"/>
    </xf>
    <xf numFmtId="164" fontId="5" fillId="0" borderId="1" xfId="4" applyNumberFormat="1" applyFont="1" applyBorder="1" applyAlignment="1">
      <alignment horizontal="center" vertical="center"/>
    </xf>
    <xf numFmtId="0" fontId="4" fillId="0" borderId="1" xfId="68" applyFont="1" applyBorder="1" applyAlignment="1">
      <alignment horizontal="center" vertical="center" wrapText="1"/>
    </xf>
    <xf numFmtId="0" fontId="4" fillId="0" borderId="1" xfId="68" applyFont="1" applyBorder="1" applyAlignment="1">
      <alignment vertical="center" wrapText="1"/>
    </xf>
    <xf numFmtId="0" fontId="5" fillId="0" borderId="1" xfId="71" applyFont="1" applyBorder="1" applyAlignment="1">
      <alignment horizontal="center"/>
    </xf>
    <xf numFmtId="0" fontId="13" fillId="12" borderId="1" xfId="0" applyFont="1" applyFill="1" applyBorder="1" applyAlignment="1">
      <alignment vertical="center" wrapText="1"/>
    </xf>
    <xf numFmtId="0" fontId="13" fillId="0" borderId="1" xfId="0" applyFont="1" applyBorder="1" applyAlignment="1">
      <alignment horizontal="left" vertical="center"/>
    </xf>
    <xf numFmtId="0" fontId="13" fillId="0" borderId="0" xfId="0" applyFont="1" applyAlignment="1">
      <alignment horizontal="center"/>
    </xf>
    <xf numFmtId="164" fontId="5" fillId="0" borderId="1" xfId="2" applyNumberFormat="1" applyFont="1" applyBorder="1" applyAlignment="1">
      <alignment horizontal="center" vertical="center" wrapText="1"/>
    </xf>
    <xf numFmtId="164" fontId="5" fillId="0" borderId="1" xfId="2" applyNumberFormat="1" applyFont="1" applyBorder="1" applyAlignment="1">
      <alignment horizontal="center" vertical="center"/>
    </xf>
    <xf numFmtId="169" fontId="4" fillId="0" borderId="1" xfId="7" applyNumberFormat="1" applyFont="1" applyBorder="1" applyAlignment="1">
      <alignment horizontal="center" vertical="center" wrapText="1"/>
    </xf>
    <xf numFmtId="0" fontId="14" fillId="0" borderId="0" xfId="0" applyFont="1" applyBorder="1" applyAlignment="1">
      <alignment horizontal="center" vertical="center"/>
    </xf>
    <xf numFmtId="0" fontId="5" fillId="0" borderId="1" xfId="133" applyFont="1" applyBorder="1" applyAlignment="1">
      <alignment horizontal="center" vertical="center"/>
    </xf>
    <xf numFmtId="3" fontId="4" fillId="0" borderId="0" xfId="133" applyNumberFormat="1" applyFont="1" applyAlignment="1"/>
    <xf numFmtId="3" fontId="4" fillId="0" borderId="0" xfId="133" applyNumberFormat="1" applyFont="1" applyAlignment="1">
      <alignment horizontal="center"/>
    </xf>
    <xf numFmtId="0" fontId="4" fillId="0" borderId="1" xfId="0" applyFont="1" applyBorder="1" applyAlignment="1">
      <alignment horizontal="left" vertical="center" wrapText="1"/>
    </xf>
    <xf numFmtId="0" fontId="5" fillId="0" borderId="1" xfId="0" applyFont="1" applyBorder="1" applyAlignment="1">
      <alignment horizontal="left" vertical="center" wrapText="1"/>
    </xf>
    <xf numFmtId="0" fontId="13" fillId="0" borderId="1" xfId="0" applyFont="1" applyBorder="1" applyAlignment="1">
      <alignment horizontal="right" vertical="center"/>
    </xf>
    <xf numFmtId="0" fontId="13" fillId="0" borderId="1" xfId="0" applyFont="1" applyBorder="1" applyAlignment="1">
      <alignment vertical="center"/>
    </xf>
    <xf numFmtId="0" fontId="14" fillId="0" borderId="0" xfId="0" applyFont="1" applyAlignment="1">
      <alignment horizontal="center"/>
    </xf>
    <xf numFmtId="0" fontId="4" fillId="0" borderId="0" xfId="0" applyFont="1" applyAlignment="1">
      <alignment horizontal="right"/>
    </xf>
    <xf numFmtId="0" fontId="13" fillId="0" borderId="1" xfId="0" applyFont="1" applyBorder="1" applyAlignment="1">
      <alignment horizontal="center" vertical="center" wrapText="1"/>
    </xf>
    <xf numFmtId="0" fontId="4" fillId="0" borderId="1" xfId="62" applyFont="1" applyBorder="1" applyAlignment="1">
      <alignment horizontal="right"/>
    </xf>
    <xf numFmtId="0" fontId="5" fillId="0" borderId="0" xfId="62" applyFont="1" applyAlignment="1">
      <alignment horizontal="center"/>
    </xf>
    <xf numFmtId="0" fontId="5" fillId="0" borderId="1" xfId="62" applyFont="1" applyBorder="1" applyAlignment="1">
      <alignment horizontal="center"/>
    </xf>
    <xf numFmtId="0" fontId="4" fillId="0" borderId="1" xfId="62" applyFont="1" applyBorder="1" applyAlignment="1">
      <alignment horizontal="center"/>
    </xf>
    <xf numFmtId="0" fontId="5" fillId="0" borderId="4" xfId="62" applyFont="1" applyBorder="1" applyAlignment="1">
      <alignment horizontal="center"/>
    </xf>
    <xf numFmtId="0" fontId="5" fillId="0" borderId="43" xfId="67" applyFont="1" applyBorder="1" applyAlignment="1">
      <alignment horizontal="center"/>
    </xf>
    <xf numFmtId="193" fontId="5" fillId="0" borderId="0" xfId="67" applyNumberFormat="1" applyFont="1" applyAlignment="1">
      <alignment horizontal="center"/>
    </xf>
    <xf numFmtId="0" fontId="5" fillId="0" borderId="46" xfId="67" applyFont="1" applyBorder="1" applyAlignment="1">
      <alignment horizontal="center" vertical="center" wrapText="1"/>
    </xf>
    <xf numFmtId="0" fontId="5" fillId="0" borderId="44" xfId="67" applyFont="1" applyBorder="1" applyAlignment="1">
      <alignment horizontal="center" vertical="center" wrapText="1"/>
    </xf>
    <xf numFmtId="0" fontId="8" fillId="0" borderId="0" xfId="0" applyFont="1" applyProtection="1">
      <protection locked="0"/>
    </xf>
    <xf numFmtId="0" fontId="8" fillId="0" borderId="0" xfId="0" applyFont="1"/>
    <xf numFmtId="0" fontId="74" fillId="0" borderId="0" xfId="0" applyFont="1"/>
    <xf numFmtId="0" fontId="10" fillId="0" borderId="0" xfId="0" applyFont="1" applyAlignment="1" applyProtection="1">
      <alignment horizontal="center"/>
      <protection locked="0"/>
    </xf>
    <xf numFmtId="172" fontId="4" fillId="0" borderId="1" xfId="12" applyNumberFormat="1" applyFont="1" applyBorder="1" applyAlignment="1">
      <alignment horizontal="center" vertical="center"/>
    </xf>
    <xf numFmtId="0" fontId="5" fillId="0" borderId="4" xfId="10" applyFont="1" applyFill="1" applyBorder="1" applyAlignment="1">
      <alignment horizontal="left" vertical="center" wrapText="1"/>
    </xf>
    <xf numFmtId="0" fontId="5" fillId="0" borderId="13" xfId="10" applyFont="1" applyFill="1" applyBorder="1" applyAlignment="1">
      <alignment horizontal="left" vertical="center" wrapText="1"/>
    </xf>
    <xf numFmtId="0" fontId="5" fillId="0" borderId="5" xfId="10" applyFont="1" applyFill="1" applyBorder="1" applyAlignment="1">
      <alignment horizontal="left" vertical="center" wrapText="1"/>
    </xf>
    <xf numFmtId="0" fontId="5" fillId="0" borderId="1" xfId="10" applyFont="1" applyFill="1" applyBorder="1" applyAlignment="1">
      <alignment horizontal="center" vertical="center"/>
    </xf>
    <xf numFmtId="0" fontId="63" fillId="0" borderId="12" xfId="10" applyFont="1" applyFill="1" applyBorder="1" applyAlignment="1">
      <alignment horizontal="left" vertical="center" wrapText="1"/>
    </xf>
    <xf numFmtId="0" fontId="63" fillId="0" borderId="0" xfId="10" applyFont="1" applyFill="1" applyBorder="1" applyAlignment="1">
      <alignment horizontal="left" vertical="center" wrapText="1"/>
    </xf>
    <xf numFmtId="3" fontId="5" fillId="0" borderId="0" xfId="62" applyNumberFormat="1" applyFont="1" applyAlignment="1">
      <alignment horizontal="center"/>
    </xf>
    <xf numFmtId="193" fontId="5" fillId="0" borderId="0" xfId="62" applyNumberFormat="1" applyFont="1" applyAlignment="1">
      <alignment horizontal="center"/>
    </xf>
    <xf numFmtId="3" fontId="5" fillId="0" borderId="43" xfId="62" applyNumberFormat="1" applyFont="1" applyBorder="1" applyAlignment="1">
      <alignment horizontal="center"/>
    </xf>
    <xf numFmtId="3" fontId="5" fillId="0" borderId="42" xfId="62" applyNumberFormat="1" applyFont="1" applyBorder="1" applyAlignment="1">
      <alignment horizontal="center"/>
    </xf>
    <xf numFmtId="0" fontId="5" fillId="0" borderId="4" xfId="0" applyFont="1" applyBorder="1" applyAlignment="1">
      <alignment horizontal="center"/>
    </xf>
    <xf numFmtId="0" fontId="5" fillId="0" borderId="13" xfId="0" applyFont="1" applyBorder="1" applyAlignment="1">
      <alignment horizontal="center"/>
    </xf>
    <xf numFmtId="0" fontId="5" fillId="0" borderId="5" xfId="0" applyFont="1" applyBorder="1" applyAlignment="1">
      <alignment horizontal="center"/>
    </xf>
    <xf numFmtId="0" fontId="5" fillId="0" borderId="0" xfId="67" applyFont="1" applyBorder="1" applyAlignment="1">
      <alignment horizontal="center"/>
    </xf>
    <xf numFmtId="0" fontId="17" fillId="2" borderId="12" xfId="0" applyFont="1" applyFill="1" applyBorder="1" applyAlignment="1">
      <alignment horizontal="left"/>
    </xf>
    <xf numFmtId="0" fontId="17" fillId="2" borderId="0" xfId="0" applyFont="1" applyFill="1" applyAlignment="1">
      <alignment horizontal="left"/>
    </xf>
    <xf numFmtId="164" fontId="5" fillId="0" borderId="0" xfId="4" applyNumberFormat="1" applyFont="1" applyAlignment="1">
      <alignment horizontal="center"/>
    </xf>
    <xf numFmtId="164" fontId="4" fillId="0" borderId="0" xfId="4" applyNumberFormat="1" applyFont="1" applyAlignment="1">
      <alignment horizontal="center"/>
    </xf>
    <xf numFmtId="164" fontId="17" fillId="0" borderId="0" xfId="4" applyNumberFormat="1" applyFont="1" applyAlignment="1">
      <alignment horizontal="center"/>
    </xf>
    <xf numFmtId="0" fontId="4" fillId="0" borderId="0" xfId="10" applyFont="1" applyAlignment="1">
      <alignment horizontal="center" vertical="center" wrapText="1"/>
    </xf>
    <xf numFmtId="0" fontId="4" fillId="0" borderId="4" xfId="10" applyFont="1" applyFill="1" applyBorder="1" applyAlignment="1">
      <alignment horizontal="left" vertical="center"/>
    </xf>
    <xf numFmtId="0" fontId="4" fillId="0" borderId="13" xfId="10" applyFont="1" applyFill="1" applyBorder="1" applyAlignment="1">
      <alignment horizontal="left" vertical="center"/>
    </xf>
    <xf numFmtId="0" fontId="4" fillId="0" borderId="5" xfId="10" applyFont="1" applyFill="1" applyBorder="1" applyAlignment="1">
      <alignment horizontal="left" vertical="center"/>
    </xf>
    <xf numFmtId="3" fontId="4" fillId="0" borderId="4" xfId="12" applyNumberFormat="1" applyFont="1" applyFill="1" applyBorder="1" applyAlignment="1">
      <alignment horizontal="center" vertical="center"/>
    </xf>
    <xf numFmtId="3" fontId="4" fillId="0" borderId="5" xfId="12" applyNumberFormat="1" applyFont="1" applyFill="1" applyBorder="1" applyAlignment="1">
      <alignment horizontal="center" vertical="center"/>
    </xf>
    <xf numFmtId="0" fontId="4" fillId="0" borderId="1" xfId="10" applyFont="1" applyFill="1" applyBorder="1" applyAlignment="1">
      <alignment horizontal="left" vertical="center"/>
    </xf>
    <xf numFmtId="0" fontId="5" fillId="0" borderId="4" xfId="10" applyFont="1" applyBorder="1" applyAlignment="1">
      <alignment horizontal="center" vertical="center"/>
    </xf>
    <xf numFmtId="0" fontId="5" fillId="0" borderId="13" xfId="10" applyFont="1" applyBorder="1" applyAlignment="1">
      <alignment horizontal="center" vertical="center"/>
    </xf>
    <xf numFmtId="0" fontId="5" fillId="0" borderId="5" xfId="10" applyFont="1" applyBorder="1" applyAlignment="1">
      <alignment horizontal="center" vertical="center"/>
    </xf>
    <xf numFmtId="3" fontId="4" fillId="0" borderId="4" xfId="10" applyNumberFormat="1" applyFont="1" applyFill="1" applyBorder="1" applyAlignment="1">
      <alignment horizontal="center" vertical="center"/>
    </xf>
    <xf numFmtId="3" fontId="4" fillId="0" borderId="5" xfId="10" applyNumberFormat="1" applyFont="1" applyFill="1" applyBorder="1" applyAlignment="1">
      <alignment horizontal="center" vertical="center"/>
    </xf>
    <xf numFmtId="0" fontId="7" fillId="0" borderId="17" xfId="10" applyFont="1" applyFill="1" applyBorder="1" applyAlignment="1">
      <alignment vertical="center" wrapText="1"/>
    </xf>
    <xf numFmtId="3" fontId="5" fillId="0" borderId="0" xfId="67" applyNumberFormat="1" applyFont="1" applyAlignment="1">
      <alignment horizontal="center"/>
    </xf>
    <xf numFmtId="3" fontId="5" fillId="0" borderId="45" xfId="67" applyNumberFormat="1" applyFont="1" applyBorder="1" applyAlignment="1">
      <alignment horizontal="center"/>
    </xf>
    <xf numFmtId="3" fontId="5" fillId="0" borderId="74" xfId="67" applyNumberFormat="1" applyFont="1" applyBorder="1" applyAlignment="1">
      <alignment horizontal="center"/>
    </xf>
    <xf numFmtId="3" fontId="5" fillId="0" borderId="58" xfId="67" applyNumberFormat="1" applyFont="1" applyBorder="1" applyAlignment="1">
      <alignment horizontal="center"/>
    </xf>
    <xf numFmtId="3" fontId="5" fillId="0" borderId="15" xfId="67" applyNumberFormat="1" applyFont="1" applyBorder="1" applyAlignment="1">
      <alignment horizontal="center"/>
    </xf>
    <xf numFmtId="3" fontId="5" fillId="0" borderId="16" xfId="67" applyNumberFormat="1" applyFont="1" applyBorder="1" applyAlignment="1">
      <alignment horizontal="center"/>
    </xf>
    <xf numFmtId="3" fontId="5" fillId="0" borderId="72" xfId="67" applyNumberFormat="1" applyFont="1" applyBorder="1" applyAlignment="1">
      <alignment horizontal="center"/>
    </xf>
    <xf numFmtId="0" fontId="5" fillId="0" borderId="0" xfId="67" applyFont="1" applyAlignment="1">
      <alignment horizontal="center"/>
    </xf>
    <xf numFmtId="164" fontId="13" fillId="0" borderId="65" xfId="67" applyNumberFormat="1" applyFont="1" applyBorder="1" applyAlignment="1" applyProtection="1">
      <alignment horizontal="center"/>
    </xf>
    <xf numFmtId="164" fontId="13" fillId="0" borderId="65" xfId="30" applyNumberFormat="1" applyFont="1" applyBorder="1" applyAlignment="1" applyProtection="1">
      <alignment horizontal="center"/>
    </xf>
    <xf numFmtId="164" fontId="13" fillId="0" borderId="64" xfId="30" applyNumberFormat="1" applyFont="1" applyBorder="1" applyAlignment="1" applyProtection="1">
      <alignment horizontal="center"/>
    </xf>
    <xf numFmtId="164" fontId="4" fillId="0" borderId="1" xfId="67" applyNumberFormat="1" applyFont="1" applyBorder="1" applyAlignment="1" applyProtection="1">
      <alignment horizontal="center"/>
    </xf>
    <xf numFmtId="164" fontId="4" fillId="0" borderId="54" xfId="67" applyNumberFormat="1" applyFont="1" applyBorder="1" applyAlignment="1" applyProtection="1">
      <alignment horizontal="center"/>
    </xf>
    <xf numFmtId="164" fontId="4" fillId="0" borderId="65" xfId="30" applyNumberFormat="1" applyFont="1" applyBorder="1" applyAlignment="1">
      <alignment horizontal="center"/>
    </xf>
    <xf numFmtId="164" fontId="13" fillId="0" borderId="34" xfId="67" applyNumberFormat="1" applyFont="1" applyBorder="1" applyAlignment="1" applyProtection="1">
      <alignment horizontal="center" vertical="center" wrapText="1"/>
    </xf>
    <xf numFmtId="164" fontId="4" fillId="0" borderId="1" xfId="67" applyNumberFormat="1" applyFont="1" applyBorder="1" applyAlignment="1">
      <alignment horizontal="right"/>
    </xf>
    <xf numFmtId="164" fontId="4" fillId="0" borderId="1" xfId="67" applyNumberFormat="1" applyFont="1" applyBorder="1" applyAlignment="1">
      <alignment horizontal="center"/>
    </xf>
    <xf numFmtId="164" fontId="4" fillId="0" borderId="1" xfId="30" applyNumberFormat="1" applyFont="1" applyBorder="1" applyAlignment="1">
      <alignment horizontal="center"/>
    </xf>
    <xf numFmtId="165" fontId="4" fillId="0" borderId="1" xfId="80" applyNumberFormat="1" applyFont="1" applyBorder="1" applyAlignment="1" applyProtection="1">
      <alignment horizontal="right"/>
    </xf>
    <xf numFmtId="165" fontId="4" fillId="0" borderId="1" xfId="80" applyNumberFormat="1" applyFont="1" applyBorder="1" applyAlignment="1" applyProtection="1">
      <alignment horizontal="center"/>
    </xf>
    <xf numFmtId="10" fontId="4" fillId="0" borderId="1" xfId="67" applyNumberFormat="1" applyFont="1" applyBorder="1" applyAlignment="1">
      <alignment horizontal="right"/>
    </xf>
    <xf numFmtId="10" fontId="4" fillId="0" borderId="1" xfId="67" applyNumberFormat="1" applyFont="1" applyBorder="1" applyAlignment="1">
      <alignment horizontal="center"/>
    </xf>
    <xf numFmtId="164" fontId="4" fillId="0" borderId="1" xfId="67" applyNumberFormat="1" applyFont="1" applyBorder="1" applyAlignment="1" applyProtection="1">
      <alignment horizontal="right"/>
    </xf>
    <xf numFmtId="164" fontId="46" fillId="0" borderId="1" xfId="67" applyNumberFormat="1" applyFont="1" applyBorder="1" applyAlignment="1" applyProtection="1">
      <alignment horizontal="right"/>
    </xf>
    <xf numFmtId="164" fontId="46" fillId="0" borderId="1" xfId="67" applyNumberFormat="1" applyFont="1" applyBorder="1" applyAlignment="1" applyProtection="1">
      <alignment horizontal="center"/>
    </xf>
    <xf numFmtId="164" fontId="14" fillId="0" borderId="1" xfId="30" applyNumberFormat="1" applyFont="1" applyBorder="1" applyAlignment="1" applyProtection="1">
      <alignment horizontal="center"/>
    </xf>
    <xf numFmtId="164" fontId="5" fillId="0" borderId="0" xfId="30" applyNumberFormat="1" applyFont="1" applyAlignment="1">
      <alignment horizontal="center"/>
    </xf>
    <xf numFmtId="0" fontId="5" fillId="0" borderId="69" xfId="67" applyFont="1" applyBorder="1" applyAlignment="1">
      <alignment horizontal="center" vertical="center"/>
    </xf>
    <xf numFmtId="0" fontId="5" fillId="0" borderId="68" xfId="67" applyFont="1" applyBorder="1" applyAlignment="1">
      <alignment horizontal="center" vertical="center"/>
    </xf>
    <xf numFmtId="164" fontId="14" fillId="0" borderId="1" xfId="30" applyNumberFormat="1" applyFont="1" applyBorder="1" applyAlignment="1" applyProtection="1">
      <alignment horizontal="right"/>
    </xf>
    <xf numFmtId="164" fontId="13" fillId="0" borderId="34" xfId="67" applyNumberFormat="1" applyFont="1" applyBorder="1" applyAlignment="1" applyProtection="1">
      <alignment horizontal="center"/>
    </xf>
    <xf numFmtId="0" fontId="5" fillId="0" borderId="1" xfId="0" applyFont="1" applyFill="1" applyBorder="1" applyAlignment="1">
      <alignment horizontal="left"/>
    </xf>
    <xf numFmtId="0" fontId="5" fillId="0" borderId="17" xfId="0" applyFont="1" applyBorder="1" applyAlignment="1">
      <alignment horizontal="left"/>
    </xf>
    <xf numFmtId="0" fontId="6" fillId="0" borderId="17" xfId="0" applyFont="1" applyBorder="1" applyAlignment="1">
      <alignment horizontal="left"/>
    </xf>
    <xf numFmtId="0" fontId="5" fillId="0" borderId="4" xfId="0" applyFont="1" applyFill="1" applyBorder="1" applyAlignment="1">
      <alignment horizontal="left"/>
    </xf>
    <xf numFmtId="0" fontId="5" fillId="0" borderId="13" xfId="0" applyFont="1" applyFill="1" applyBorder="1" applyAlignment="1">
      <alignment horizontal="left"/>
    </xf>
    <xf numFmtId="0" fontId="5" fillId="0" borderId="5" xfId="0" applyFont="1" applyFill="1" applyBorder="1" applyAlignment="1">
      <alignment horizontal="left"/>
    </xf>
    <xf numFmtId="197" fontId="4" fillId="0" borderId="0" xfId="0" applyNumberFormat="1" applyFont="1" applyAlignment="1">
      <alignment horizontal="left"/>
    </xf>
    <xf numFmtId="0" fontId="4" fillId="0" borderId="0" xfId="0" quotePrefix="1" applyFont="1" applyAlignment="1">
      <alignment horizontal="left" vertical="top"/>
    </xf>
    <xf numFmtId="0" fontId="4" fillId="7" borderId="4" xfId="0" applyFont="1" applyFill="1" applyBorder="1" applyAlignment="1">
      <alignment horizontal="left" vertical="top" wrapText="1"/>
    </xf>
    <xf numFmtId="0" fontId="4" fillId="7" borderId="13" xfId="0" applyFont="1" applyFill="1" applyBorder="1" applyAlignment="1">
      <alignment horizontal="left" vertical="top" wrapText="1"/>
    </xf>
    <xf numFmtId="0" fontId="4" fillId="7" borderId="5" xfId="0" applyFont="1" applyFill="1" applyBorder="1" applyAlignment="1">
      <alignment horizontal="left" vertical="top" wrapText="1"/>
    </xf>
    <xf numFmtId="0" fontId="6" fillId="0" borderId="14" xfId="0" applyFont="1" applyBorder="1" applyAlignment="1">
      <alignment horizontal="left"/>
    </xf>
    <xf numFmtId="199" fontId="4" fillId="0" borderId="0" xfId="107" quotePrefix="1" applyNumberFormat="1" applyFont="1" applyAlignment="1">
      <alignment horizontal="left"/>
    </xf>
    <xf numFmtId="0" fontId="4" fillId="0" borderId="0" xfId="0" quotePrefix="1" applyFont="1" applyAlignment="1">
      <alignment horizontal="left"/>
    </xf>
    <xf numFmtId="0" fontId="6" fillId="0" borderId="0" xfId="0" applyFont="1" applyAlignment="1">
      <alignment horizontal="left"/>
    </xf>
    <xf numFmtId="0" fontId="4" fillId="0" borderId="0" xfId="67" applyFont="1" applyAlignment="1">
      <alignment horizontal="center"/>
    </xf>
    <xf numFmtId="164" fontId="4" fillId="0" borderId="54" xfId="30" applyNumberFormat="1" applyFont="1" applyBorder="1" applyAlignment="1">
      <alignment horizontal="center"/>
    </xf>
    <xf numFmtId="164" fontId="4" fillId="0" borderId="65" xfId="67" applyNumberFormat="1" applyFont="1" applyBorder="1" applyAlignment="1">
      <alignment horizontal="center"/>
    </xf>
    <xf numFmtId="0" fontId="4" fillId="0" borderId="65" xfId="67" applyFont="1" applyBorder="1" applyAlignment="1">
      <alignment horizontal="center"/>
    </xf>
    <xf numFmtId="0" fontId="4" fillId="0" borderId="64" xfId="67" applyFont="1" applyBorder="1" applyAlignment="1">
      <alignment horizontal="center"/>
    </xf>
    <xf numFmtId="164" fontId="4" fillId="0" borderId="54" xfId="67" applyNumberFormat="1" applyFont="1" applyBorder="1" applyAlignment="1">
      <alignment horizontal="center"/>
    </xf>
    <xf numFmtId="164" fontId="4" fillId="0" borderId="34" xfId="30" applyNumberFormat="1" applyFont="1" applyBorder="1" applyAlignment="1">
      <alignment horizontal="center"/>
    </xf>
    <xf numFmtId="164" fontId="4" fillId="0" borderId="33" xfId="30" applyNumberFormat="1" applyFont="1" applyBorder="1" applyAlignment="1">
      <alignment horizontal="center"/>
    </xf>
    <xf numFmtId="165" fontId="4" fillId="0" borderId="54" xfId="80" applyNumberFormat="1" applyFont="1" applyBorder="1" applyAlignment="1" applyProtection="1">
      <alignment horizontal="center"/>
    </xf>
    <xf numFmtId="10" fontId="4" fillId="0" borderId="54" xfId="67" applyNumberFormat="1" applyFont="1" applyBorder="1" applyAlignment="1">
      <alignment horizontal="center"/>
    </xf>
    <xf numFmtId="164" fontId="46" fillId="0" borderId="54" xfId="67" applyNumberFormat="1" applyFont="1" applyBorder="1" applyAlignment="1" applyProtection="1">
      <alignment horizontal="center"/>
    </xf>
    <xf numFmtId="164" fontId="14" fillId="0" borderId="54" xfId="30" applyNumberFormat="1" applyFont="1" applyBorder="1" applyAlignment="1" applyProtection="1">
      <alignment horizontal="center"/>
    </xf>
    <xf numFmtId="164" fontId="13" fillId="0" borderId="33" xfId="67" applyNumberFormat="1" applyFont="1" applyBorder="1" applyAlignment="1" applyProtection="1">
      <alignment horizontal="center"/>
    </xf>
    <xf numFmtId="0" fontId="5" fillId="0" borderId="34" xfId="67" applyFont="1" applyBorder="1" applyAlignment="1">
      <alignment horizontal="center"/>
    </xf>
    <xf numFmtId="0" fontId="5" fillId="0" borderId="33" xfId="67" applyFont="1" applyBorder="1" applyAlignment="1">
      <alignment horizontal="center"/>
    </xf>
    <xf numFmtId="0" fontId="5" fillId="0" borderId="35" xfId="67" applyFont="1" applyBorder="1" applyAlignment="1">
      <alignment horizontal="center"/>
    </xf>
    <xf numFmtId="0" fontId="5" fillId="0" borderId="67" xfId="67" applyFont="1" applyBorder="1" applyAlignment="1">
      <alignment horizontal="center"/>
    </xf>
    <xf numFmtId="0" fontId="5" fillId="0" borderId="34" xfId="67" applyFont="1" applyBorder="1" applyAlignment="1">
      <alignment horizontal="center" vertical="center"/>
    </xf>
    <xf numFmtId="0" fontId="5" fillId="0" borderId="1" xfId="67" applyFont="1" applyBorder="1" applyAlignment="1">
      <alignment horizontal="center" vertical="center"/>
    </xf>
    <xf numFmtId="164" fontId="4" fillId="0" borderId="0" xfId="36" applyNumberFormat="1" applyFont="1" applyAlignment="1">
      <alignment horizontal="center"/>
    </xf>
    <xf numFmtId="0" fontId="13" fillId="0" borderId="1" xfId="136" applyFont="1" applyBorder="1" applyAlignment="1">
      <alignment vertical="center" wrapText="1"/>
    </xf>
    <xf numFmtId="164" fontId="4" fillId="0" borderId="0" xfId="0" applyNumberFormat="1" applyFont="1" applyAlignment="1">
      <alignment horizontal="center"/>
    </xf>
    <xf numFmtId="9" fontId="4" fillId="0" borderId="0" xfId="5" applyFont="1" applyAlignment="1">
      <alignment horizontal="center"/>
    </xf>
    <xf numFmtId="0" fontId="14" fillId="0" borderId="82" xfId="20" applyFont="1" applyBorder="1" applyAlignment="1">
      <alignment horizontal="left" vertical="center" wrapText="1"/>
    </xf>
    <xf numFmtId="0" fontId="14" fillId="0" borderId="87" xfId="20" applyFont="1" applyBorder="1" applyAlignment="1">
      <alignment horizontal="left" vertical="center" wrapText="1"/>
    </xf>
    <xf numFmtId="0" fontId="14" fillId="0" borderId="81" xfId="20" applyFont="1" applyBorder="1" applyAlignment="1">
      <alignment horizontal="left" vertical="center" wrapText="1"/>
    </xf>
    <xf numFmtId="202" fontId="14" fillId="0" borderId="82" xfId="20" applyNumberFormat="1" applyFont="1" applyBorder="1" applyAlignment="1">
      <alignment horizontal="right" vertical="center" wrapText="1"/>
    </xf>
    <xf numFmtId="202" fontId="14" fillId="0" borderId="81" xfId="20" applyNumberFormat="1" applyFont="1" applyBorder="1" applyAlignment="1">
      <alignment horizontal="right" vertical="center" wrapText="1"/>
    </xf>
    <xf numFmtId="0" fontId="14" fillId="0" borderId="79" xfId="20" applyFont="1" applyBorder="1" applyAlignment="1">
      <alignment horizontal="left" vertical="center" wrapText="1"/>
    </xf>
    <xf numFmtId="0" fontId="14" fillId="0" borderId="80" xfId="20" applyFont="1" applyBorder="1" applyAlignment="1">
      <alignment horizontal="left" vertical="center" wrapText="1"/>
    </xf>
    <xf numFmtId="0" fontId="14" fillId="0" borderId="78" xfId="20" applyFont="1" applyBorder="1" applyAlignment="1">
      <alignment horizontal="left" vertical="center" wrapText="1"/>
    </xf>
    <xf numFmtId="165" fontId="14" fillId="0" borderId="79" xfId="20" applyNumberFormat="1" applyFont="1" applyBorder="1" applyAlignment="1">
      <alignment horizontal="right" vertical="center" wrapText="1"/>
    </xf>
    <xf numFmtId="165" fontId="14" fillId="0" borderId="78" xfId="20" applyNumberFormat="1" applyFont="1" applyBorder="1" applyAlignment="1">
      <alignment horizontal="right" vertical="center" wrapText="1"/>
    </xf>
    <xf numFmtId="0" fontId="13" fillId="0" borderId="0" xfId="20" applyFont="1" applyAlignment="1">
      <alignment horizontal="left"/>
    </xf>
    <xf numFmtId="202" fontId="13" fillId="0" borderId="76" xfId="20" applyNumberFormat="1" applyFont="1" applyBorder="1" applyAlignment="1">
      <alignment horizontal="right"/>
    </xf>
    <xf numFmtId="0" fontId="14" fillId="0" borderId="76" xfId="20" quotePrefix="1" applyFont="1" applyBorder="1" applyAlignment="1">
      <alignment horizontal="left"/>
    </xf>
    <xf numFmtId="0" fontId="14" fillId="0" borderId="76" xfId="20" applyFont="1" applyBorder="1" applyAlignment="1">
      <alignment horizontal="left"/>
    </xf>
    <xf numFmtId="9" fontId="14" fillId="0" borderId="75" xfId="48" applyNumberFormat="1" applyFont="1" applyBorder="1" applyAlignment="1">
      <alignment horizontal="right"/>
    </xf>
    <xf numFmtId="0" fontId="14" fillId="0" borderId="0" xfId="20" applyNumberFormat="1" applyFont="1" applyBorder="1" applyAlignment="1">
      <alignment horizontal="center"/>
    </xf>
    <xf numFmtId="0" fontId="13" fillId="0" borderId="13" xfId="20" applyFont="1" applyBorder="1" applyAlignment="1">
      <alignment vertical="center"/>
    </xf>
    <xf numFmtId="0" fontId="13" fillId="0" borderId="90" xfId="20" applyFont="1" applyBorder="1" applyAlignment="1">
      <alignment horizontal="center" vertical="center" wrapText="1"/>
    </xf>
    <xf numFmtId="0" fontId="13" fillId="0" borderId="88" xfId="20" applyFont="1" applyBorder="1" applyAlignment="1">
      <alignment horizontal="center" vertical="center" wrapText="1"/>
    </xf>
    <xf numFmtId="202" fontId="13" fillId="0" borderId="90" xfId="20" applyNumberFormat="1" applyFont="1" applyBorder="1" applyAlignment="1">
      <alignment vertical="center" wrapText="1"/>
    </xf>
    <xf numFmtId="202" fontId="13" fillId="0" borderId="89" xfId="20" applyNumberFormat="1" applyFont="1" applyBorder="1" applyAlignment="1">
      <alignment vertical="center" wrapText="1"/>
    </xf>
    <xf numFmtId="202" fontId="13" fillId="0" borderId="88" xfId="20" applyNumberFormat="1" applyFont="1" applyBorder="1" applyAlignment="1">
      <alignment vertical="center" wrapText="1"/>
    </xf>
    <xf numFmtId="0" fontId="5" fillId="0" borderId="1" xfId="0" applyFont="1" applyBorder="1" applyAlignment="1">
      <alignment horizontal="center" vertical="center" wrapText="1"/>
    </xf>
    <xf numFmtId="0" fontId="5" fillId="0" borderId="17" xfId="0" applyFont="1" applyBorder="1" applyAlignment="1">
      <alignment horizont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0" xfId="23" applyFont="1" applyBorder="1" applyAlignment="1">
      <alignment horizontal="left"/>
    </xf>
    <xf numFmtId="0" fontId="4" fillId="0" borderId="0" xfId="23" quotePrefix="1" applyNumberFormat="1" applyFont="1" applyBorder="1" applyAlignment="1">
      <alignment horizontal="center"/>
    </xf>
    <xf numFmtId="0" fontId="4" fillId="0" borderId="0" xfId="23" quotePrefix="1" applyNumberFormat="1" applyFont="1" applyBorder="1" applyAlignment="1">
      <alignment horizontal="left"/>
    </xf>
    <xf numFmtId="0" fontId="41" fillId="0" borderId="4" xfId="23" applyFont="1" applyBorder="1" applyAlignment="1">
      <alignment horizontal="left"/>
    </xf>
    <xf numFmtId="0" fontId="41" fillId="0" borderId="13" xfId="23" applyFont="1" applyBorder="1" applyAlignment="1">
      <alignment horizontal="left"/>
    </xf>
    <xf numFmtId="0" fontId="41" fillId="0" borderId="5" xfId="23" applyFont="1" applyBorder="1" applyAlignment="1">
      <alignment horizontal="left"/>
    </xf>
    <xf numFmtId="0" fontId="5" fillId="0" borderId="4" xfId="23" applyFont="1" applyBorder="1" applyAlignment="1">
      <alignment horizontal="left"/>
    </xf>
    <xf numFmtId="0" fontId="5" fillId="0" borderId="13" xfId="23" applyFont="1" applyBorder="1" applyAlignment="1">
      <alignment horizontal="left"/>
    </xf>
    <xf numFmtId="0" fontId="5" fillId="0" borderId="5" xfId="23" applyFont="1" applyBorder="1" applyAlignment="1">
      <alignment horizontal="left"/>
    </xf>
    <xf numFmtId="0" fontId="4" fillId="0" borderId="14" xfId="70" applyFont="1" applyBorder="1" applyAlignment="1">
      <alignment horizontal="left"/>
    </xf>
    <xf numFmtId="0" fontId="4" fillId="0" borderId="0" xfId="70" applyFont="1" applyAlignment="1">
      <alignment horizontal="center"/>
    </xf>
    <xf numFmtId="0" fontId="4" fillId="0" borderId="0" xfId="23" applyFont="1" applyAlignment="1">
      <alignment horizontal="left" wrapText="1"/>
    </xf>
    <xf numFmtId="0" fontId="4" fillId="0" borderId="0" xfId="23" applyFont="1" applyBorder="1" applyAlignment="1" applyProtection="1">
      <alignment horizontal="left"/>
      <protection hidden="1"/>
    </xf>
    <xf numFmtId="0" fontId="4" fillId="0" borderId="0" xfId="23" applyFont="1" applyAlignment="1">
      <alignment horizontal="center"/>
    </xf>
    <xf numFmtId="0" fontId="50" fillId="0" borderId="0" xfId="70" applyFont="1" applyAlignment="1">
      <alignment horizontal="left"/>
    </xf>
    <xf numFmtId="0" fontId="51" fillId="0" borderId="4" xfId="23" applyFont="1" applyBorder="1" applyAlignment="1">
      <alignment horizontal="left"/>
    </xf>
    <xf numFmtId="0" fontId="51" fillId="0" borderId="13" xfId="23" applyFont="1" applyBorder="1" applyAlignment="1">
      <alignment horizontal="left"/>
    </xf>
    <xf numFmtId="0" fontId="51" fillId="0" borderId="5" xfId="23" applyFont="1" applyBorder="1" applyAlignment="1">
      <alignment horizontal="left"/>
    </xf>
    <xf numFmtId="0" fontId="50" fillId="0" borderId="14" xfId="70" applyFont="1" applyBorder="1" applyAlignment="1">
      <alignment horizontal="left"/>
    </xf>
    <xf numFmtId="0" fontId="50" fillId="0" borderId="0" xfId="23" quotePrefix="1" applyNumberFormat="1" applyFont="1" applyBorder="1" applyAlignment="1">
      <alignment horizontal="left"/>
    </xf>
    <xf numFmtId="0" fontId="50" fillId="0" borderId="0" xfId="23" applyFont="1" applyAlignment="1">
      <alignment horizontal="left" vertical="center" wrapText="1"/>
    </xf>
    <xf numFmtId="0" fontId="50" fillId="0" borderId="0" xfId="23" applyFont="1" applyBorder="1" applyAlignment="1" applyProtection="1">
      <alignment horizontal="left"/>
      <protection hidden="1"/>
    </xf>
    <xf numFmtId="0" fontId="50" fillId="0" borderId="0" xfId="23" applyFont="1" applyAlignment="1">
      <alignment horizontal="left" indent="4"/>
    </xf>
    <xf numFmtId="0" fontId="51" fillId="0" borderId="0" xfId="23" applyFont="1" applyBorder="1" applyAlignment="1">
      <alignment horizontal="left"/>
    </xf>
    <xf numFmtId="0" fontId="51" fillId="0" borderId="0" xfId="23" applyFont="1" applyBorder="1" applyAlignment="1"/>
    <xf numFmtId="0" fontId="50" fillId="0" borderId="0" xfId="23" quotePrefix="1" applyNumberFormat="1" applyFont="1" applyBorder="1" applyAlignment="1">
      <alignment horizontal="left" indent="4"/>
    </xf>
    <xf numFmtId="0" fontId="5" fillId="0" borderId="4" xfId="112" applyFont="1" applyBorder="1" applyAlignment="1">
      <alignment horizontal="left" vertical="center"/>
    </xf>
    <xf numFmtId="0" fontId="5" fillId="0" borderId="13" xfId="112" applyFont="1" applyBorder="1" applyAlignment="1">
      <alignment horizontal="left" vertical="center"/>
    </xf>
    <xf numFmtId="0" fontId="5" fillId="0" borderId="5" xfId="112" applyFont="1" applyBorder="1" applyAlignment="1">
      <alignment horizontal="left" vertical="center"/>
    </xf>
    <xf numFmtId="0" fontId="4" fillId="0" borderId="4" xfId="112" applyFont="1" applyBorder="1" applyAlignment="1">
      <alignment horizontal="left" vertical="center" wrapText="1"/>
    </xf>
    <xf numFmtId="0" fontId="4" fillId="0" borderId="13" xfId="112" applyFont="1" applyBorder="1" applyAlignment="1">
      <alignment horizontal="left" vertical="center" wrapText="1"/>
    </xf>
    <xf numFmtId="0" fontId="4" fillId="0" borderId="5" xfId="112" applyFont="1" applyBorder="1" applyAlignment="1">
      <alignment horizontal="left" vertical="center" wrapText="1"/>
    </xf>
    <xf numFmtId="0" fontId="17" fillId="0" borderId="4" xfId="112" applyFont="1" applyBorder="1" applyAlignment="1">
      <alignment horizontal="left" vertical="center" wrapText="1"/>
    </xf>
    <xf numFmtId="0" fontId="17" fillId="0" borderId="13" xfId="112" applyFont="1" applyBorder="1" applyAlignment="1">
      <alignment horizontal="left" vertical="center" wrapText="1"/>
    </xf>
    <xf numFmtId="0" fontId="17" fillId="0" borderId="5" xfId="112" applyFont="1" applyBorder="1" applyAlignment="1">
      <alignment horizontal="left" vertical="center" wrapText="1"/>
    </xf>
    <xf numFmtId="0" fontId="5" fillId="0" borderId="4" xfId="0" applyFont="1" applyBorder="1" applyAlignment="1">
      <alignment horizontal="left" vertical="center" wrapText="1"/>
    </xf>
    <xf numFmtId="0" fontId="5" fillId="0" borderId="13" xfId="0" applyFont="1" applyBorder="1" applyAlignment="1">
      <alignment horizontal="left" vertical="center" wrapText="1"/>
    </xf>
    <xf numFmtId="0" fontId="5" fillId="0" borderId="5" xfId="0" applyFont="1" applyBorder="1" applyAlignment="1">
      <alignment horizontal="left" vertical="center" wrapText="1"/>
    </xf>
    <xf numFmtId="0" fontId="7" fillId="0" borderId="4" xfId="0" applyFont="1" applyBorder="1" applyAlignment="1">
      <alignment horizontal="left" vertical="center" wrapText="1"/>
    </xf>
    <xf numFmtId="0" fontId="7" fillId="0" borderId="13" xfId="0" applyFont="1" applyBorder="1" applyAlignment="1">
      <alignment horizontal="left" vertical="center" wrapText="1"/>
    </xf>
    <xf numFmtId="0" fontId="7" fillId="0" borderId="5" xfId="0" applyFont="1" applyBorder="1" applyAlignment="1">
      <alignment horizontal="left" vertical="center" wrapText="1"/>
    </xf>
    <xf numFmtId="166" fontId="5" fillId="4" borderId="4" xfId="2" applyNumberFormat="1" applyFont="1" applyFill="1" applyBorder="1" applyAlignment="1">
      <alignment horizontal="left"/>
    </xf>
    <xf numFmtId="166" fontId="5" fillId="4" borderId="5" xfId="2" applyNumberFormat="1" applyFont="1" applyFill="1" applyBorder="1" applyAlignment="1">
      <alignment horizontal="left"/>
    </xf>
    <xf numFmtId="166" fontId="5" fillId="0" borderId="7" xfId="2" applyNumberFormat="1" applyFont="1" applyBorder="1" applyAlignment="1">
      <alignment horizontal="left"/>
    </xf>
    <xf numFmtId="166" fontId="5" fillId="0" borderId="8" xfId="2" applyNumberFormat="1" applyFont="1" applyBorder="1" applyAlignment="1">
      <alignment horizontal="left"/>
    </xf>
    <xf numFmtId="166" fontId="5" fillId="0" borderId="10" xfId="2" applyNumberFormat="1" applyFont="1" applyBorder="1" applyAlignment="1">
      <alignment horizontal="left"/>
    </xf>
    <xf numFmtId="166" fontId="5" fillId="0" borderId="11" xfId="2" applyNumberFormat="1" applyFont="1" applyBorder="1" applyAlignment="1">
      <alignment horizontal="left"/>
    </xf>
    <xf numFmtId="166" fontId="4" fillId="0" borderId="1" xfId="2" applyNumberFormat="1" applyFont="1" applyBorder="1" applyAlignment="1">
      <alignment horizontal="left"/>
    </xf>
    <xf numFmtId="0" fontId="4" fillId="0" borderId="1" xfId="0" applyFont="1" applyBorder="1" applyAlignment="1">
      <alignment horizontal="left"/>
    </xf>
    <xf numFmtId="10" fontId="6" fillId="0" borderId="4" xfId="3" applyNumberFormat="1" applyFont="1" applyBorder="1" applyAlignment="1">
      <alignment horizontal="center" vertical="top" wrapText="1"/>
    </xf>
    <xf numFmtId="10" fontId="6" fillId="0" borderId="5" xfId="3" applyNumberFormat="1" applyFont="1" applyBorder="1" applyAlignment="1">
      <alignment horizontal="center" vertical="top" wrapText="1"/>
    </xf>
    <xf numFmtId="0" fontId="50" fillId="0" borderId="0" xfId="70" applyFont="1" applyAlignment="1">
      <alignment horizontal="center"/>
    </xf>
    <xf numFmtId="0" fontId="50" fillId="0" borderId="0" xfId="23" applyFont="1" applyAlignment="1">
      <alignment horizontal="center"/>
    </xf>
    <xf numFmtId="0" fontId="50" fillId="0" borderId="0" xfId="23" quotePrefix="1" applyNumberFormat="1" applyFont="1" applyBorder="1" applyAlignment="1">
      <alignment horizontal="center"/>
    </xf>
    <xf numFmtId="0" fontId="5" fillId="0" borderId="1" xfId="0" applyFont="1" applyFill="1" applyBorder="1" applyAlignment="1">
      <alignment horizontal="left" vertical="top" wrapText="1"/>
    </xf>
    <xf numFmtId="0" fontId="45" fillId="0" borderId="1" xfId="0" applyFont="1" applyFill="1" applyBorder="1" applyAlignment="1">
      <alignment horizontal="left" vertical="top" wrapText="1"/>
    </xf>
    <xf numFmtId="0" fontId="5" fillId="0" borderId="0" xfId="0" applyFont="1" applyFill="1" applyBorder="1" applyAlignment="1">
      <alignment horizontal="left" vertical="top" wrapText="1"/>
    </xf>
    <xf numFmtId="0" fontId="5" fillId="0" borderId="1" xfId="0" applyFont="1" applyBorder="1" applyAlignment="1">
      <alignment horizontal="left"/>
    </xf>
    <xf numFmtId="0" fontId="5"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vertical="top" wrapText="1"/>
    </xf>
    <xf numFmtId="0" fontId="13" fillId="14" borderId="0" xfId="0" applyFont="1" applyFill="1" applyAlignment="1">
      <alignment horizontal="left"/>
    </xf>
    <xf numFmtId="0" fontId="14" fillId="0" borderId="0" xfId="0" applyFont="1" applyAlignment="1">
      <alignment horizontal="left"/>
    </xf>
    <xf numFmtId="0" fontId="5" fillId="0" borderId="2" xfId="139" applyFont="1" applyBorder="1" applyAlignment="1">
      <alignment horizontal="center" vertical="center" wrapText="1"/>
    </xf>
    <xf numFmtId="0" fontId="5" fillId="0" borderId="3" xfId="139" applyFont="1" applyBorder="1" applyAlignment="1">
      <alignment horizontal="center" vertical="center" wrapText="1"/>
    </xf>
    <xf numFmtId="3" fontId="5" fillId="0" borderId="2" xfId="139" applyNumberFormat="1" applyFont="1" applyBorder="1" applyAlignment="1">
      <alignment horizontal="center" vertical="center" wrapText="1"/>
    </xf>
    <xf numFmtId="3" fontId="5" fillId="0" borderId="3" xfId="139" applyNumberFormat="1" applyFont="1" applyBorder="1" applyAlignment="1">
      <alignment horizontal="center" vertical="center" wrapText="1"/>
    </xf>
    <xf numFmtId="3" fontId="5" fillId="0" borderId="1" xfId="123" applyNumberFormat="1" applyFont="1" applyBorder="1" applyAlignment="1">
      <alignment horizontal="center" vertical="center"/>
    </xf>
    <xf numFmtId="0" fontId="5" fillId="0" borderId="1" xfId="123" applyFont="1" applyBorder="1" applyAlignment="1">
      <alignment horizontal="center"/>
    </xf>
    <xf numFmtId="0" fontId="4" fillId="0" borderId="4" xfId="139" applyFont="1" applyBorder="1" applyAlignment="1">
      <alignment horizontal="left" wrapText="1"/>
    </xf>
    <xf numFmtId="0" fontId="4" fillId="0" borderId="13" xfId="139" applyFont="1" applyBorder="1" applyAlignment="1">
      <alignment horizontal="left" wrapText="1"/>
    </xf>
    <xf numFmtId="0" fontId="4" fillId="0" borderId="5" xfId="139" applyFont="1" applyBorder="1" applyAlignment="1">
      <alignment horizontal="left" wrapText="1"/>
    </xf>
    <xf numFmtId="0" fontId="5" fillId="0" borderId="4" xfId="139" applyFont="1" applyBorder="1" applyAlignment="1">
      <alignment horizontal="center"/>
    </xf>
    <xf numFmtId="0" fontId="5" fillId="0" borderId="13" xfId="139" applyFont="1" applyBorder="1" applyAlignment="1">
      <alignment horizontal="center"/>
    </xf>
    <xf numFmtId="0" fontId="5" fillId="0" borderId="5" xfId="139" applyFont="1" applyBorder="1" applyAlignment="1">
      <alignment horizontal="center"/>
    </xf>
    <xf numFmtId="0" fontId="5" fillId="0" borderId="1" xfId="123" applyFont="1" applyBorder="1" applyAlignment="1">
      <alignment horizontal="center" vertical="center"/>
    </xf>
    <xf numFmtId="0" fontId="4" fillId="0" borderId="1" xfId="123" applyFont="1" applyBorder="1" applyAlignment="1">
      <alignment horizontal="center" wrapText="1"/>
    </xf>
    <xf numFmtId="0" fontId="5" fillId="0" borderId="1" xfId="123" applyFont="1" applyBorder="1" applyAlignment="1">
      <alignment horizontal="left"/>
    </xf>
    <xf numFmtId="0" fontId="4" fillId="0" borderId="1" xfId="123" applyFont="1" applyBorder="1"/>
    <xf numFmtId="0" fontId="5" fillId="0" borderId="0" xfId="64" quotePrefix="1" applyFont="1" applyAlignment="1">
      <alignment horizontal="left"/>
    </xf>
    <xf numFmtId="0" fontId="5" fillId="0" borderId="0" xfId="64" applyFont="1" applyAlignment="1">
      <alignment horizontal="left"/>
    </xf>
    <xf numFmtId="0" fontId="4" fillId="0" borderId="17" xfId="64" applyFont="1" applyBorder="1" applyAlignment="1">
      <alignment horizontal="center"/>
    </xf>
    <xf numFmtId="0" fontId="6" fillId="0" borderId="4" xfId="1" applyFont="1" applyBorder="1" applyAlignment="1">
      <alignment horizontal="left" vertical="top" wrapText="1"/>
    </xf>
    <xf numFmtId="0" fontId="6" fillId="0" borderId="13" xfId="1" applyFont="1" applyBorder="1" applyAlignment="1">
      <alignment horizontal="left" vertical="top" wrapText="1"/>
    </xf>
    <xf numFmtId="0" fontId="6" fillId="0" borderId="4" xfId="6" applyFont="1" applyBorder="1" applyAlignment="1">
      <alignment horizontal="left" vertical="top" wrapText="1"/>
    </xf>
    <xf numFmtId="0" fontId="6" fillId="0" borderId="13" xfId="6" applyFont="1" applyBorder="1" applyAlignment="1">
      <alignment horizontal="left" vertical="top" wrapText="1"/>
    </xf>
    <xf numFmtId="0" fontId="6" fillId="0" borderId="1" xfId="6" applyFont="1" applyBorder="1" applyAlignment="1">
      <alignment horizontal="center" vertical="top" wrapText="1"/>
    </xf>
    <xf numFmtId="0" fontId="5" fillId="0" borderId="0" xfId="104" applyFont="1" applyAlignment="1">
      <alignment horizontal="center"/>
    </xf>
    <xf numFmtId="0" fontId="4" fillId="4" borderId="1" xfId="1" applyFont="1" applyFill="1" applyBorder="1" applyAlignment="1">
      <alignment horizontal="left"/>
    </xf>
    <xf numFmtId="9" fontId="5" fillId="4" borderId="1" xfId="3" applyFont="1" applyFill="1" applyBorder="1" applyAlignment="1">
      <alignment horizontal="right"/>
    </xf>
    <xf numFmtId="0" fontId="4" fillId="0" borderId="0" xfId="1" applyFont="1" applyFill="1" applyBorder="1" applyAlignment="1">
      <alignment horizontal="left"/>
    </xf>
    <xf numFmtId="164" fontId="4" fillId="0" borderId="0" xfId="2" applyNumberFormat="1" applyFont="1" applyBorder="1" applyAlignment="1">
      <alignment horizontal="right"/>
    </xf>
    <xf numFmtId="0" fontId="4" fillId="0" borderId="0" xfId="1" applyFont="1" applyBorder="1" applyAlignment="1">
      <alignment horizontal="left"/>
    </xf>
    <xf numFmtId="3" fontId="5" fillId="0" borderId="0" xfId="1" applyNumberFormat="1" applyFont="1" applyBorder="1" applyAlignment="1">
      <alignment horizontal="right"/>
    </xf>
    <xf numFmtId="3" fontId="5" fillId="4" borderId="1" xfId="1" applyNumberFormat="1" applyFont="1" applyFill="1" applyBorder="1" applyAlignment="1">
      <alignment horizontal="right"/>
    </xf>
    <xf numFmtId="0" fontId="4" fillId="0" borderId="1" xfId="0" applyFont="1" applyFill="1" applyBorder="1" applyAlignment="1">
      <alignment horizontal="left"/>
    </xf>
    <xf numFmtId="0" fontId="4" fillId="4" borderId="1" xfId="0" applyFont="1" applyFill="1" applyBorder="1" applyAlignment="1">
      <alignment horizontal="left"/>
    </xf>
    <xf numFmtId="3" fontId="5" fillId="4" borderId="4" xfId="0" applyNumberFormat="1" applyFont="1" applyFill="1" applyBorder="1" applyAlignment="1">
      <alignment horizontal="right"/>
    </xf>
    <xf numFmtId="3" fontId="5" fillId="4" borderId="5" xfId="0" applyNumberFormat="1" applyFont="1" applyFill="1" applyBorder="1" applyAlignment="1">
      <alignment horizontal="right"/>
    </xf>
    <xf numFmtId="9" fontId="5" fillId="4" borderId="4" xfId="5" applyFont="1" applyFill="1" applyBorder="1" applyAlignment="1">
      <alignment horizontal="right"/>
    </xf>
    <xf numFmtId="9" fontId="5" fillId="4" borderId="5" xfId="5" applyFont="1" applyFill="1" applyBorder="1" applyAlignment="1">
      <alignment horizontal="right"/>
    </xf>
    <xf numFmtId="0" fontId="4" fillId="0" borderId="0" xfId="0" applyFont="1" applyFill="1" applyBorder="1" applyAlignment="1">
      <alignment horizontal="left"/>
    </xf>
    <xf numFmtId="164" fontId="4" fillId="0" borderId="14" xfId="4" applyNumberFormat="1" applyFont="1" applyBorder="1" applyAlignment="1">
      <alignment horizontal="right"/>
    </xf>
    <xf numFmtId="0" fontId="4" fillId="0" borderId="0" xfId="0" applyFont="1" applyBorder="1" applyAlignment="1">
      <alignment horizontal="left"/>
    </xf>
    <xf numFmtId="3" fontId="5" fillId="0" borderId="0" xfId="0" applyNumberFormat="1" applyFont="1" applyBorder="1" applyAlignment="1">
      <alignment horizontal="right"/>
    </xf>
    <xf numFmtId="3" fontId="5" fillId="0" borderId="0" xfId="0" applyNumberFormat="1" applyFont="1" applyBorder="1" applyAlignment="1">
      <alignment horizontal="center"/>
    </xf>
    <xf numFmtId="3" fontId="5" fillId="0" borderId="17" xfId="0" applyNumberFormat="1" applyFont="1" applyBorder="1" applyAlignment="1">
      <alignment horizontal="right"/>
    </xf>
    <xf numFmtId="164" fontId="4" fillId="5" borderId="1" xfId="2" applyNumberFormat="1" applyFont="1" applyFill="1" applyBorder="1" applyAlignment="1">
      <alignment horizontal="center"/>
    </xf>
    <xf numFmtId="9" fontId="4" fillId="5" borderId="1" xfId="3" applyFont="1" applyFill="1" applyBorder="1" applyAlignment="1">
      <alignment horizontal="center"/>
    </xf>
    <xf numFmtId="164" fontId="5" fillId="5" borderId="1" xfId="2" applyNumberFormat="1" applyFont="1" applyFill="1" applyBorder="1" applyAlignment="1">
      <alignment horizontal="center"/>
    </xf>
    <xf numFmtId="165" fontId="4" fillId="5" borderId="1" xfId="3" applyNumberFormat="1" applyFont="1" applyFill="1" applyBorder="1" applyAlignment="1">
      <alignment horizontal="center"/>
    </xf>
    <xf numFmtId="0" fontId="5" fillId="0" borderId="1" xfId="0" applyFont="1" applyBorder="1" applyAlignment="1">
      <alignment horizontal="center" vertical="center"/>
    </xf>
    <xf numFmtId="0" fontId="5" fillId="0" borderId="4" xfId="0" applyFont="1" applyBorder="1" applyAlignment="1">
      <alignment horizontal="center" vertical="center"/>
    </xf>
    <xf numFmtId="0" fontId="5" fillId="0" borderId="13" xfId="0" applyFont="1" applyBorder="1" applyAlignment="1">
      <alignment horizontal="center" vertical="center"/>
    </xf>
    <xf numFmtId="0" fontId="5" fillId="0" borderId="5" xfId="0" applyFont="1" applyBorder="1" applyAlignment="1">
      <alignment horizontal="center" vertical="center"/>
    </xf>
    <xf numFmtId="0" fontId="61" fillId="0" borderId="1" xfId="58" applyFont="1" applyBorder="1" applyAlignment="1">
      <alignment horizontal="center" vertical="center" wrapText="1"/>
    </xf>
    <xf numFmtId="0" fontId="65" fillId="0" borderId="1" xfId="58" applyFont="1" applyBorder="1" applyAlignment="1">
      <alignment vertical="center"/>
    </xf>
    <xf numFmtId="0" fontId="65" fillId="0" borderId="1" xfId="58" applyFont="1" applyBorder="1" applyAlignment="1">
      <alignment horizontal="center" vertical="center"/>
    </xf>
    <xf numFmtId="0" fontId="13" fillId="0" borderId="0" xfId="20" applyFont="1" applyBorder="1" applyAlignment="1">
      <alignment horizontal="left" vertical="top"/>
    </xf>
    <xf numFmtId="0" fontId="14" fillId="0" borderId="87" xfId="20" quotePrefix="1" applyFont="1" applyBorder="1" applyAlignment="1">
      <alignment horizontal="left" vertical="top" wrapText="1"/>
    </xf>
    <xf numFmtId="202" fontId="13" fillId="0" borderId="87" xfId="20" applyNumberFormat="1" applyFont="1" applyBorder="1" applyAlignment="1">
      <alignment horizontal="right"/>
    </xf>
    <xf numFmtId="206" fontId="13" fillId="0" borderId="87" xfId="20" applyNumberFormat="1" applyFont="1" applyBorder="1" applyAlignment="1">
      <alignment horizontal="right"/>
    </xf>
    <xf numFmtId="205" fontId="13" fillId="0" borderId="87" xfId="20" applyNumberFormat="1" applyFont="1" applyBorder="1" applyAlignment="1">
      <alignment horizontal="left" vertical="top" wrapText="1"/>
    </xf>
    <xf numFmtId="0" fontId="14" fillId="0" borderId="87" xfId="20" quotePrefix="1" applyNumberFormat="1" applyFont="1" applyBorder="1" applyAlignment="1">
      <alignment horizontal="left" vertical="top" wrapText="1"/>
    </xf>
    <xf numFmtId="204" fontId="14" fillId="0" borderId="87" xfId="48" applyNumberFormat="1" applyFont="1" applyBorder="1" applyAlignment="1">
      <alignment horizontal="center" vertical="top" wrapText="1"/>
    </xf>
    <xf numFmtId="0" fontId="13" fillId="0" borderId="87" xfId="20" applyFont="1" applyBorder="1" applyAlignment="1">
      <alignment horizontal="left" vertical="top" wrapText="1"/>
    </xf>
    <xf numFmtId="202" fontId="14" fillId="0" borderId="87" xfId="48" applyNumberFormat="1" applyFont="1" applyBorder="1" applyAlignment="1">
      <alignment horizontal="right" vertical="top" wrapText="1"/>
    </xf>
    <xf numFmtId="204" fontId="14" fillId="0" borderId="87" xfId="48" applyNumberFormat="1" applyFont="1" applyBorder="1" applyAlignment="1">
      <alignment horizontal="right" vertical="top" wrapText="1"/>
    </xf>
    <xf numFmtId="0" fontId="13" fillId="0" borderId="91" xfId="20" applyFont="1" applyBorder="1" applyAlignment="1">
      <alignment horizontal="left" vertical="top" wrapText="1"/>
    </xf>
    <xf numFmtId="0" fontId="14" fillId="0" borderId="87" xfId="20" applyFont="1" applyBorder="1" applyAlignment="1">
      <alignment horizontal="left" vertical="top" wrapText="1"/>
    </xf>
    <xf numFmtId="3" fontId="4" fillId="0" borderId="2" xfId="1" applyNumberFormat="1" applyFont="1" applyBorder="1" applyAlignment="1">
      <alignment horizontal="right" vertical="center"/>
    </xf>
    <xf numFmtId="3" fontId="4" fillId="0" borderId="3" xfId="1" applyNumberFormat="1" applyFont="1" applyBorder="1" applyAlignment="1">
      <alignment horizontal="right" vertical="center"/>
    </xf>
    <xf numFmtId="0" fontId="14" fillId="0" borderId="0" xfId="70" applyFont="1" applyAlignment="1">
      <alignment horizontal="center"/>
    </xf>
    <xf numFmtId="0" fontId="14" fillId="0" borderId="0" xfId="70" applyFont="1" applyAlignment="1">
      <alignment horizontal="left"/>
    </xf>
    <xf numFmtId="164" fontId="20" fillId="0" borderId="1" xfId="113" applyNumberFormat="1" applyFont="1" applyFill="1" applyBorder="1" applyAlignment="1">
      <alignment horizontal="center"/>
    </xf>
    <xf numFmtId="164" fontId="64" fillId="0" borderId="1" xfId="113" applyNumberFormat="1" applyFont="1" applyFill="1" applyBorder="1" applyAlignment="1">
      <alignment horizontal="right"/>
    </xf>
    <xf numFmtId="164" fontId="69" fillId="0" borderId="1" xfId="113" applyNumberFormat="1" applyFont="1" applyFill="1" applyBorder="1" applyAlignment="1">
      <alignment horizontal="right"/>
    </xf>
    <xf numFmtId="43" fontId="69" fillId="0" borderId="1" xfId="113" applyNumberFormat="1" applyFont="1" applyFill="1" applyBorder="1" applyAlignment="1">
      <alignment horizontal="center"/>
    </xf>
    <xf numFmtId="3" fontId="20" fillId="0" borderId="1" xfId="124" applyNumberFormat="1" applyFont="1" applyFill="1" applyBorder="1" applyAlignment="1">
      <alignment horizontal="center"/>
    </xf>
    <xf numFmtId="3" fontId="4" fillId="0" borderId="1" xfId="124" applyNumberFormat="1" applyFont="1" applyFill="1" applyBorder="1" applyAlignment="1">
      <alignment horizontal="center"/>
    </xf>
    <xf numFmtId="164" fontId="5" fillId="0" borderId="1" xfId="113" applyNumberFormat="1" applyFont="1" applyFill="1" applyBorder="1" applyAlignment="1">
      <alignment horizontal="center"/>
    </xf>
    <xf numFmtId="164" fontId="20" fillId="0" borderId="1" xfId="113" applyNumberFormat="1" applyFont="1" applyFill="1" applyBorder="1" applyAlignment="1">
      <alignment horizontal="right"/>
    </xf>
    <xf numFmtId="171" fontId="20" fillId="0" borderId="1" xfId="113" applyNumberFormat="1" applyFont="1" applyFill="1" applyBorder="1" applyAlignment="1">
      <alignment horizontal="right"/>
    </xf>
    <xf numFmtId="164" fontId="6" fillId="0" borderId="1" xfId="113" applyNumberFormat="1" applyFont="1" applyFill="1" applyBorder="1" applyAlignment="1">
      <alignment horizontal="center"/>
    </xf>
    <xf numFmtId="0" fontId="6" fillId="0" borderId="1" xfId="1" applyFont="1" applyBorder="1" applyAlignment="1">
      <alignment horizontal="center" vertical="top" wrapText="1"/>
    </xf>
    <xf numFmtId="164" fontId="4" fillId="0" borderId="1" xfId="2" applyNumberFormat="1" applyFont="1" applyBorder="1" applyAlignment="1">
      <alignment horizontal="center" wrapText="1"/>
    </xf>
    <xf numFmtId="164" fontId="6" fillId="0" borderId="14" xfId="2" applyNumberFormat="1" applyFont="1" applyBorder="1" applyAlignment="1">
      <alignment horizontal="center"/>
    </xf>
    <xf numFmtId="164" fontId="5" fillId="0" borderId="0" xfId="2" applyNumberFormat="1" applyFont="1" applyAlignment="1">
      <alignment horizontal="center"/>
    </xf>
    <xf numFmtId="164" fontId="7" fillId="0" borderId="0" xfId="2" applyNumberFormat="1" applyFont="1" applyAlignment="1">
      <alignment horizontal="center"/>
    </xf>
    <xf numFmtId="0" fontId="5" fillId="0" borderId="1" xfId="68" applyFont="1" applyBorder="1" applyAlignment="1">
      <alignment horizontal="center"/>
    </xf>
    <xf numFmtId="164" fontId="6" fillId="0" borderId="4" xfId="2" applyNumberFormat="1" applyFont="1" applyBorder="1" applyAlignment="1">
      <alignment horizontal="center" vertical="top" wrapText="1"/>
    </xf>
    <xf numFmtId="164" fontId="6" fillId="0" borderId="5" xfId="2" applyNumberFormat="1" applyFont="1" applyBorder="1" applyAlignment="1">
      <alignment horizontal="center" vertical="top" wrapText="1"/>
    </xf>
    <xf numFmtId="164" fontId="14" fillId="0" borderId="0" xfId="4" applyNumberFormat="1" applyFont="1" applyAlignment="1">
      <alignment horizontal="center"/>
    </xf>
    <xf numFmtId="0" fontId="14" fillId="0" borderId="0" xfId="0" quotePrefix="1" applyFont="1" applyAlignment="1">
      <alignment horizontal="left" vertical="center" wrapText="1"/>
    </xf>
    <xf numFmtId="164" fontId="14" fillId="0" borderId="0" xfId="4" applyNumberFormat="1" applyFont="1" applyAlignment="1">
      <alignment horizontal="center" vertical="center"/>
    </xf>
    <xf numFmtId="0" fontId="5" fillId="0" borderId="1" xfId="0" applyFont="1" applyBorder="1" applyAlignment="1">
      <alignment horizontal="center"/>
    </xf>
    <xf numFmtId="0" fontId="4" fillId="0" borderId="4" xfId="0" applyFont="1" applyBorder="1" applyAlignment="1">
      <alignment horizontal="center"/>
    </xf>
    <xf numFmtId="0" fontId="4" fillId="0" borderId="13" xfId="0" applyFont="1" applyBorder="1" applyAlignment="1">
      <alignment horizontal="center"/>
    </xf>
    <xf numFmtId="0" fontId="4" fillId="0" borderId="5" xfId="0" applyFont="1" applyBorder="1" applyAlignment="1">
      <alignment horizontal="center"/>
    </xf>
    <xf numFmtId="0" fontId="4" fillId="0" borderId="1" xfId="0" applyFont="1" applyBorder="1" applyAlignment="1">
      <alignment horizontal="center"/>
    </xf>
    <xf numFmtId="164" fontId="5" fillId="0" borderId="1" xfId="4" applyNumberFormat="1" applyFont="1" applyBorder="1" applyAlignment="1">
      <alignment horizontal="center" vertical="center"/>
    </xf>
    <xf numFmtId="0" fontId="4" fillId="0" borderId="1" xfId="68" applyFont="1" applyBorder="1" applyAlignment="1">
      <alignment horizontal="center" vertical="center" wrapText="1"/>
    </xf>
    <xf numFmtId="0" fontId="4" fillId="0" borderId="1" xfId="68" applyFont="1" applyBorder="1" applyAlignment="1">
      <alignment vertical="center" wrapText="1"/>
    </xf>
    <xf numFmtId="0" fontId="18" fillId="0" borderId="1" xfId="0" applyFont="1" applyBorder="1" applyAlignment="1">
      <alignment horizontal="center" vertical="center"/>
    </xf>
    <xf numFmtId="0" fontId="5" fillId="0" borderId="1" xfId="71" applyFont="1" applyBorder="1" applyAlignment="1">
      <alignment horizontal="center"/>
    </xf>
    <xf numFmtId="0" fontId="4" fillId="0" borderId="4" xfId="62" applyFont="1" applyBorder="1" applyAlignment="1">
      <alignment horizontal="left"/>
    </xf>
    <xf numFmtId="0" fontId="4" fillId="0" borderId="13" xfId="62" applyFont="1" applyBorder="1" applyAlignment="1">
      <alignment horizontal="left"/>
    </xf>
    <xf numFmtId="0" fontId="4" fillId="0" borderId="5" xfId="62" applyFont="1" applyBorder="1" applyAlignment="1">
      <alignment horizontal="left"/>
    </xf>
    <xf numFmtId="0" fontId="5" fillId="0" borderId="17" xfId="1" applyFont="1" applyBorder="1" applyAlignment="1">
      <alignment horizontal="center"/>
    </xf>
    <xf numFmtId="0" fontId="61" fillId="0" borderId="1" xfId="0" applyFont="1" applyBorder="1" applyAlignment="1">
      <alignment horizontal="center" vertical="center" wrapText="1"/>
    </xf>
    <xf numFmtId="0" fontId="46" fillId="12" borderId="4" xfId="0" applyFont="1" applyFill="1" applyBorder="1" applyAlignment="1">
      <alignment horizontal="center" vertical="center" wrapText="1"/>
    </xf>
    <xf numFmtId="0" fontId="46" fillId="12" borderId="13" xfId="0" applyFont="1" applyFill="1" applyBorder="1" applyAlignment="1">
      <alignment horizontal="center" vertical="center" wrapText="1"/>
    </xf>
    <xf numFmtId="0" fontId="46" fillId="12" borderId="5" xfId="0" applyFont="1" applyFill="1" applyBorder="1" applyAlignment="1">
      <alignment horizontal="center" vertical="center" wrapText="1"/>
    </xf>
    <xf numFmtId="0" fontId="13" fillId="12" borderId="4" xfId="0" applyFont="1" applyFill="1" applyBorder="1" applyAlignment="1">
      <alignment horizontal="left" vertical="center" wrapText="1"/>
    </xf>
    <xf numFmtId="0" fontId="13" fillId="12" borderId="13" xfId="0" applyFont="1" applyFill="1" applyBorder="1" applyAlignment="1">
      <alignment horizontal="left" vertical="center" wrapText="1"/>
    </xf>
    <xf numFmtId="0" fontId="13" fillId="12" borderId="5" xfId="0" applyFont="1" applyFill="1" applyBorder="1" applyAlignment="1">
      <alignment horizontal="left" vertical="center" wrapText="1"/>
    </xf>
    <xf numFmtId="0" fontId="13" fillId="12" borderId="1" xfId="0" applyFont="1" applyFill="1" applyBorder="1" applyAlignment="1">
      <alignment vertical="center" wrapText="1"/>
    </xf>
    <xf numFmtId="0" fontId="65" fillId="0" borderId="0" xfId="0" applyFont="1" applyBorder="1" applyAlignment="1">
      <alignment horizontal="center" vertical="center"/>
    </xf>
    <xf numFmtId="0" fontId="70" fillId="0" borderId="1" xfId="0" applyFont="1" applyBorder="1" applyAlignment="1">
      <alignment horizontal="center" vertical="center" wrapText="1"/>
    </xf>
    <xf numFmtId="0" fontId="46" fillId="12" borderId="0" xfId="0" applyFont="1" applyFill="1" applyBorder="1" applyAlignment="1">
      <alignment horizontal="right" vertical="center" wrapText="1"/>
    </xf>
    <xf numFmtId="0" fontId="4" fillId="0" borderId="0" xfId="65" quotePrefix="1" applyFont="1" applyAlignment="1">
      <alignment horizontal="left" vertical="center" wrapText="1"/>
    </xf>
    <xf numFmtId="0" fontId="5" fillId="0" borderId="4" xfId="65" applyFont="1" applyFill="1" applyBorder="1" applyAlignment="1">
      <alignment horizontal="center"/>
    </xf>
    <xf numFmtId="0" fontId="5" fillId="0" borderId="5" xfId="65" applyFont="1" applyFill="1" applyBorder="1" applyAlignment="1">
      <alignment horizontal="center"/>
    </xf>
    <xf numFmtId="0" fontId="13" fillId="0" borderId="1" xfId="0" applyFont="1" applyBorder="1" applyAlignment="1">
      <alignment horizontal="left" vertical="center" wrapText="1"/>
    </xf>
    <xf numFmtId="0" fontId="13" fillId="0" borderId="1" xfId="0" applyFont="1" applyBorder="1" applyAlignment="1">
      <alignment horizontal="left" vertical="center"/>
    </xf>
    <xf numFmtId="0" fontId="13" fillId="0" borderId="0" xfId="0" applyFont="1" applyAlignment="1">
      <alignment horizontal="center"/>
    </xf>
    <xf numFmtId="0" fontId="6" fillId="0" borderId="17" xfId="0" applyFont="1" applyBorder="1" applyAlignment="1">
      <alignment horizontal="right"/>
    </xf>
    <xf numFmtId="0" fontId="14" fillId="0" borderId="0" xfId="0" applyFont="1" applyBorder="1" applyAlignment="1">
      <alignment horizontal="left" wrapText="1"/>
    </xf>
    <xf numFmtId="164" fontId="5" fillId="0" borderId="1" xfId="2" applyNumberFormat="1" applyFont="1" applyBorder="1" applyAlignment="1">
      <alignment horizontal="center" vertical="center" wrapText="1"/>
    </xf>
    <xf numFmtId="164" fontId="4" fillId="0" borderId="1" xfId="2" applyNumberFormat="1" applyFont="1" applyBorder="1" applyAlignment="1">
      <alignment horizontal="center" vertical="center" wrapText="1"/>
    </xf>
    <xf numFmtId="164" fontId="5" fillId="0" borderId="2" xfId="2" applyNumberFormat="1" applyFont="1" applyBorder="1" applyAlignment="1">
      <alignment horizontal="center" vertical="center"/>
    </xf>
    <xf numFmtId="164" fontId="5" fillId="0" borderId="3" xfId="2" applyNumberFormat="1" applyFont="1" applyBorder="1" applyAlignment="1">
      <alignment horizontal="center" vertical="center"/>
    </xf>
    <xf numFmtId="164" fontId="4" fillId="0" borderId="2" xfId="2" applyNumberFormat="1" applyFont="1" applyBorder="1" applyAlignment="1">
      <alignment horizontal="center" vertical="center"/>
    </xf>
    <xf numFmtId="164" fontId="4" fillId="0" borderId="3" xfId="2" applyNumberFormat="1" applyFont="1" applyBorder="1" applyAlignment="1">
      <alignment horizontal="center" vertical="center"/>
    </xf>
    <xf numFmtId="164" fontId="5" fillId="0" borderId="1" xfId="2" applyNumberFormat="1" applyFont="1" applyBorder="1" applyAlignment="1">
      <alignment horizontal="center" vertical="center"/>
    </xf>
    <xf numFmtId="3" fontId="5" fillId="0" borderId="2" xfId="1" applyNumberFormat="1" applyFont="1" applyBorder="1" applyAlignment="1">
      <alignment horizontal="center" vertical="center"/>
    </xf>
    <xf numFmtId="3" fontId="5" fillId="0" borderId="3" xfId="1" applyNumberFormat="1" applyFont="1" applyBorder="1" applyAlignment="1">
      <alignment horizontal="center" vertical="center"/>
    </xf>
    <xf numFmtId="3" fontId="4" fillId="0" borderId="2" xfId="1" applyNumberFormat="1" applyFont="1" applyBorder="1" applyAlignment="1">
      <alignment horizontal="center" vertical="center"/>
    </xf>
    <xf numFmtId="3" fontId="4" fillId="0" borderId="3" xfId="1" applyNumberFormat="1" applyFont="1" applyBorder="1" applyAlignment="1">
      <alignment horizontal="center" vertical="center"/>
    </xf>
    <xf numFmtId="0" fontId="61" fillId="0" borderId="2" xfId="0" applyFont="1" applyBorder="1" applyAlignment="1">
      <alignment horizontal="center" vertical="center" wrapText="1"/>
    </xf>
    <xf numFmtId="0" fontId="61" fillId="0" borderId="3" xfId="0" applyFont="1" applyBorder="1" applyAlignment="1">
      <alignment horizontal="center" vertical="center" wrapText="1"/>
    </xf>
    <xf numFmtId="0" fontId="14" fillId="0" borderId="17" xfId="0" applyFont="1" applyBorder="1" applyAlignment="1">
      <alignment horizontal="center"/>
    </xf>
    <xf numFmtId="169" fontId="4" fillId="0" borderId="1" xfId="7" applyNumberFormat="1" applyFont="1" applyBorder="1" applyAlignment="1">
      <alignment horizontal="center" vertical="center" wrapText="1"/>
    </xf>
    <xf numFmtId="0" fontId="13" fillId="0" borderId="4" xfId="0" applyFont="1" applyBorder="1" applyAlignment="1">
      <alignment horizontal="center" vertical="center"/>
    </xf>
    <xf numFmtId="0" fontId="13" fillId="0" borderId="13" xfId="0" applyFont="1" applyBorder="1" applyAlignment="1">
      <alignment horizontal="center" vertical="center"/>
    </xf>
    <xf numFmtId="0" fontId="13" fillId="0" borderId="5" xfId="0" applyFont="1" applyBorder="1" applyAlignment="1">
      <alignment horizontal="center" vertical="center"/>
    </xf>
    <xf numFmtId="0" fontId="14" fillId="0" borderId="0" xfId="0" applyFont="1" applyBorder="1" applyAlignment="1">
      <alignment horizontal="center" vertical="center"/>
    </xf>
    <xf numFmtId="0" fontId="70" fillId="0" borderId="2" xfId="0" applyFont="1" applyBorder="1" applyAlignment="1">
      <alignment horizontal="center" vertical="center" wrapText="1"/>
    </xf>
    <xf numFmtId="0" fontId="70" fillId="0" borderId="3" xfId="0" applyFont="1" applyBorder="1" applyAlignment="1">
      <alignment horizontal="center" vertical="center" wrapText="1"/>
    </xf>
    <xf numFmtId="0" fontId="5" fillId="0" borderId="1" xfId="133" applyFont="1" applyBorder="1" applyAlignment="1">
      <alignment horizontal="center" vertical="center"/>
    </xf>
    <xf numFmtId="164" fontId="4" fillId="0" borderId="0" xfId="134" applyNumberFormat="1" applyFont="1" applyBorder="1" applyAlignment="1"/>
    <xf numFmtId="3" fontId="4" fillId="0" borderId="0" xfId="133" applyNumberFormat="1" applyFont="1" applyAlignment="1"/>
    <xf numFmtId="3" fontId="4" fillId="0" borderId="0" xfId="133" applyNumberFormat="1" applyFont="1" applyAlignment="1">
      <alignment horizontal="center"/>
    </xf>
    <xf numFmtId="0" fontId="6" fillId="0" borderId="5" xfId="1" applyFont="1" applyBorder="1" applyAlignment="1">
      <alignment horizontal="left" vertical="top" wrapText="1"/>
    </xf>
    <xf numFmtId="0" fontId="4"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169" fontId="13" fillId="0" borderId="1" xfId="0" applyNumberFormat="1" applyFont="1" applyBorder="1" applyAlignment="1">
      <alignment horizontal="right" vertical="center"/>
    </xf>
    <xf numFmtId="0" fontId="13" fillId="0" borderId="1" xfId="0" applyFont="1" applyBorder="1" applyAlignment="1">
      <alignment horizontal="right" vertical="center"/>
    </xf>
    <xf numFmtId="0" fontId="13" fillId="0" borderId="1" xfId="0" applyFont="1" applyBorder="1" applyAlignment="1">
      <alignment vertical="center"/>
    </xf>
    <xf numFmtId="169" fontId="13" fillId="0" borderId="10" xfId="7" applyNumberFormat="1" applyFont="1" applyBorder="1" applyAlignment="1">
      <alignment horizontal="right" vertical="center"/>
    </xf>
    <xf numFmtId="169" fontId="13" fillId="0" borderId="14" xfId="7" applyNumberFormat="1" applyFont="1" applyBorder="1" applyAlignment="1">
      <alignment horizontal="right" vertical="center"/>
    </xf>
    <xf numFmtId="169" fontId="13" fillId="0" borderId="11" xfId="7" applyNumberFormat="1" applyFont="1" applyBorder="1" applyAlignment="1">
      <alignment horizontal="right" vertical="center"/>
    </xf>
    <xf numFmtId="169" fontId="13" fillId="0" borderId="15" xfId="7" applyNumberFormat="1" applyFont="1" applyBorder="1" applyAlignment="1">
      <alignment horizontal="right" vertical="center"/>
    </xf>
    <xf numFmtId="169" fontId="13" fillId="0" borderId="17" xfId="7" applyNumberFormat="1" applyFont="1" applyBorder="1" applyAlignment="1">
      <alignment horizontal="right" vertical="center"/>
    </xf>
    <xf numFmtId="169" fontId="13" fillId="0" borderId="16" xfId="7" applyNumberFormat="1" applyFont="1" applyBorder="1" applyAlignment="1">
      <alignment horizontal="right" vertical="center"/>
    </xf>
    <xf numFmtId="169" fontId="13" fillId="0" borderId="1" xfId="7" applyNumberFormat="1" applyFont="1" applyBorder="1" applyAlignment="1">
      <alignment horizontal="right" vertical="center"/>
    </xf>
    <xf numFmtId="0" fontId="4" fillId="0" borderId="0" xfId="0" quotePrefix="1" applyFont="1" applyAlignment="1">
      <alignment horizontal="center" vertical="top" wrapText="1"/>
    </xf>
    <xf numFmtId="0" fontId="4" fillId="0" borderId="0" xfId="0" quotePrefix="1" applyFont="1" applyAlignment="1">
      <alignment horizontal="left" vertical="top" wrapText="1"/>
    </xf>
    <xf numFmtId="0" fontId="14" fillId="0" borderId="0" xfId="0" applyFont="1" applyAlignment="1">
      <alignment horizontal="center"/>
    </xf>
    <xf numFmtId="164" fontId="5" fillId="0" borderId="0" xfId="0" applyNumberFormat="1" applyFont="1" applyBorder="1" applyAlignment="1">
      <alignment horizontal="center"/>
    </xf>
    <xf numFmtId="0" fontId="4" fillId="0" borderId="0" xfId="0" applyFont="1" applyAlignment="1">
      <alignment horizontal="right"/>
    </xf>
    <xf numFmtId="0" fontId="13" fillId="0" borderId="1" xfId="0" applyFont="1" applyBorder="1" applyAlignment="1">
      <alignment horizontal="center" vertical="center" wrapText="1"/>
    </xf>
    <xf numFmtId="0" fontId="13" fillId="0" borderId="4" xfId="20" applyFont="1" applyBorder="1" applyAlignment="1">
      <alignment horizontal="center" vertical="center" wrapText="1"/>
    </xf>
    <xf numFmtId="0" fontId="13" fillId="0" borderId="13" xfId="20" applyFont="1" applyBorder="1" applyAlignment="1">
      <alignment horizontal="center" vertical="center" wrapText="1"/>
    </xf>
    <xf numFmtId="0" fontId="13" fillId="0" borderId="5" xfId="20" applyFont="1" applyBorder="1" applyAlignment="1">
      <alignment horizontal="center" vertical="center" wrapText="1"/>
    </xf>
    <xf numFmtId="3" fontId="13" fillId="0" borderId="1" xfId="20" applyNumberFormat="1" applyFont="1" applyBorder="1" applyAlignment="1">
      <alignment horizontal="center" vertical="center" wrapText="1"/>
    </xf>
    <xf numFmtId="0" fontId="14" fillId="0" borderId="17" xfId="20" applyNumberFormat="1" applyFont="1" applyBorder="1" applyAlignment="1">
      <alignment horizontal="center"/>
    </xf>
    <xf numFmtId="165" fontId="4" fillId="0" borderId="50" xfId="62" applyNumberFormat="1" applyFont="1" applyBorder="1" applyAlignment="1">
      <alignment horizontal="right" vertical="top"/>
    </xf>
    <xf numFmtId="0" fontId="4" fillId="0" borderId="1" xfId="62" applyFont="1" applyBorder="1" applyAlignment="1">
      <alignment horizontal="right"/>
    </xf>
    <xf numFmtId="0" fontId="44" fillId="0" borderId="1" xfId="62" applyFont="1" applyFill="1" applyBorder="1" applyAlignment="1">
      <alignment horizontal="center" vertical="center"/>
    </xf>
    <xf numFmtId="164" fontId="4" fillId="0" borderId="51" xfId="30" applyNumberFormat="1" applyFont="1" applyBorder="1" applyAlignment="1">
      <alignment horizontal="center"/>
    </xf>
    <xf numFmtId="0" fontId="4" fillId="0" borderId="28" xfId="62" applyFont="1" applyBorder="1" applyAlignment="1">
      <alignment horizontal="right"/>
    </xf>
    <xf numFmtId="0" fontId="5" fillId="0" borderId="0" xfId="62" applyFont="1" applyAlignment="1">
      <alignment horizontal="center"/>
    </xf>
    <xf numFmtId="0" fontId="7" fillId="0" borderId="0" xfId="62" applyFont="1" applyAlignment="1">
      <alignment horizontal="center"/>
    </xf>
    <xf numFmtId="0" fontId="5" fillId="0" borderId="17" xfId="62" applyFont="1" applyBorder="1" applyAlignment="1">
      <alignment horizontal="center"/>
    </xf>
    <xf numFmtId="0" fontId="5" fillId="0" borderId="2" xfId="62" applyFont="1" applyFill="1" applyBorder="1" applyAlignment="1">
      <alignment horizontal="center" vertical="center" wrapText="1"/>
    </xf>
    <xf numFmtId="0" fontId="5" fillId="0" borderId="18" xfId="62" applyFont="1" applyFill="1" applyBorder="1" applyAlignment="1">
      <alignment horizontal="center" vertical="center" wrapText="1"/>
    </xf>
    <xf numFmtId="0" fontId="5" fillId="0" borderId="3" xfId="62" applyFont="1" applyFill="1" applyBorder="1" applyAlignment="1">
      <alignment horizontal="center" vertical="center" wrapText="1"/>
    </xf>
    <xf numFmtId="164" fontId="5" fillId="0" borderId="1" xfId="30" applyNumberFormat="1" applyFont="1" applyFill="1" applyBorder="1" applyAlignment="1">
      <alignment horizontal="center" vertical="center" wrapText="1"/>
    </xf>
    <xf numFmtId="0" fontId="5" fillId="0" borderId="4" xfId="62" applyFont="1" applyFill="1" applyBorder="1" applyAlignment="1">
      <alignment horizontal="center" vertical="center" wrapText="1"/>
    </xf>
    <xf numFmtId="0" fontId="5" fillId="0" borderId="13" xfId="62" applyFont="1" applyFill="1" applyBorder="1" applyAlignment="1">
      <alignment horizontal="center" vertical="center" wrapText="1"/>
    </xf>
    <xf numFmtId="0" fontId="5" fillId="0" borderId="10" xfId="62" applyFont="1" applyFill="1" applyBorder="1" applyAlignment="1">
      <alignment horizontal="center" vertical="center" wrapText="1"/>
    </xf>
    <xf numFmtId="0" fontId="5" fillId="0" borderId="11" xfId="62" applyFont="1" applyFill="1" applyBorder="1" applyAlignment="1">
      <alignment horizontal="center" vertical="center" wrapText="1"/>
    </xf>
    <xf numFmtId="0" fontId="5" fillId="0" borderId="15" xfId="62" applyFont="1" applyFill="1" applyBorder="1" applyAlignment="1">
      <alignment horizontal="center" vertical="center" wrapText="1"/>
    </xf>
    <xf numFmtId="0" fontId="5" fillId="0" borderId="16" xfId="62" applyFont="1" applyFill="1" applyBorder="1" applyAlignment="1">
      <alignment horizontal="center" vertical="center" wrapText="1"/>
    </xf>
    <xf numFmtId="0" fontId="44" fillId="8" borderId="12" xfId="62" applyFont="1" applyFill="1" applyBorder="1" applyAlignment="1">
      <alignment horizontal="left" vertical="center"/>
    </xf>
    <xf numFmtId="0" fontId="44" fillId="8" borderId="0" xfId="62" applyFont="1" applyFill="1" applyBorder="1" applyAlignment="1">
      <alignment horizontal="left" vertical="center"/>
    </xf>
    <xf numFmtId="0" fontId="4" fillId="0" borderId="94"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95" xfId="0" applyFont="1" applyBorder="1" applyAlignment="1">
      <alignment horizontal="center" vertical="center" wrapText="1"/>
    </xf>
    <xf numFmtId="0" fontId="5" fillId="0" borderId="5" xfId="62" applyFont="1" applyFill="1" applyBorder="1" applyAlignment="1">
      <alignment horizontal="center" vertical="center" wrapText="1"/>
    </xf>
    <xf numFmtId="0" fontId="5" fillId="0" borderId="1" xfId="62" applyFont="1" applyBorder="1" applyAlignment="1">
      <alignment horizontal="center"/>
    </xf>
    <xf numFmtId="0" fontId="4" fillId="0" borderId="1" xfId="62" applyFont="1" applyBorder="1" applyAlignment="1">
      <alignment horizontal="center"/>
    </xf>
    <xf numFmtId="3" fontId="5" fillId="0" borderId="4" xfId="66" applyNumberFormat="1" applyFont="1" applyBorder="1" applyAlignment="1">
      <alignment horizontal="center"/>
    </xf>
    <xf numFmtId="3" fontId="5" fillId="0" borderId="13" xfId="66" applyNumberFormat="1" applyFont="1" applyBorder="1" applyAlignment="1">
      <alignment horizontal="center"/>
    </xf>
    <xf numFmtId="3" fontId="6" fillId="0" borderId="0" xfId="66" applyNumberFormat="1" applyFont="1" applyBorder="1" applyAlignment="1">
      <alignment horizontal="left"/>
    </xf>
    <xf numFmtId="0" fontId="6" fillId="0" borderId="4" xfId="0" applyFont="1" applyBorder="1" applyAlignment="1">
      <alignment horizontal="center"/>
    </xf>
    <xf numFmtId="0" fontId="6" fillId="0" borderId="5" xfId="0" applyFont="1" applyBorder="1" applyAlignment="1">
      <alignment horizontal="center"/>
    </xf>
    <xf numFmtId="0" fontId="5" fillId="0" borderId="59" xfId="62" applyFont="1" applyBorder="1" applyAlignment="1">
      <alignment horizontal="center"/>
    </xf>
    <xf numFmtId="0" fontId="5" fillId="0" borderId="43" xfId="62" applyFont="1" applyBorder="1" applyAlignment="1">
      <alignment horizontal="center"/>
    </xf>
    <xf numFmtId="0" fontId="5" fillId="0" borderId="61" xfId="62" applyFont="1" applyBorder="1" applyAlignment="1">
      <alignment horizontal="center"/>
    </xf>
    <xf numFmtId="0" fontId="5" fillId="0" borderId="60" xfId="62" applyFont="1" applyBorder="1" applyAlignment="1">
      <alignment horizontal="center"/>
    </xf>
    <xf numFmtId="0" fontId="5" fillId="0" borderId="58" xfId="62" applyFont="1" applyBorder="1" applyAlignment="1">
      <alignment horizontal="center"/>
    </xf>
    <xf numFmtId="0" fontId="5" fillId="0" borderId="15" xfId="62" applyFont="1" applyBorder="1" applyAlignment="1">
      <alignment horizontal="center"/>
    </xf>
    <xf numFmtId="0" fontId="5" fillId="0" borderId="16" xfId="62" applyFont="1" applyBorder="1" applyAlignment="1">
      <alignment horizontal="center"/>
    </xf>
    <xf numFmtId="0" fontId="5" fillId="0" borderId="4" xfId="62" applyFont="1" applyBorder="1" applyAlignment="1">
      <alignment horizontal="center"/>
    </xf>
    <xf numFmtId="0" fontId="5" fillId="0" borderId="5" xfId="62" applyFont="1" applyBorder="1" applyAlignment="1">
      <alignment horizontal="center"/>
    </xf>
    <xf numFmtId="0" fontId="5" fillId="0" borderId="13" xfId="62" applyFont="1" applyBorder="1" applyAlignment="1">
      <alignment horizontal="center"/>
    </xf>
    <xf numFmtId="0" fontId="5" fillId="0" borderId="0" xfId="62" applyFont="1" applyBorder="1" applyAlignment="1">
      <alignment horizontal="center" wrapText="1"/>
    </xf>
    <xf numFmtId="0" fontId="5" fillId="0" borderId="56" xfId="62" applyFont="1" applyBorder="1" applyAlignment="1">
      <alignment horizontal="center"/>
    </xf>
    <xf numFmtId="0" fontId="5" fillId="0" borderId="43" xfId="67" applyFont="1" applyBorder="1" applyAlignment="1">
      <alignment horizontal="center"/>
    </xf>
    <xf numFmtId="0" fontId="5" fillId="0" borderId="42" xfId="67" applyFont="1" applyBorder="1" applyAlignment="1">
      <alignment horizontal="center"/>
    </xf>
    <xf numFmtId="193" fontId="5" fillId="0" borderId="0" xfId="67" applyNumberFormat="1" applyFont="1" applyAlignment="1">
      <alignment horizontal="center"/>
    </xf>
    <xf numFmtId="3" fontId="5" fillId="0" borderId="46" xfId="67" applyNumberFormat="1" applyFont="1" applyBorder="1" applyAlignment="1">
      <alignment horizontal="center" vertical="center" wrapText="1"/>
    </xf>
    <xf numFmtId="3" fontId="5" fillId="0" borderId="73" xfId="67" applyNumberFormat="1" applyFont="1" applyBorder="1" applyAlignment="1">
      <alignment horizontal="center" vertical="center" wrapText="1"/>
    </xf>
    <xf numFmtId="3" fontId="5" fillId="0" borderId="41" xfId="67" applyNumberFormat="1" applyFont="1" applyBorder="1" applyAlignment="1">
      <alignment horizontal="center" vertical="center" wrapText="1"/>
    </xf>
    <xf numFmtId="3" fontId="5" fillId="0" borderId="44" xfId="67" applyNumberFormat="1" applyFont="1" applyBorder="1" applyAlignment="1">
      <alignment horizontal="center" vertical="center" wrapText="1"/>
    </xf>
    <xf numFmtId="3" fontId="5" fillId="0" borderId="18" xfId="67" applyNumberFormat="1" applyFont="1" applyBorder="1" applyAlignment="1">
      <alignment horizontal="center" vertical="center" wrapText="1"/>
    </xf>
    <xf numFmtId="3" fontId="5" fillId="0" borderId="3" xfId="67" applyNumberFormat="1" applyFont="1" applyBorder="1" applyAlignment="1">
      <alignment horizontal="center" vertical="center" wrapText="1"/>
    </xf>
    <xf numFmtId="193" fontId="5" fillId="0" borderId="44" xfId="67" applyNumberFormat="1" applyFont="1" applyBorder="1" applyAlignment="1">
      <alignment horizontal="center" vertical="center" wrapText="1"/>
    </xf>
    <xf numFmtId="193" fontId="5" fillId="0" borderId="18" xfId="67" applyNumberFormat="1" applyFont="1" applyBorder="1" applyAlignment="1">
      <alignment horizontal="center" vertical="center" wrapText="1"/>
    </xf>
    <xf numFmtId="193" fontId="5" fillId="0" borderId="3" xfId="67" applyNumberFormat="1" applyFont="1" applyBorder="1" applyAlignment="1">
      <alignment horizontal="center" vertical="center" wrapText="1"/>
    </xf>
    <xf numFmtId="3" fontId="5" fillId="0" borderId="45" xfId="67" applyNumberFormat="1" applyFont="1" applyBorder="1" applyAlignment="1">
      <alignment horizontal="center" vertical="center" wrapText="1"/>
    </xf>
    <xf numFmtId="3" fontId="5" fillId="0" borderId="58" xfId="67" applyNumberFormat="1" applyFont="1" applyBorder="1" applyAlignment="1">
      <alignment horizontal="center" vertical="center" wrapText="1"/>
    </xf>
    <xf numFmtId="3" fontId="5" fillId="0" borderId="15" xfId="67" applyNumberFormat="1" applyFont="1" applyBorder="1" applyAlignment="1">
      <alignment horizontal="center" vertical="center" wrapText="1"/>
    </xf>
    <xf numFmtId="3" fontId="5" fillId="0" borderId="72" xfId="67" applyNumberFormat="1" applyFont="1" applyBorder="1" applyAlignment="1">
      <alignment horizontal="center" vertical="center" wrapText="1"/>
    </xf>
    <xf numFmtId="0" fontId="5" fillId="0" borderId="44" xfId="62" applyFont="1" applyBorder="1" applyAlignment="1">
      <alignment horizontal="center" vertical="center" wrapText="1"/>
    </xf>
    <xf numFmtId="0" fontId="5" fillId="0" borderId="18" xfId="62" applyFont="1" applyBorder="1" applyAlignment="1">
      <alignment horizontal="center" vertical="center" wrapText="1"/>
    </xf>
    <xf numFmtId="0" fontId="5" fillId="0" borderId="3" xfId="62" applyFont="1" applyBorder="1" applyAlignment="1">
      <alignment horizontal="center" vertical="center" wrapText="1"/>
    </xf>
    <xf numFmtId="164" fontId="5" fillId="0" borderId="44" xfId="30" applyNumberFormat="1" applyFont="1" applyBorder="1" applyAlignment="1">
      <alignment horizontal="center" vertical="center" wrapText="1"/>
    </xf>
    <xf numFmtId="164" fontId="5" fillId="0" borderId="18" xfId="30" applyNumberFormat="1" applyFont="1" applyBorder="1" applyAlignment="1">
      <alignment horizontal="center" vertical="center" wrapText="1"/>
    </xf>
    <xf numFmtId="164" fontId="5" fillId="0" borderId="3" xfId="30" applyNumberFormat="1" applyFont="1" applyBorder="1" applyAlignment="1">
      <alignment horizontal="center" vertical="center" wrapText="1"/>
    </xf>
    <xf numFmtId="0" fontId="5" fillId="0" borderId="62" xfId="62" applyFont="1" applyBorder="1" applyAlignment="1">
      <alignment horizontal="center" vertical="center"/>
    </xf>
    <xf numFmtId="0" fontId="5" fillId="0" borderId="39" xfId="62" applyFont="1" applyBorder="1" applyAlignment="1">
      <alignment horizontal="center" vertical="center"/>
    </xf>
    <xf numFmtId="0" fontId="5" fillId="0" borderId="40" xfId="62" applyFont="1" applyBorder="1" applyAlignment="1">
      <alignment horizontal="center" vertical="center"/>
    </xf>
    <xf numFmtId="212" fontId="5" fillId="0" borderId="0" xfId="110" applyNumberFormat="1" applyFont="1" applyAlignment="1">
      <alignment horizontal="center" vertical="center"/>
    </xf>
    <xf numFmtId="198" fontId="5" fillId="0" borderId="0" xfId="111" applyNumberFormat="1" applyFont="1" applyAlignment="1">
      <alignment horizontal="center" vertical="center"/>
    </xf>
    <xf numFmtId="213" fontId="4" fillId="0" borderId="0" xfId="110" applyNumberFormat="1" applyFont="1" applyAlignment="1">
      <alignment horizontal="center" vertical="center"/>
    </xf>
    <xf numFmtId="0" fontId="4" fillId="0" borderId="0" xfId="110" quotePrefix="1" applyFont="1" applyAlignment="1">
      <alignment horizontal="center" vertical="center"/>
    </xf>
    <xf numFmtId="214" fontId="4" fillId="0" borderId="0" xfId="110" applyNumberFormat="1" applyFont="1" applyAlignment="1">
      <alignment horizontal="center"/>
    </xf>
    <xf numFmtId="216" fontId="4" fillId="0" borderId="0" xfId="111" applyNumberFormat="1" applyFont="1" applyAlignment="1">
      <alignment horizontal="center" vertical="center"/>
    </xf>
    <xf numFmtId="0" fontId="5" fillId="0" borderId="0" xfId="110" applyFont="1" applyAlignment="1">
      <alignment horizontal="center"/>
    </xf>
    <xf numFmtId="0" fontId="4" fillId="0" borderId="0" xfId="110" applyFont="1" applyAlignment="1">
      <alignment horizontal="left"/>
    </xf>
    <xf numFmtId="0" fontId="5" fillId="0" borderId="0" xfId="110" quotePrefix="1" applyFont="1" applyAlignment="1">
      <alignment horizontal="left" vertical="center"/>
    </xf>
    <xf numFmtId="0" fontId="5" fillId="0" borderId="0" xfId="110" applyFont="1" applyAlignment="1">
      <alignment horizontal="left" vertical="center"/>
    </xf>
    <xf numFmtId="0" fontId="5" fillId="0" borderId="46" xfId="67" applyFont="1" applyBorder="1" applyAlignment="1">
      <alignment horizontal="center" vertical="center" wrapText="1"/>
    </xf>
    <xf numFmtId="0" fontId="5" fillId="0" borderId="73" xfId="67" applyFont="1" applyBorder="1" applyAlignment="1">
      <alignment horizontal="center" vertical="center" wrapText="1"/>
    </xf>
    <xf numFmtId="0" fontId="5" fillId="0" borderId="41" xfId="67" applyFont="1" applyBorder="1" applyAlignment="1">
      <alignment horizontal="center" vertical="center" wrapText="1"/>
    </xf>
    <xf numFmtId="0" fontId="5" fillId="0" borderId="44" xfId="67" applyFont="1" applyBorder="1" applyAlignment="1">
      <alignment horizontal="center" vertical="center" wrapText="1"/>
    </xf>
    <xf numFmtId="0" fontId="5" fillId="0" borderId="18" xfId="67" applyFont="1" applyBorder="1" applyAlignment="1">
      <alignment horizontal="center" vertical="center" wrapText="1"/>
    </xf>
    <xf numFmtId="0" fontId="5" fillId="0" borderId="3" xfId="67" applyFont="1" applyBorder="1" applyAlignment="1">
      <alignment horizontal="center" vertical="center" wrapText="1"/>
    </xf>
    <xf numFmtId="3" fontId="5" fillId="0" borderId="45" xfId="67" applyNumberFormat="1" applyFont="1" applyBorder="1" applyAlignment="1">
      <alignment horizontal="center" vertical="center"/>
    </xf>
    <xf numFmtId="3" fontId="5" fillId="0" borderId="58" xfId="67" applyNumberFormat="1" applyFont="1" applyBorder="1" applyAlignment="1">
      <alignment horizontal="center" vertical="center"/>
    </xf>
    <xf numFmtId="3" fontId="5" fillId="0" borderId="15" xfId="67" applyNumberFormat="1" applyFont="1" applyBorder="1" applyAlignment="1">
      <alignment horizontal="center" vertical="center"/>
    </xf>
    <xf numFmtId="3" fontId="5" fillId="0" borderId="72" xfId="67" applyNumberFormat="1" applyFont="1" applyBorder="1" applyAlignment="1">
      <alignment horizontal="center" vertical="center"/>
    </xf>
    <xf numFmtId="0" fontId="14" fillId="0" borderId="4" xfId="0" applyFont="1" applyBorder="1" applyAlignment="1">
      <alignment horizontal="center" wrapText="1"/>
    </xf>
    <xf numFmtId="0" fontId="14" fillId="0" borderId="13" xfId="0" applyFont="1" applyBorder="1" applyAlignment="1">
      <alignment horizontal="center" wrapText="1"/>
    </xf>
    <xf numFmtId="0" fontId="14" fillId="0" borderId="5" xfId="0" applyFont="1" applyBorder="1" applyAlignment="1">
      <alignment horizontal="center" wrapText="1"/>
    </xf>
  </cellXfs>
  <cellStyles count="140">
    <cellStyle name="??" xfId="13"/>
    <cellStyle name="?? [0.00]_PRODUCT DETAIL Q1" xfId="14"/>
    <cellStyle name="?? [0]" xfId="15"/>
    <cellStyle name="???? [0.00]_PRODUCT DETAIL Q1" xfId="16"/>
    <cellStyle name="????_PRODUCT DETAIL Q1" xfId="17"/>
    <cellStyle name="???_HOBONG" xfId="18"/>
    <cellStyle name="??_(????)??????" xfId="19"/>
    <cellStyle name="AeE­ [0]_INQUIRY ¿µ¾÷AßAø " xfId="114"/>
    <cellStyle name="AeE­_INQUIRY ¿µ¾÷AßAø " xfId="115"/>
    <cellStyle name="AÞ¸¶ [0]_INQUIRY ¿?¾÷AßAø " xfId="116"/>
    <cellStyle name="AÞ¸¶_INQUIRY ¿?¾÷AßAø " xfId="117"/>
    <cellStyle name="Bình thường 2" xfId="20"/>
    <cellStyle name="Bình thường 2 2" xfId="21"/>
    <cellStyle name="Bình thường 2 3" xfId="22"/>
    <cellStyle name="Bình thường 2 4" xfId="23"/>
    <cellStyle name="C?AØ_¿?¾÷CoE² " xfId="118"/>
    <cellStyle name="Comma" xfId="4" builtinId="3"/>
    <cellStyle name="Comma [0] 2" xfId="24"/>
    <cellStyle name="Comma [0] 2 2" xfId="25"/>
    <cellStyle name="Comma 10" xfId="26"/>
    <cellStyle name="Comma 2" xfId="2"/>
    <cellStyle name="Comma 2 2" xfId="27"/>
    <cellStyle name="Comma 2 2 2" xfId="132"/>
    <cellStyle name="Comma 2 3" xfId="28"/>
    <cellStyle name="Comma 2 4" xfId="12"/>
    <cellStyle name="Comma 2 5" xfId="113"/>
    <cellStyle name="Comma 3" xfId="7"/>
    <cellStyle name="Comma 3 2" xfId="29"/>
    <cellStyle name="Comma 3 2 2" xfId="30"/>
    <cellStyle name="Comma 3 3" xfId="31"/>
    <cellStyle name="Comma 3 4" xfId="32"/>
    <cellStyle name="Comma 3 4 2" xfId="33"/>
    <cellStyle name="Comma 3 5" xfId="105"/>
    <cellStyle name="Comma 4" xfId="8"/>
    <cellStyle name="Comma 4 2" xfId="34"/>
    <cellStyle name="Comma 4 3" xfId="35"/>
    <cellStyle name="Comma 4 4" xfId="36"/>
    <cellStyle name="Comma 4 5" xfId="107"/>
    <cellStyle name="Comma 4 6" xfId="134"/>
    <cellStyle name="Comma 5" xfId="37"/>
    <cellStyle name="Comma 5 2" xfId="137"/>
    <cellStyle name="Comma 6" xfId="38"/>
    <cellStyle name="Comma 6 2" xfId="138"/>
    <cellStyle name="Comma 7" xfId="39"/>
    <cellStyle name="Comma 7 2" xfId="111"/>
    <cellStyle name="Comma 8" xfId="40"/>
    <cellStyle name="Comma 9" xfId="41"/>
    <cellStyle name="Comma0" xfId="42"/>
    <cellStyle name="Currency0" xfId="43"/>
    <cellStyle name="Date" xfId="44"/>
    <cellStyle name="Dấu phảy 3" xfId="45"/>
    <cellStyle name="Dấu phảy 3 2" xfId="46"/>
    <cellStyle name="Dấu phảy 3 3" xfId="47"/>
    <cellStyle name="Dấu_phảy 2" xfId="48"/>
    <cellStyle name="Dấu_phảy 2 2" xfId="108"/>
    <cellStyle name="Fixed" xfId="49"/>
    <cellStyle name="Header1" xfId="50"/>
    <cellStyle name="Header2" xfId="51"/>
    <cellStyle name="Heading 1 2" xfId="119"/>
    <cellStyle name="Heading 2 2" xfId="120"/>
    <cellStyle name="Hoa-Scholl" xfId="52"/>
    <cellStyle name="Millares [0]_Well Timing" xfId="53"/>
    <cellStyle name="Millares_Well Timing" xfId="54"/>
    <cellStyle name="Moneda [0]_Well Timing" xfId="55"/>
    <cellStyle name="Moneda_Well Timing" xfId="56"/>
    <cellStyle name="n" xfId="57"/>
    <cellStyle name="Normal" xfId="0" builtinId="0"/>
    <cellStyle name="Normal - Style1" xfId="121"/>
    <cellStyle name="Normal 2" xfId="1"/>
    <cellStyle name="Normal 2 2" xfId="58"/>
    <cellStyle name="Normal 2 3" xfId="59"/>
    <cellStyle name="Normal 2 4" xfId="60"/>
    <cellStyle name="Normal 2 5" xfId="10"/>
    <cellStyle name="Normal 2 6" xfId="104"/>
    <cellStyle name="Normal 2 7" xfId="112"/>
    <cellStyle name="Normal 27" xfId="122"/>
    <cellStyle name="Normal 3" xfId="6"/>
    <cellStyle name="Normal 3 2" xfId="61"/>
    <cellStyle name="Normal 3 2 2" xfId="62"/>
    <cellStyle name="Normal 3 3" xfId="63"/>
    <cellStyle name="Normal 3 4" xfId="64"/>
    <cellStyle name="Normal 3 4 2" xfId="65"/>
    <cellStyle name="Normal 3 5" xfId="133"/>
    <cellStyle name="Normal 4" xfId="66"/>
    <cellStyle name="Normal 4 2" xfId="67"/>
    <cellStyle name="Normal 4 3" xfId="136"/>
    <cellStyle name="Normal 5" xfId="68"/>
    <cellStyle name="Normal 5 2" xfId="69"/>
    <cellStyle name="Normal 5 3" xfId="110"/>
    <cellStyle name="Normal 6" xfId="70"/>
    <cellStyle name="Normal 7" xfId="71"/>
    <cellStyle name="Normal 7 2" xfId="139"/>
    <cellStyle name="Normal 8" xfId="123"/>
    <cellStyle name="Normal_Sheet1" xfId="124"/>
    <cellStyle name="Percent" xfId="5" builtinId="5"/>
    <cellStyle name="Percent 2" xfId="3"/>
    <cellStyle name="Percent 2 2" xfId="72"/>
    <cellStyle name="Percent 2 3" xfId="73"/>
    <cellStyle name="Percent 2 4" xfId="11"/>
    <cellStyle name="Percent 2 5" xfId="106"/>
    <cellStyle name="Percent 2 6" xfId="135"/>
    <cellStyle name="Percent 3" xfId="9"/>
    <cellStyle name="Percent 3 2" xfId="74"/>
    <cellStyle name="Percent 3 3" xfId="75"/>
    <cellStyle name="Percent 3 4" xfId="76"/>
    <cellStyle name="Percent 3 5" xfId="77"/>
    <cellStyle name="Percent 3 5 2" xfId="78"/>
    <cellStyle name="Percent 4" xfId="79"/>
    <cellStyle name="Percent 4 2" xfId="80"/>
    <cellStyle name="Percent 5" xfId="81"/>
    <cellStyle name="Percent 6" xfId="82"/>
    <cellStyle name="Phần_trăm 2" xfId="83"/>
    <cellStyle name="Phần_trăm 2 2" xfId="109"/>
    <cellStyle name="so" xfId="125"/>
    <cellStyle name="T" xfId="126"/>
    <cellStyle name="T_Book1" xfId="127"/>
    <cellStyle name="th" xfId="128"/>
    <cellStyle name="Total 2" xfId="129"/>
    <cellStyle name="viet" xfId="130"/>
    <cellStyle name="viet2" xfId="131"/>
    <cellStyle name=" [0.00]_ Att. 1- Cover" xfId="84"/>
    <cellStyle name="_ Att. 1- Cover" xfId="85"/>
    <cellStyle name="?_ Att. 1- Cover" xfId="86"/>
    <cellStyle name="똿뗦먛귟 [0.00]_PRODUCT DETAIL Q1" xfId="87"/>
    <cellStyle name="똿뗦먛귟_PRODUCT DETAIL Q1" xfId="88"/>
    <cellStyle name="믅됞 [0.00]_PRODUCT DETAIL Q1" xfId="89"/>
    <cellStyle name="믅됞_PRODUCT DETAIL Q1" xfId="90"/>
    <cellStyle name="백분율_95" xfId="91"/>
    <cellStyle name="뷭?_BOOKSHIP" xfId="92"/>
    <cellStyle name="콤마 [0]_1202" xfId="93"/>
    <cellStyle name="콤마_1202" xfId="94"/>
    <cellStyle name="통화 [0]_1202" xfId="95"/>
    <cellStyle name="통화_1202" xfId="96"/>
    <cellStyle name="표준_(정보부문)월별인원계획" xfId="97"/>
    <cellStyle name="一般_99Q3647-ALL-CAS2" xfId="98"/>
    <cellStyle name="千分位[0]_Book1" xfId="99"/>
    <cellStyle name="千分位_99Q3647-ALL-CAS2" xfId="100"/>
    <cellStyle name="貨幣 [0]_Book1" xfId="101"/>
    <cellStyle name="貨幣[0]_BRE" xfId="102"/>
    <cellStyle name="貨幣_Book1" xfId="103"/>
  </cellStyles>
  <dxfs count="0"/>
  <tableStyles count="0" defaultTableStyle="TableStyleMedium2" defaultPivotStyle="PivotStyleLight16"/>
  <colors>
    <mruColors>
      <color rgb="FF0000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9525</xdr:rowOff>
    </xdr:from>
    <xdr:to>
      <xdr:col>9</xdr:col>
      <xdr:colOff>351693</xdr:colOff>
      <xdr:row>3</xdr:row>
      <xdr:rowOff>47549</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9525"/>
          <a:ext cx="5857143" cy="6095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11</xdr:row>
          <xdr:rowOff>57150</xdr:rowOff>
        </xdr:from>
        <xdr:to>
          <xdr:col>7</xdr:col>
          <xdr:colOff>438150</xdr:colOff>
          <xdr:row>14</xdr:row>
          <xdr:rowOff>9525</xdr:rowOff>
        </xdr:to>
        <xdr:sp macro="" textlink="">
          <xdr:nvSpPr>
            <xdr:cNvPr id="1318" name="cmdMENU" hidden="1">
              <a:extLst>
                <a:ext uri="{63B3BB69-23CF-44E3-9099-C40C66FF867C}">
                  <a14:compatExt spid="_x0000_s1318"/>
                </a:ext>
              </a:extLst>
            </xdr:cNvPr>
            <xdr:cNvSpPr/>
          </xdr:nvSpPr>
          <xdr:spPr>
            <a:xfrm>
              <a:off x="0" y="0"/>
              <a:ext cx="0" cy="0"/>
            </a:xfrm>
            <a:prstGeom prst="rect">
              <a:avLst/>
            </a:prstGeom>
          </xdr:spPr>
        </xdr:sp>
        <xdr:clientData/>
      </xdr:twoCellAnchor>
    </mc:Choice>
    <mc:Fallback/>
  </mc:AlternateContent>
  <xdr:twoCellAnchor editAs="oneCell">
    <xdr:from>
      <xdr:col>5</xdr:col>
      <xdr:colOff>571501</xdr:colOff>
      <xdr:row>14</xdr:row>
      <xdr:rowOff>28575</xdr:rowOff>
    </xdr:from>
    <xdr:to>
      <xdr:col>7</xdr:col>
      <xdr:colOff>581027</xdr:colOff>
      <xdr:row>21</xdr:row>
      <xdr:rowOff>38101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38526" y="2705100"/>
          <a:ext cx="1343026" cy="13430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25400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25400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63500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63500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168275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193675</xdr:colOff>
      <xdr:row>0</xdr:row>
      <xdr:rowOff>0</xdr:rowOff>
    </xdr:from>
    <xdr:to>
      <xdr:col>1</xdr:col>
      <xdr:colOff>828675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279400</xdr:colOff>
      <xdr:row>0</xdr:row>
      <xdr:rowOff>0</xdr:rowOff>
    </xdr:from>
    <xdr:to>
      <xdr:col>1</xdr:col>
      <xdr:colOff>914400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25400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25400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377825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403225</xdr:colOff>
      <xdr:row>0</xdr:row>
      <xdr:rowOff>0</xdr:rowOff>
    </xdr:from>
    <xdr:to>
      <xdr:col>1</xdr:col>
      <xdr:colOff>1038225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320675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346075</xdr:colOff>
      <xdr:row>0</xdr:row>
      <xdr:rowOff>0</xdr:rowOff>
    </xdr:from>
    <xdr:to>
      <xdr:col>1</xdr:col>
      <xdr:colOff>981075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320675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346075</xdr:colOff>
      <xdr:row>0</xdr:row>
      <xdr:rowOff>0</xdr:rowOff>
    </xdr:from>
    <xdr:to>
      <xdr:col>1</xdr:col>
      <xdr:colOff>981075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1</xdr:row>
      <xdr:rowOff>42333</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311150</xdr:colOff>
      <xdr:row>0</xdr:row>
      <xdr:rowOff>0</xdr:rowOff>
    </xdr:from>
    <xdr:to>
      <xdr:col>1</xdr:col>
      <xdr:colOff>946150</xdr:colOff>
      <xdr:row>1</xdr:row>
      <xdr:rowOff>42333</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273050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298450</xdr:colOff>
      <xdr:row>0</xdr:row>
      <xdr:rowOff>0</xdr:rowOff>
    </xdr:from>
    <xdr:to>
      <xdr:col>1</xdr:col>
      <xdr:colOff>933450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184150</xdr:colOff>
      <xdr:row>0</xdr:row>
      <xdr:rowOff>0</xdr:rowOff>
    </xdr:from>
    <xdr:to>
      <xdr:col>1</xdr:col>
      <xdr:colOff>819150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184150</xdr:colOff>
      <xdr:row>0</xdr:row>
      <xdr:rowOff>0</xdr:rowOff>
    </xdr:from>
    <xdr:to>
      <xdr:col>1</xdr:col>
      <xdr:colOff>819150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187325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212725</xdr:colOff>
      <xdr:row>0</xdr:row>
      <xdr:rowOff>0</xdr:rowOff>
    </xdr:from>
    <xdr:to>
      <xdr:col>1</xdr:col>
      <xdr:colOff>847725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177800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203200</xdr:colOff>
      <xdr:row>0</xdr:row>
      <xdr:rowOff>0</xdr:rowOff>
    </xdr:from>
    <xdr:to>
      <xdr:col>1</xdr:col>
      <xdr:colOff>838200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2</xdr:col>
      <xdr:colOff>514350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184150</xdr:colOff>
      <xdr:row>0</xdr:row>
      <xdr:rowOff>0</xdr:rowOff>
    </xdr:from>
    <xdr:to>
      <xdr:col>1</xdr:col>
      <xdr:colOff>819150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187325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212725</xdr:colOff>
      <xdr:row>0</xdr:row>
      <xdr:rowOff>0</xdr:rowOff>
    </xdr:from>
    <xdr:to>
      <xdr:col>1</xdr:col>
      <xdr:colOff>847725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50800</xdr:colOff>
      <xdr:row>0</xdr:row>
      <xdr:rowOff>0</xdr:rowOff>
    </xdr:from>
    <xdr:to>
      <xdr:col>2</xdr:col>
      <xdr:colOff>76200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41275</xdr:colOff>
      <xdr:row>0</xdr:row>
      <xdr:rowOff>0</xdr:rowOff>
    </xdr:from>
    <xdr:to>
      <xdr:col>1</xdr:col>
      <xdr:colOff>676275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320675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346075</xdr:colOff>
      <xdr:row>0</xdr:row>
      <xdr:rowOff>0</xdr:rowOff>
    </xdr:from>
    <xdr:to>
      <xdr:col>2</xdr:col>
      <xdr:colOff>581025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311150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336550</xdr:colOff>
      <xdr:row>0</xdr:row>
      <xdr:rowOff>0</xdr:rowOff>
    </xdr:from>
    <xdr:to>
      <xdr:col>1</xdr:col>
      <xdr:colOff>971550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311150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336550</xdr:colOff>
      <xdr:row>0</xdr:row>
      <xdr:rowOff>0</xdr:rowOff>
    </xdr:from>
    <xdr:to>
      <xdr:col>1</xdr:col>
      <xdr:colOff>971550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368300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393700</xdr:colOff>
      <xdr:row>0</xdr:row>
      <xdr:rowOff>0</xdr:rowOff>
    </xdr:from>
    <xdr:to>
      <xdr:col>1</xdr:col>
      <xdr:colOff>1028700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330200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355600</xdr:colOff>
      <xdr:row>0</xdr:row>
      <xdr:rowOff>0</xdr:rowOff>
    </xdr:from>
    <xdr:to>
      <xdr:col>2</xdr:col>
      <xdr:colOff>390525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377825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403225</xdr:colOff>
      <xdr:row>0</xdr:row>
      <xdr:rowOff>0</xdr:rowOff>
    </xdr:from>
    <xdr:to>
      <xdr:col>1</xdr:col>
      <xdr:colOff>1038225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377825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403225</xdr:colOff>
      <xdr:row>0</xdr:row>
      <xdr:rowOff>0</xdr:rowOff>
    </xdr:from>
    <xdr:to>
      <xdr:col>1</xdr:col>
      <xdr:colOff>1038225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184150</xdr:colOff>
      <xdr:row>0</xdr:row>
      <xdr:rowOff>0</xdr:rowOff>
    </xdr:from>
    <xdr:to>
      <xdr:col>1</xdr:col>
      <xdr:colOff>819150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396875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422275</xdr:colOff>
      <xdr:row>0</xdr:row>
      <xdr:rowOff>0</xdr:rowOff>
    </xdr:from>
    <xdr:to>
      <xdr:col>1</xdr:col>
      <xdr:colOff>1057275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41275</xdr:colOff>
      <xdr:row>0</xdr:row>
      <xdr:rowOff>0</xdr:rowOff>
    </xdr:from>
    <xdr:to>
      <xdr:col>1</xdr:col>
      <xdr:colOff>676275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41275</xdr:colOff>
      <xdr:row>0</xdr:row>
      <xdr:rowOff>0</xdr:rowOff>
    </xdr:from>
    <xdr:to>
      <xdr:col>1</xdr:col>
      <xdr:colOff>676275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130175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155575</xdr:colOff>
      <xdr:row>0</xdr:row>
      <xdr:rowOff>0</xdr:rowOff>
    </xdr:from>
    <xdr:to>
      <xdr:col>1</xdr:col>
      <xdr:colOff>790575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184150</xdr:colOff>
      <xdr:row>0</xdr:row>
      <xdr:rowOff>0</xdr:rowOff>
    </xdr:from>
    <xdr:to>
      <xdr:col>1</xdr:col>
      <xdr:colOff>819150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50800</xdr:colOff>
      <xdr:row>0</xdr:row>
      <xdr:rowOff>0</xdr:rowOff>
    </xdr:from>
    <xdr:to>
      <xdr:col>1</xdr:col>
      <xdr:colOff>685800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139700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165100</xdr:colOff>
      <xdr:row>0</xdr:row>
      <xdr:rowOff>0</xdr:rowOff>
    </xdr:from>
    <xdr:to>
      <xdr:col>1</xdr:col>
      <xdr:colOff>800100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130175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155575</xdr:colOff>
      <xdr:row>0</xdr:row>
      <xdr:rowOff>0</xdr:rowOff>
    </xdr:from>
    <xdr:to>
      <xdr:col>1</xdr:col>
      <xdr:colOff>790575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320675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346075</xdr:colOff>
      <xdr:row>0</xdr:row>
      <xdr:rowOff>0</xdr:rowOff>
    </xdr:from>
    <xdr:to>
      <xdr:col>1</xdr:col>
      <xdr:colOff>981075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368300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393700</xdr:colOff>
      <xdr:row>0</xdr:row>
      <xdr:rowOff>0</xdr:rowOff>
    </xdr:from>
    <xdr:to>
      <xdr:col>1</xdr:col>
      <xdr:colOff>1028700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273050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298450</xdr:colOff>
      <xdr:row>0</xdr:row>
      <xdr:rowOff>0</xdr:rowOff>
    </xdr:from>
    <xdr:to>
      <xdr:col>1</xdr:col>
      <xdr:colOff>933450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311150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336550</xdr:colOff>
      <xdr:row>0</xdr:row>
      <xdr:rowOff>0</xdr:rowOff>
    </xdr:from>
    <xdr:to>
      <xdr:col>1</xdr:col>
      <xdr:colOff>971550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279400</xdr:colOff>
      <xdr:row>0</xdr:row>
      <xdr:rowOff>0</xdr:rowOff>
    </xdr:from>
    <xdr:to>
      <xdr:col>1</xdr:col>
      <xdr:colOff>914400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0</xdr:row>
      <xdr:rowOff>254000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0</xdr:row>
      <xdr:rowOff>254000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282575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307975</xdr:colOff>
      <xdr:row>0</xdr:row>
      <xdr:rowOff>0</xdr:rowOff>
    </xdr:from>
    <xdr:to>
      <xdr:col>1</xdr:col>
      <xdr:colOff>942975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339725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365125</xdr:colOff>
      <xdr:row>0</xdr:row>
      <xdr:rowOff>0</xdr:rowOff>
    </xdr:from>
    <xdr:to>
      <xdr:col>1</xdr:col>
      <xdr:colOff>1000125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273050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298450</xdr:colOff>
      <xdr:row>0</xdr:row>
      <xdr:rowOff>0</xdr:rowOff>
    </xdr:from>
    <xdr:to>
      <xdr:col>1</xdr:col>
      <xdr:colOff>933450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358775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384175</xdr:colOff>
      <xdr:row>0</xdr:row>
      <xdr:rowOff>0</xdr:rowOff>
    </xdr:from>
    <xdr:to>
      <xdr:col>1</xdr:col>
      <xdr:colOff>1019175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6350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xdr:colOff>
      <xdr:row>0</xdr:row>
      <xdr:rowOff>0</xdr:rowOff>
    </xdr:from>
    <xdr:to>
      <xdr:col>1</xdr:col>
      <xdr:colOff>666750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377825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403225</xdr:colOff>
      <xdr:row>0</xdr:row>
      <xdr:rowOff>0</xdr:rowOff>
    </xdr:from>
    <xdr:to>
      <xdr:col>1</xdr:col>
      <xdr:colOff>1038225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349250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374650</xdr:colOff>
      <xdr:row>0</xdr:row>
      <xdr:rowOff>0</xdr:rowOff>
    </xdr:from>
    <xdr:to>
      <xdr:col>1</xdr:col>
      <xdr:colOff>1009650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301625</xdr:colOff>
      <xdr:row>1</xdr:row>
      <xdr:rowOff>25400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327025</xdr:colOff>
      <xdr:row>0</xdr:row>
      <xdr:rowOff>0</xdr:rowOff>
    </xdr:from>
    <xdr:to>
      <xdr:col>1</xdr:col>
      <xdr:colOff>962025</xdr:colOff>
      <xdr:row>1</xdr:row>
      <xdr:rowOff>25400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234950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260350</xdr:colOff>
      <xdr:row>0</xdr:row>
      <xdr:rowOff>0</xdr:rowOff>
    </xdr:from>
    <xdr:to>
      <xdr:col>1</xdr:col>
      <xdr:colOff>895350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50800</xdr:colOff>
      <xdr:row>0</xdr:row>
      <xdr:rowOff>0</xdr:rowOff>
    </xdr:from>
    <xdr:to>
      <xdr:col>1</xdr:col>
      <xdr:colOff>685800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330200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355600</xdr:colOff>
      <xdr:row>0</xdr:row>
      <xdr:rowOff>0</xdr:rowOff>
    </xdr:from>
    <xdr:to>
      <xdr:col>1</xdr:col>
      <xdr:colOff>990600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168275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193675</xdr:colOff>
      <xdr:row>0</xdr:row>
      <xdr:rowOff>0</xdr:rowOff>
    </xdr:from>
    <xdr:to>
      <xdr:col>1</xdr:col>
      <xdr:colOff>828675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15875</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41275</xdr:colOff>
      <xdr:row>0</xdr:row>
      <xdr:rowOff>0</xdr:rowOff>
    </xdr:from>
    <xdr:to>
      <xdr:col>1</xdr:col>
      <xdr:colOff>676275</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63500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63500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63500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63500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25400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50800</xdr:colOff>
      <xdr:row>0</xdr:row>
      <xdr:rowOff>0</xdr:rowOff>
    </xdr:from>
    <xdr:to>
      <xdr:col>2</xdr:col>
      <xdr:colOff>19050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635000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0</xdr:col>
      <xdr:colOff>660400</xdr:colOff>
      <xdr:row>0</xdr:row>
      <xdr:rowOff>0</xdr:rowOff>
    </xdr:from>
    <xdr:to>
      <xdr:col>0</xdr:col>
      <xdr:colOff>1295400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292100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317500</xdr:colOff>
      <xdr:row>0</xdr:row>
      <xdr:rowOff>0</xdr:rowOff>
    </xdr:from>
    <xdr:to>
      <xdr:col>1</xdr:col>
      <xdr:colOff>952500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311150</xdr:colOff>
      <xdr:row>1</xdr:row>
      <xdr:rowOff>44450</xdr:rowOff>
    </xdr:to>
    <xdr:sp macro="[0]!Home" textlink="">
      <xdr:nvSpPr>
        <xdr:cNvPr id="8" name="Rounded Rectangle 7"/>
        <xdr:cNvSpPr/>
      </xdr:nvSpPr>
      <xdr:spPr>
        <a:xfrm>
          <a:off x="0" y="0"/>
          <a:ext cx="635000" cy="2540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HOME</a:t>
          </a:r>
        </a:p>
      </xdr:txBody>
    </xdr:sp>
    <xdr:clientData/>
  </xdr:twoCellAnchor>
  <xdr:twoCellAnchor>
    <xdr:from>
      <xdr:col>1</xdr:col>
      <xdr:colOff>336550</xdr:colOff>
      <xdr:row>0</xdr:row>
      <xdr:rowOff>0</xdr:rowOff>
    </xdr:from>
    <xdr:to>
      <xdr:col>1</xdr:col>
      <xdr:colOff>971550</xdr:colOff>
      <xdr:row>1</xdr:row>
      <xdr:rowOff>44450</xdr:rowOff>
    </xdr:to>
    <xdr:sp macro="[0]!DanhMuc" textlink="">
      <xdr:nvSpPr>
        <xdr:cNvPr id="9" name="Rounded Rectangle 8"/>
        <xdr:cNvSpPr/>
      </xdr:nvSpPr>
      <xdr:spPr>
        <a:xfrm>
          <a:off x="660400" y="0"/>
          <a:ext cx="635000" cy="254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MENU</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3.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4.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5.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6.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7.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48.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49.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54.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55.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56.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57.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58.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59.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0.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1.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2.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6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6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6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67.bin"/></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68.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69.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70.bin"/></Relationships>
</file>

<file path=xl/worksheets/_rels/sheet82.xml.rels><?xml version="1.0" encoding="UTF-8" standalone="yes"?>
<Relationships xmlns="http://schemas.openxmlformats.org/package/2006/relationships"><Relationship Id="rId3" Type="http://schemas.openxmlformats.org/officeDocument/2006/relationships/printerSettings" Target="../printerSettings/printerSettings71.bin"/><Relationship Id="rId2" Type="http://schemas.openxmlformats.org/officeDocument/2006/relationships/hyperlink" Target="http://bosiquanao.net/p/ao-so-mi-tay-dai-hollister/" TargetMode="External"/><Relationship Id="rId1" Type="http://schemas.openxmlformats.org/officeDocument/2006/relationships/hyperlink" Target="http://bosiquanao.net/p/ao-so-mi-tay-dai-hollister/" TargetMode="External"/><Relationship Id="rId4" Type="http://schemas.openxmlformats.org/officeDocument/2006/relationships/drawing" Target="../drawings/drawing82.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72.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73.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74.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75.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76.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77.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78.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79.bin"/></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80.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81.bin"/></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82.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83.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84.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85.bin"/></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100.xml"/></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86.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87.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88.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89.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90.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91.bin"/></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92.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93.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94.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95.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96.bin"/></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113.xml"/></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97.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98.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99.bin"/></Relationships>
</file>

<file path=xl/worksheets/_rels/sheet117.xml.rels><?xml version="1.0" encoding="UTF-8" standalone="yes"?>
<Relationships xmlns="http://schemas.openxmlformats.org/package/2006/relationships"><Relationship Id="rId1" Type="http://schemas.openxmlformats.org/officeDocument/2006/relationships/drawing" Target="../drawings/drawing117.xml"/></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00.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01.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02.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03.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04.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05.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06.bin"/></Relationships>
</file>

<file path=xl/worksheets/_rels/sheet125.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6.xml.rels><?xml version="1.0" encoding="UTF-8" standalone="yes"?>
<Relationships xmlns="http://schemas.openxmlformats.org/package/2006/relationships"><Relationship Id="rId2" Type="http://schemas.openxmlformats.org/officeDocument/2006/relationships/drawing" Target="../drawings/drawing126.xml"/><Relationship Id="rId1" Type="http://schemas.openxmlformats.org/officeDocument/2006/relationships/printerSettings" Target="../printerSettings/printerSettings107.bin"/></Relationships>
</file>

<file path=xl/worksheets/_rels/sheet127.xml.rels><?xml version="1.0" encoding="UTF-8" standalone="yes"?>
<Relationships xmlns="http://schemas.openxmlformats.org/package/2006/relationships"><Relationship Id="rId2" Type="http://schemas.openxmlformats.org/officeDocument/2006/relationships/drawing" Target="../drawings/drawing127.xml"/><Relationship Id="rId1" Type="http://schemas.openxmlformats.org/officeDocument/2006/relationships/printerSettings" Target="../printerSettings/printerSettings108.bin"/></Relationships>
</file>

<file path=xl/worksheets/_rels/sheet128.xml.rels><?xml version="1.0" encoding="UTF-8" standalone="yes"?>
<Relationships xmlns="http://schemas.openxmlformats.org/package/2006/relationships"><Relationship Id="rId2" Type="http://schemas.openxmlformats.org/officeDocument/2006/relationships/drawing" Target="../drawings/drawing128.xml"/><Relationship Id="rId1" Type="http://schemas.openxmlformats.org/officeDocument/2006/relationships/printerSettings" Target="../printerSettings/printerSettings109.bin"/></Relationships>
</file>

<file path=xl/worksheets/_rels/sheet129.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10.bin"/></Relationships>
</file>

<file path=xl/worksheets/_rels/sheet130.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11.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12.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13.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14.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15.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16.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6.xml"/><Relationship Id="rId1" Type="http://schemas.openxmlformats.org/officeDocument/2006/relationships/printerSettings" Target="../printerSettings/printerSettings117.bin"/></Relationships>
</file>

<file path=xl/worksheets/_rels/sheet137.xml.rels><?xml version="1.0" encoding="UTF-8" standalone="yes"?>
<Relationships xmlns="http://schemas.openxmlformats.org/package/2006/relationships"><Relationship Id="rId2" Type="http://schemas.openxmlformats.org/officeDocument/2006/relationships/drawing" Target="../drawings/drawing137.xml"/><Relationship Id="rId1" Type="http://schemas.openxmlformats.org/officeDocument/2006/relationships/printerSettings" Target="../printerSettings/printerSettings118.bin"/></Relationships>
</file>

<file path=xl/worksheets/_rels/sheet138.xml.rels><?xml version="1.0" encoding="UTF-8" standalone="yes"?>
<Relationships xmlns="http://schemas.openxmlformats.org/package/2006/relationships"><Relationship Id="rId2" Type="http://schemas.openxmlformats.org/officeDocument/2006/relationships/drawing" Target="../drawings/drawing138.xml"/><Relationship Id="rId1" Type="http://schemas.openxmlformats.org/officeDocument/2006/relationships/printerSettings" Target="../printerSettings/printerSettings119.bin"/></Relationships>
</file>

<file path=xl/worksheets/_rels/sheet139.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20.bin"/></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40.xml"/><Relationship Id="rId1" Type="http://schemas.openxmlformats.org/officeDocument/2006/relationships/printerSettings" Target="../printerSettings/printerSettings121.bin"/></Relationships>
</file>

<file path=xl/worksheets/_rels/sheet141.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22.bin"/></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2.xml"/><Relationship Id="rId1" Type="http://schemas.openxmlformats.org/officeDocument/2006/relationships/printerSettings" Target="../printerSettings/printerSettings123.bin"/></Relationships>
</file>

<file path=xl/worksheets/_rels/sheet143.xml.rels><?xml version="1.0" encoding="UTF-8" standalone="yes"?>
<Relationships xmlns="http://schemas.openxmlformats.org/package/2006/relationships"><Relationship Id="rId2" Type="http://schemas.openxmlformats.org/officeDocument/2006/relationships/drawing" Target="../drawings/drawing143.xml"/><Relationship Id="rId1" Type="http://schemas.openxmlformats.org/officeDocument/2006/relationships/printerSettings" Target="../printerSettings/printerSettings124.bin"/></Relationships>
</file>

<file path=xl/worksheets/_rels/sheet144.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25.bin"/></Relationships>
</file>

<file path=xl/worksheets/_rels/sheet145.xml.rels><?xml version="1.0" encoding="UTF-8" standalone="yes"?>
<Relationships xmlns="http://schemas.openxmlformats.org/package/2006/relationships"><Relationship Id="rId2" Type="http://schemas.openxmlformats.org/officeDocument/2006/relationships/drawing" Target="../drawings/drawing145.xml"/><Relationship Id="rId1" Type="http://schemas.openxmlformats.org/officeDocument/2006/relationships/printerSettings" Target="../printerSettings/printerSettings126.bin"/></Relationships>
</file>

<file path=xl/worksheets/_rels/sheet146.xml.rels><?xml version="1.0" encoding="UTF-8" standalone="yes"?>
<Relationships xmlns="http://schemas.openxmlformats.org/package/2006/relationships"><Relationship Id="rId2" Type="http://schemas.openxmlformats.org/officeDocument/2006/relationships/drawing" Target="../drawings/drawing146.xml"/><Relationship Id="rId1" Type="http://schemas.openxmlformats.org/officeDocument/2006/relationships/printerSettings" Target="../printerSettings/printerSettings127.bin"/></Relationships>
</file>

<file path=xl/worksheets/_rels/sheet147.xml.rels><?xml version="1.0" encoding="UTF-8" standalone="yes"?>
<Relationships xmlns="http://schemas.openxmlformats.org/package/2006/relationships"><Relationship Id="rId2" Type="http://schemas.openxmlformats.org/officeDocument/2006/relationships/drawing" Target="../drawings/drawing147.xml"/><Relationship Id="rId1" Type="http://schemas.openxmlformats.org/officeDocument/2006/relationships/printerSettings" Target="../printerSettings/printerSettings128.bin"/></Relationships>
</file>

<file path=xl/worksheets/_rels/sheet148.xml.rels><?xml version="1.0" encoding="UTF-8" standalone="yes"?>
<Relationships xmlns="http://schemas.openxmlformats.org/package/2006/relationships"><Relationship Id="rId2" Type="http://schemas.openxmlformats.org/officeDocument/2006/relationships/drawing" Target="../drawings/drawing148.xml"/><Relationship Id="rId1" Type="http://schemas.openxmlformats.org/officeDocument/2006/relationships/printerSettings" Target="../printerSettings/printerSettings129.bin"/></Relationships>
</file>

<file path=xl/worksheets/_rels/sheet149.xml.rels><?xml version="1.0" encoding="UTF-8" standalone="yes"?>
<Relationships xmlns="http://schemas.openxmlformats.org/package/2006/relationships"><Relationship Id="rId2" Type="http://schemas.openxmlformats.org/officeDocument/2006/relationships/drawing" Target="../drawings/drawing149.xml"/><Relationship Id="rId1" Type="http://schemas.openxmlformats.org/officeDocument/2006/relationships/printerSettings" Target="../printerSettings/printerSettings130.bin"/></Relationships>
</file>

<file path=xl/worksheets/_rels/sheet150.xml.rels><?xml version="1.0" encoding="UTF-8" standalone="yes"?>
<Relationships xmlns="http://schemas.openxmlformats.org/package/2006/relationships"><Relationship Id="rId2" Type="http://schemas.openxmlformats.org/officeDocument/2006/relationships/drawing" Target="../drawings/drawing150.xml"/><Relationship Id="rId1" Type="http://schemas.openxmlformats.org/officeDocument/2006/relationships/printerSettings" Target="../printerSettings/printerSettings131.bin"/></Relationships>
</file>

<file path=xl/worksheets/_rels/sheet151.xml.rels><?xml version="1.0" encoding="UTF-8" standalone="yes"?>
<Relationships xmlns="http://schemas.openxmlformats.org/package/2006/relationships"><Relationship Id="rId2" Type="http://schemas.openxmlformats.org/officeDocument/2006/relationships/drawing" Target="../drawings/drawing151.xml"/><Relationship Id="rId1" Type="http://schemas.openxmlformats.org/officeDocument/2006/relationships/printerSettings" Target="../printerSettings/printerSettings132.bin"/></Relationships>
</file>

<file path=xl/worksheets/_rels/sheet152.xml.rels><?xml version="1.0" encoding="UTF-8" standalone="yes"?>
<Relationships xmlns="http://schemas.openxmlformats.org/package/2006/relationships"><Relationship Id="rId2" Type="http://schemas.openxmlformats.org/officeDocument/2006/relationships/drawing" Target="../drawings/drawing152.xml"/><Relationship Id="rId1" Type="http://schemas.openxmlformats.org/officeDocument/2006/relationships/printerSettings" Target="../printerSettings/printerSettings1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L20"/>
  <sheetViews>
    <sheetView showGridLines="0" tabSelected="1" workbookViewId="0">
      <selection activeCell="F27" sqref="F27"/>
    </sheetView>
  </sheetViews>
  <sheetFormatPr defaultColWidth="0" defaultRowHeight="15"/>
  <cols>
    <col min="1" max="1" width="3" customWidth="1"/>
    <col min="2" max="10" width="10" customWidth="1"/>
    <col min="11" max="11" width="9.140625" customWidth="1"/>
    <col min="12" max="12" width="3.5703125" customWidth="1"/>
    <col min="13" max="16384" width="9.140625" hidden="1"/>
  </cols>
  <sheetData>
    <row r="1" spans="2:12" s="2366" customFormat="1">
      <c r="B1" s="263" t="s">
        <v>3234</v>
      </c>
      <c r="C1" s="2365"/>
    </row>
    <row r="2" spans="2:12" s="2366" customFormat="1">
      <c r="C2" s="2365"/>
    </row>
    <row r="3" spans="2:12" s="2366" customFormat="1">
      <c r="B3" s="107"/>
      <c r="C3" s="2365"/>
    </row>
    <row r="4" spans="2:12" s="2366" customFormat="1">
      <c r="B4" s="2365"/>
      <c r="C4" s="2365"/>
      <c r="D4" s="2365"/>
      <c r="E4" s="2365"/>
      <c r="F4" s="2365"/>
      <c r="G4" s="2365"/>
      <c r="H4" s="2365"/>
    </row>
    <row r="5" spans="2:12" ht="15.75">
      <c r="B5" s="2368" t="s">
        <v>607</v>
      </c>
      <c r="C5" s="2368"/>
      <c r="D5" s="2368"/>
      <c r="E5" s="2368"/>
      <c r="F5" s="2368"/>
      <c r="G5" s="2368"/>
      <c r="H5" s="2368"/>
      <c r="I5" s="2368"/>
      <c r="J5" s="2368"/>
      <c r="K5" s="2368"/>
    </row>
    <row r="6" spans="2:12">
      <c r="B6" s="265" t="s">
        <v>608</v>
      </c>
      <c r="C6" s="2"/>
      <c r="D6" s="2"/>
      <c r="E6" s="2"/>
      <c r="F6" s="2"/>
      <c r="G6" s="2"/>
      <c r="H6" s="2"/>
    </row>
    <row r="7" spans="2:12">
      <c r="B7" s="485" t="s">
        <v>1021</v>
      </c>
      <c r="C7" s="3"/>
      <c r="D7" s="2"/>
      <c r="F7" s="2"/>
      <c r="G7" s="2"/>
      <c r="H7" s="2"/>
    </row>
    <row r="8" spans="2:12">
      <c r="B8" s="486" t="s">
        <v>2590</v>
      </c>
      <c r="C8" s="1"/>
    </row>
    <row r="9" spans="2:12">
      <c r="B9" s="486" t="s">
        <v>2591</v>
      </c>
    </row>
    <row r="10" spans="2:12">
      <c r="B10" s="262" t="s">
        <v>529</v>
      </c>
    </row>
    <row r="11" spans="2:12">
      <c r="B11" s="262" t="s">
        <v>530</v>
      </c>
    </row>
    <row r="13" spans="2:12">
      <c r="B13" s="108" t="s">
        <v>1019</v>
      </c>
    </row>
    <row r="16" spans="2:12">
      <c r="B16" s="2366"/>
      <c r="C16" s="2366"/>
      <c r="D16" s="2366"/>
      <c r="E16" s="2366"/>
      <c r="F16" s="2366"/>
      <c r="G16" s="2366"/>
      <c r="H16" s="2366"/>
      <c r="I16" s="2366"/>
      <c r="J16" s="2366"/>
      <c r="K16" s="2366"/>
      <c r="L16" s="2366"/>
    </row>
    <row r="17" spans="2:12">
      <c r="B17" s="2367" t="s">
        <v>3233</v>
      </c>
      <c r="C17" s="2366"/>
      <c r="E17" s="2366"/>
      <c r="F17" s="2366"/>
      <c r="G17" s="2366"/>
      <c r="H17" s="2366"/>
      <c r="I17" s="2366"/>
      <c r="J17" s="2366"/>
      <c r="K17" s="2366"/>
      <c r="L17" s="2366"/>
    </row>
    <row r="18" spans="2:12">
      <c r="B18" s="2366"/>
      <c r="C18" s="2366"/>
      <c r="D18" s="2366"/>
      <c r="E18" s="2366"/>
      <c r="F18" s="2366"/>
      <c r="G18" s="2366"/>
      <c r="H18" s="2366"/>
      <c r="I18" s="2366"/>
      <c r="J18" s="2366"/>
      <c r="K18" s="2366"/>
      <c r="L18" s="2366"/>
    </row>
    <row r="19" spans="2:12">
      <c r="B19" s="2366"/>
      <c r="C19" s="2366"/>
      <c r="D19" s="2366"/>
      <c r="E19" s="2366"/>
      <c r="F19" s="2366"/>
      <c r="G19" s="2366"/>
      <c r="H19" s="2366"/>
      <c r="I19" s="2366"/>
      <c r="J19" s="2366"/>
      <c r="K19" s="2366"/>
      <c r="L19" s="2366"/>
    </row>
    <row r="20" spans="2:12">
      <c r="B20" s="2366"/>
      <c r="C20" s="2366"/>
      <c r="D20" s="2366"/>
      <c r="E20" s="2366"/>
      <c r="F20" s="2366"/>
      <c r="G20" s="2366"/>
      <c r="H20" s="2366"/>
      <c r="I20" s="2366"/>
      <c r="J20" s="2366"/>
      <c r="K20" s="2366"/>
      <c r="L20" s="2366"/>
    </row>
  </sheetData>
  <sheetProtection password="B269" sheet="1" objects="1" scenarios="1" selectLockedCells="1" selectUnlockedCells="1"/>
  <mergeCells count="1">
    <mergeCell ref="B5:K5"/>
  </mergeCell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318" r:id="rId4" name="cmdMENU">
          <controlPr defaultSize="0" autoLine="0" r:id="rId5">
            <anchor moveWithCells="1">
              <from>
                <xdr:col>6</xdr:col>
                <xdr:colOff>38100</xdr:colOff>
                <xdr:row>11</xdr:row>
                <xdr:rowOff>57150</xdr:rowOff>
              </from>
              <to>
                <xdr:col>7</xdr:col>
                <xdr:colOff>438150</xdr:colOff>
                <xdr:row>14</xdr:row>
                <xdr:rowOff>9525</xdr:rowOff>
              </to>
            </anchor>
          </controlPr>
        </control>
      </mc:Choice>
      <mc:Fallback>
        <control shapeId="1318" r:id="rId4" name="cmdMENU"/>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H41"/>
  <sheetViews>
    <sheetView zoomScaleNormal="100" workbookViewId="0">
      <selection activeCell="B5" sqref="B5"/>
    </sheetView>
  </sheetViews>
  <sheetFormatPr defaultColWidth="11.5703125" defaultRowHeight="18" customHeight="1"/>
  <cols>
    <col min="1" max="1" width="5" style="1574" customWidth="1"/>
    <col min="2" max="2" width="42.85546875" style="1575" customWidth="1"/>
    <col min="3" max="3" width="8" style="1575" customWidth="1"/>
    <col min="4" max="4" width="17.5703125" style="1575" customWidth="1"/>
    <col min="5" max="5" width="13.140625" style="1575" customWidth="1"/>
    <col min="6" max="6" width="9.42578125" style="1575" customWidth="1"/>
    <col min="7" max="7" width="17.85546875" style="1608" bestFit="1" customWidth="1"/>
    <col min="8" max="8" width="8.7109375" style="1574" customWidth="1"/>
    <col min="9" max="255" width="11.5703125" style="1575"/>
    <col min="256" max="256" width="5" style="1575" customWidth="1"/>
    <col min="257" max="257" width="42.85546875" style="1575" customWidth="1"/>
    <col min="258" max="258" width="8" style="1575" customWidth="1"/>
    <col min="259" max="259" width="17.5703125" style="1575" customWidth="1"/>
    <col min="260" max="260" width="20.28515625" style="1575" customWidth="1"/>
    <col min="261" max="261" width="38.28515625" style="1575" customWidth="1"/>
    <col min="262" max="262" width="17.85546875" style="1575" bestFit="1" customWidth="1"/>
    <col min="263" max="263" width="8.7109375" style="1575" customWidth="1"/>
    <col min="264" max="264" width="17.5703125" style="1575" customWidth="1"/>
    <col min="265" max="511" width="11.5703125" style="1575"/>
    <col min="512" max="512" width="5" style="1575" customWidth="1"/>
    <col min="513" max="513" width="42.85546875" style="1575" customWidth="1"/>
    <col min="514" max="514" width="8" style="1575" customWidth="1"/>
    <col min="515" max="515" width="17.5703125" style="1575" customWidth="1"/>
    <col min="516" max="516" width="20.28515625" style="1575" customWidth="1"/>
    <col min="517" max="517" width="38.28515625" style="1575" customWidth="1"/>
    <col min="518" max="518" width="17.85546875" style="1575" bestFit="1" customWidth="1"/>
    <col min="519" max="519" width="8.7109375" style="1575" customWidth="1"/>
    <col min="520" max="520" width="17.5703125" style="1575" customWidth="1"/>
    <col min="521" max="767" width="11.5703125" style="1575"/>
    <col min="768" max="768" width="5" style="1575" customWidth="1"/>
    <col min="769" max="769" width="42.85546875" style="1575" customWidth="1"/>
    <col min="770" max="770" width="8" style="1575" customWidth="1"/>
    <col min="771" max="771" width="17.5703125" style="1575" customWidth="1"/>
    <col min="772" max="772" width="20.28515625" style="1575" customWidth="1"/>
    <col min="773" max="773" width="38.28515625" style="1575" customWidth="1"/>
    <col min="774" max="774" width="17.85546875" style="1575" bestFit="1" customWidth="1"/>
    <col min="775" max="775" width="8.7109375" style="1575" customWidth="1"/>
    <col min="776" max="776" width="17.5703125" style="1575" customWidth="1"/>
    <col min="777" max="1023" width="11.5703125" style="1575"/>
    <col min="1024" max="1024" width="5" style="1575" customWidth="1"/>
    <col min="1025" max="1025" width="42.85546875" style="1575" customWidth="1"/>
    <col min="1026" max="1026" width="8" style="1575" customWidth="1"/>
    <col min="1027" max="1027" width="17.5703125" style="1575" customWidth="1"/>
    <col min="1028" max="1028" width="20.28515625" style="1575" customWidth="1"/>
    <col min="1029" max="1029" width="38.28515625" style="1575" customWidth="1"/>
    <col min="1030" max="1030" width="17.85546875" style="1575" bestFit="1" customWidth="1"/>
    <col min="1031" max="1031" width="8.7109375" style="1575" customWidth="1"/>
    <col min="1032" max="1032" width="17.5703125" style="1575" customWidth="1"/>
    <col min="1033" max="1279" width="11.5703125" style="1575"/>
    <col min="1280" max="1280" width="5" style="1575" customWidth="1"/>
    <col min="1281" max="1281" width="42.85546875" style="1575" customWidth="1"/>
    <col min="1282" max="1282" width="8" style="1575" customWidth="1"/>
    <col min="1283" max="1283" width="17.5703125" style="1575" customWidth="1"/>
    <col min="1284" max="1284" width="20.28515625" style="1575" customWidth="1"/>
    <col min="1285" max="1285" width="38.28515625" style="1575" customWidth="1"/>
    <col min="1286" max="1286" width="17.85546875" style="1575" bestFit="1" customWidth="1"/>
    <col min="1287" max="1287" width="8.7109375" style="1575" customWidth="1"/>
    <col min="1288" max="1288" width="17.5703125" style="1575" customWidth="1"/>
    <col min="1289" max="1535" width="11.5703125" style="1575"/>
    <col min="1536" max="1536" width="5" style="1575" customWidth="1"/>
    <col min="1537" max="1537" width="42.85546875" style="1575" customWidth="1"/>
    <col min="1538" max="1538" width="8" style="1575" customWidth="1"/>
    <col min="1539" max="1539" width="17.5703125" style="1575" customWidth="1"/>
    <col min="1540" max="1540" width="20.28515625" style="1575" customWidth="1"/>
    <col min="1541" max="1541" width="38.28515625" style="1575" customWidth="1"/>
    <col min="1542" max="1542" width="17.85546875" style="1575" bestFit="1" customWidth="1"/>
    <col min="1543" max="1543" width="8.7109375" style="1575" customWidth="1"/>
    <col min="1544" max="1544" width="17.5703125" style="1575" customWidth="1"/>
    <col min="1545" max="1791" width="11.5703125" style="1575"/>
    <col min="1792" max="1792" width="5" style="1575" customWidth="1"/>
    <col min="1793" max="1793" width="42.85546875" style="1575" customWidth="1"/>
    <col min="1794" max="1794" width="8" style="1575" customWidth="1"/>
    <col min="1795" max="1795" width="17.5703125" style="1575" customWidth="1"/>
    <col min="1796" max="1796" width="20.28515625" style="1575" customWidth="1"/>
    <col min="1797" max="1797" width="38.28515625" style="1575" customWidth="1"/>
    <col min="1798" max="1798" width="17.85546875" style="1575" bestFit="1" customWidth="1"/>
    <col min="1799" max="1799" width="8.7109375" style="1575" customWidth="1"/>
    <col min="1800" max="1800" width="17.5703125" style="1575" customWidth="1"/>
    <col min="1801" max="2047" width="11.5703125" style="1575"/>
    <col min="2048" max="2048" width="5" style="1575" customWidth="1"/>
    <col min="2049" max="2049" width="42.85546875" style="1575" customWidth="1"/>
    <col min="2050" max="2050" width="8" style="1575" customWidth="1"/>
    <col min="2051" max="2051" width="17.5703125" style="1575" customWidth="1"/>
    <col min="2052" max="2052" width="20.28515625" style="1575" customWidth="1"/>
    <col min="2053" max="2053" width="38.28515625" style="1575" customWidth="1"/>
    <col min="2054" max="2054" width="17.85546875" style="1575" bestFit="1" customWidth="1"/>
    <col min="2055" max="2055" width="8.7109375" style="1575" customWidth="1"/>
    <col min="2056" max="2056" width="17.5703125" style="1575" customWidth="1"/>
    <col min="2057" max="2303" width="11.5703125" style="1575"/>
    <col min="2304" max="2304" width="5" style="1575" customWidth="1"/>
    <col min="2305" max="2305" width="42.85546875" style="1575" customWidth="1"/>
    <col min="2306" max="2306" width="8" style="1575" customWidth="1"/>
    <col min="2307" max="2307" width="17.5703125" style="1575" customWidth="1"/>
    <col min="2308" max="2308" width="20.28515625" style="1575" customWidth="1"/>
    <col min="2309" max="2309" width="38.28515625" style="1575" customWidth="1"/>
    <col min="2310" max="2310" width="17.85546875" style="1575" bestFit="1" customWidth="1"/>
    <col min="2311" max="2311" width="8.7109375" style="1575" customWidth="1"/>
    <col min="2312" max="2312" width="17.5703125" style="1575" customWidth="1"/>
    <col min="2313" max="2559" width="11.5703125" style="1575"/>
    <col min="2560" max="2560" width="5" style="1575" customWidth="1"/>
    <col min="2561" max="2561" width="42.85546875" style="1575" customWidth="1"/>
    <col min="2562" max="2562" width="8" style="1575" customWidth="1"/>
    <col min="2563" max="2563" width="17.5703125" style="1575" customWidth="1"/>
    <col min="2564" max="2564" width="20.28515625" style="1575" customWidth="1"/>
    <col min="2565" max="2565" width="38.28515625" style="1575" customWidth="1"/>
    <col min="2566" max="2566" width="17.85546875" style="1575" bestFit="1" customWidth="1"/>
    <col min="2567" max="2567" width="8.7109375" style="1575" customWidth="1"/>
    <col min="2568" max="2568" width="17.5703125" style="1575" customWidth="1"/>
    <col min="2569" max="2815" width="11.5703125" style="1575"/>
    <col min="2816" max="2816" width="5" style="1575" customWidth="1"/>
    <col min="2817" max="2817" width="42.85546875" style="1575" customWidth="1"/>
    <col min="2818" max="2818" width="8" style="1575" customWidth="1"/>
    <col min="2819" max="2819" width="17.5703125" style="1575" customWidth="1"/>
    <col min="2820" max="2820" width="20.28515625" style="1575" customWidth="1"/>
    <col min="2821" max="2821" width="38.28515625" style="1575" customWidth="1"/>
    <col min="2822" max="2822" width="17.85546875" style="1575" bestFit="1" customWidth="1"/>
    <col min="2823" max="2823" width="8.7109375" style="1575" customWidth="1"/>
    <col min="2824" max="2824" width="17.5703125" style="1575" customWidth="1"/>
    <col min="2825" max="3071" width="11.5703125" style="1575"/>
    <col min="3072" max="3072" width="5" style="1575" customWidth="1"/>
    <col min="3073" max="3073" width="42.85546875" style="1575" customWidth="1"/>
    <col min="3074" max="3074" width="8" style="1575" customWidth="1"/>
    <col min="3075" max="3075" width="17.5703125" style="1575" customWidth="1"/>
    <col min="3076" max="3076" width="20.28515625" style="1575" customWidth="1"/>
    <col min="3077" max="3077" width="38.28515625" style="1575" customWidth="1"/>
    <col min="3078" max="3078" width="17.85546875" style="1575" bestFit="1" customWidth="1"/>
    <col min="3079" max="3079" width="8.7109375" style="1575" customWidth="1"/>
    <col min="3080" max="3080" width="17.5703125" style="1575" customWidth="1"/>
    <col min="3081" max="3327" width="11.5703125" style="1575"/>
    <col min="3328" max="3328" width="5" style="1575" customWidth="1"/>
    <col min="3329" max="3329" width="42.85546875" style="1575" customWidth="1"/>
    <col min="3330" max="3330" width="8" style="1575" customWidth="1"/>
    <col min="3331" max="3331" width="17.5703125" style="1575" customWidth="1"/>
    <col min="3332" max="3332" width="20.28515625" style="1575" customWidth="1"/>
    <col min="3333" max="3333" width="38.28515625" style="1575" customWidth="1"/>
    <col min="3334" max="3334" width="17.85546875" style="1575" bestFit="1" customWidth="1"/>
    <col min="3335" max="3335" width="8.7109375" style="1575" customWidth="1"/>
    <col min="3336" max="3336" width="17.5703125" style="1575" customWidth="1"/>
    <col min="3337" max="3583" width="11.5703125" style="1575"/>
    <col min="3584" max="3584" width="5" style="1575" customWidth="1"/>
    <col min="3585" max="3585" width="42.85546875" style="1575" customWidth="1"/>
    <col min="3586" max="3586" width="8" style="1575" customWidth="1"/>
    <col min="3587" max="3587" width="17.5703125" style="1575" customWidth="1"/>
    <col min="3588" max="3588" width="20.28515625" style="1575" customWidth="1"/>
    <col min="3589" max="3589" width="38.28515625" style="1575" customWidth="1"/>
    <col min="3590" max="3590" width="17.85546875" style="1575" bestFit="1" customWidth="1"/>
    <col min="3591" max="3591" width="8.7109375" style="1575" customWidth="1"/>
    <col min="3592" max="3592" width="17.5703125" style="1575" customWidth="1"/>
    <col min="3593" max="3839" width="11.5703125" style="1575"/>
    <col min="3840" max="3840" width="5" style="1575" customWidth="1"/>
    <col min="3841" max="3841" width="42.85546875" style="1575" customWidth="1"/>
    <col min="3842" max="3842" width="8" style="1575" customWidth="1"/>
    <col min="3843" max="3843" width="17.5703125" style="1575" customWidth="1"/>
    <col min="3844" max="3844" width="20.28515625" style="1575" customWidth="1"/>
    <col min="3845" max="3845" width="38.28515625" style="1575" customWidth="1"/>
    <col min="3846" max="3846" width="17.85546875" style="1575" bestFit="1" customWidth="1"/>
    <col min="3847" max="3847" width="8.7109375" style="1575" customWidth="1"/>
    <col min="3848" max="3848" width="17.5703125" style="1575" customWidth="1"/>
    <col min="3849" max="4095" width="11.5703125" style="1575"/>
    <col min="4096" max="4096" width="5" style="1575" customWidth="1"/>
    <col min="4097" max="4097" width="42.85546875" style="1575" customWidth="1"/>
    <col min="4098" max="4098" width="8" style="1575" customWidth="1"/>
    <col min="4099" max="4099" width="17.5703125" style="1575" customWidth="1"/>
    <col min="4100" max="4100" width="20.28515625" style="1575" customWidth="1"/>
    <col min="4101" max="4101" width="38.28515625" style="1575" customWidth="1"/>
    <col min="4102" max="4102" width="17.85546875" style="1575" bestFit="1" customWidth="1"/>
    <col min="4103" max="4103" width="8.7109375" style="1575" customWidth="1"/>
    <col min="4104" max="4104" width="17.5703125" style="1575" customWidth="1"/>
    <col min="4105" max="4351" width="11.5703125" style="1575"/>
    <col min="4352" max="4352" width="5" style="1575" customWidth="1"/>
    <col min="4353" max="4353" width="42.85546875" style="1575" customWidth="1"/>
    <col min="4354" max="4354" width="8" style="1575" customWidth="1"/>
    <col min="4355" max="4355" width="17.5703125" style="1575" customWidth="1"/>
    <col min="4356" max="4356" width="20.28515625" style="1575" customWidth="1"/>
    <col min="4357" max="4357" width="38.28515625" style="1575" customWidth="1"/>
    <col min="4358" max="4358" width="17.85546875" style="1575" bestFit="1" customWidth="1"/>
    <col min="4359" max="4359" width="8.7109375" style="1575" customWidth="1"/>
    <col min="4360" max="4360" width="17.5703125" style="1575" customWidth="1"/>
    <col min="4361" max="4607" width="11.5703125" style="1575"/>
    <col min="4608" max="4608" width="5" style="1575" customWidth="1"/>
    <col min="4609" max="4609" width="42.85546875" style="1575" customWidth="1"/>
    <col min="4610" max="4610" width="8" style="1575" customWidth="1"/>
    <col min="4611" max="4611" width="17.5703125" style="1575" customWidth="1"/>
    <col min="4612" max="4612" width="20.28515625" style="1575" customWidth="1"/>
    <col min="4613" max="4613" width="38.28515625" style="1575" customWidth="1"/>
    <col min="4614" max="4614" width="17.85546875" style="1575" bestFit="1" customWidth="1"/>
    <col min="4615" max="4615" width="8.7109375" style="1575" customWidth="1"/>
    <col min="4616" max="4616" width="17.5703125" style="1575" customWidth="1"/>
    <col min="4617" max="4863" width="11.5703125" style="1575"/>
    <col min="4864" max="4864" width="5" style="1575" customWidth="1"/>
    <col min="4865" max="4865" width="42.85546875" style="1575" customWidth="1"/>
    <col min="4866" max="4866" width="8" style="1575" customWidth="1"/>
    <col min="4867" max="4867" width="17.5703125" style="1575" customWidth="1"/>
    <col min="4868" max="4868" width="20.28515625" style="1575" customWidth="1"/>
    <col min="4869" max="4869" width="38.28515625" style="1575" customWidth="1"/>
    <col min="4870" max="4870" width="17.85546875" style="1575" bestFit="1" customWidth="1"/>
    <col min="4871" max="4871" width="8.7109375" style="1575" customWidth="1"/>
    <col min="4872" max="4872" width="17.5703125" style="1575" customWidth="1"/>
    <col min="4873" max="5119" width="11.5703125" style="1575"/>
    <col min="5120" max="5120" width="5" style="1575" customWidth="1"/>
    <col min="5121" max="5121" width="42.85546875" style="1575" customWidth="1"/>
    <col min="5122" max="5122" width="8" style="1575" customWidth="1"/>
    <col min="5123" max="5123" width="17.5703125" style="1575" customWidth="1"/>
    <col min="5124" max="5124" width="20.28515625" style="1575" customWidth="1"/>
    <col min="5125" max="5125" width="38.28515625" style="1575" customWidth="1"/>
    <col min="5126" max="5126" width="17.85546875" style="1575" bestFit="1" customWidth="1"/>
    <col min="5127" max="5127" width="8.7109375" style="1575" customWidth="1"/>
    <col min="5128" max="5128" width="17.5703125" style="1575" customWidth="1"/>
    <col min="5129" max="5375" width="11.5703125" style="1575"/>
    <col min="5376" max="5376" width="5" style="1575" customWidth="1"/>
    <col min="5377" max="5377" width="42.85546875" style="1575" customWidth="1"/>
    <col min="5378" max="5378" width="8" style="1575" customWidth="1"/>
    <col min="5379" max="5379" width="17.5703125" style="1575" customWidth="1"/>
    <col min="5380" max="5380" width="20.28515625" style="1575" customWidth="1"/>
    <col min="5381" max="5381" width="38.28515625" style="1575" customWidth="1"/>
    <col min="5382" max="5382" width="17.85546875" style="1575" bestFit="1" customWidth="1"/>
    <col min="5383" max="5383" width="8.7109375" style="1575" customWidth="1"/>
    <col min="5384" max="5384" width="17.5703125" style="1575" customWidth="1"/>
    <col min="5385" max="5631" width="11.5703125" style="1575"/>
    <col min="5632" max="5632" width="5" style="1575" customWidth="1"/>
    <col min="5633" max="5633" width="42.85546875" style="1575" customWidth="1"/>
    <col min="5634" max="5634" width="8" style="1575" customWidth="1"/>
    <col min="5635" max="5635" width="17.5703125" style="1575" customWidth="1"/>
    <col min="5636" max="5636" width="20.28515625" style="1575" customWidth="1"/>
    <col min="5637" max="5637" width="38.28515625" style="1575" customWidth="1"/>
    <col min="5638" max="5638" width="17.85546875" style="1575" bestFit="1" customWidth="1"/>
    <col min="5639" max="5639" width="8.7109375" style="1575" customWidth="1"/>
    <col min="5640" max="5640" width="17.5703125" style="1575" customWidth="1"/>
    <col min="5641" max="5887" width="11.5703125" style="1575"/>
    <col min="5888" max="5888" width="5" style="1575" customWidth="1"/>
    <col min="5889" max="5889" width="42.85546875" style="1575" customWidth="1"/>
    <col min="5890" max="5890" width="8" style="1575" customWidth="1"/>
    <col min="5891" max="5891" width="17.5703125" style="1575" customWidth="1"/>
    <col min="5892" max="5892" width="20.28515625" style="1575" customWidth="1"/>
    <col min="5893" max="5893" width="38.28515625" style="1575" customWidth="1"/>
    <col min="5894" max="5894" width="17.85546875" style="1575" bestFit="1" customWidth="1"/>
    <col min="5895" max="5895" width="8.7109375" style="1575" customWidth="1"/>
    <col min="5896" max="5896" width="17.5703125" style="1575" customWidth="1"/>
    <col min="5897" max="6143" width="11.5703125" style="1575"/>
    <col min="6144" max="6144" width="5" style="1575" customWidth="1"/>
    <col min="6145" max="6145" width="42.85546875" style="1575" customWidth="1"/>
    <col min="6146" max="6146" width="8" style="1575" customWidth="1"/>
    <col min="6147" max="6147" width="17.5703125" style="1575" customWidth="1"/>
    <col min="6148" max="6148" width="20.28515625" style="1575" customWidth="1"/>
    <col min="6149" max="6149" width="38.28515625" style="1575" customWidth="1"/>
    <col min="6150" max="6150" width="17.85546875" style="1575" bestFit="1" customWidth="1"/>
    <col min="6151" max="6151" width="8.7109375" style="1575" customWidth="1"/>
    <col min="6152" max="6152" width="17.5703125" style="1575" customWidth="1"/>
    <col min="6153" max="6399" width="11.5703125" style="1575"/>
    <col min="6400" max="6400" width="5" style="1575" customWidth="1"/>
    <col min="6401" max="6401" width="42.85546875" style="1575" customWidth="1"/>
    <col min="6402" max="6402" width="8" style="1575" customWidth="1"/>
    <col min="6403" max="6403" width="17.5703125" style="1575" customWidth="1"/>
    <col min="6404" max="6404" width="20.28515625" style="1575" customWidth="1"/>
    <col min="6405" max="6405" width="38.28515625" style="1575" customWidth="1"/>
    <col min="6406" max="6406" width="17.85546875" style="1575" bestFit="1" customWidth="1"/>
    <col min="6407" max="6407" width="8.7109375" style="1575" customWidth="1"/>
    <col min="6408" max="6408" width="17.5703125" style="1575" customWidth="1"/>
    <col min="6409" max="6655" width="11.5703125" style="1575"/>
    <col min="6656" max="6656" width="5" style="1575" customWidth="1"/>
    <col min="6657" max="6657" width="42.85546875" style="1575" customWidth="1"/>
    <col min="6658" max="6658" width="8" style="1575" customWidth="1"/>
    <col min="6659" max="6659" width="17.5703125" style="1575" customWidth="1"/>
    <col min="6660" max="6660" width="20.28515625" style="1575" customWidth="1"/>
    <col min="6661" max="6661" width="38.28515625" style="1575" customWidth="1"/>
    <col min="6662" max="6662" width="17.85546875" style="1575" bestFit="1" customWidth="1"/>
    <col min="6663" max="6663" width="8.7109375" style="1575" customWidth="1"/>
    <col min="6664" max="6664" width="17.5703125" style="1575" customWidth="1"/>
    <col min="6665" max="6911" width="11.5703125" style="1575"/>
    <col min="6912" max="6912" width="5" style="1575" customWidth="1"/>
    <col min="6913" max="6913" width="42.85546875" style="1575" customWidth="1"/>
    <col min="6914" max="6914" width="8" style="1575" customWidth="1"/>
    <col min="6915" max="6915" width="17.5703125" style="1575" customWidth="1"/>
    <col min="6916" max="6916" width="20.28515625" style="1575" customWidth="1"/>
    <col min="6917" max="6917" width="38.28515625" style="1575" customWidth="1"/>
    <col min="6918" max="6918" width="17.85546875" style="1575" bestFit="1" customWidth="1"/>
    <col min="6919" max="6919" width="8.7109375" style="1575" customWidth="1"/>
    <col min="6920" max="6920" width="17.5703125" style="1575" customWidth="1"/>
    <col min="6921" max="7167" width="11.5703125" style="1575"/>
    <col min="7168" max="7168" width="5" style="1575" customWidth="1"/>
    <col min="7169" max="7169" width="42.85546875" style="1575" customWidth="1"/>
    <col min="7170" max="7170" width="8" style="1575" customWidth="1"/>
    <col min="7171" max="7171" width="17.5703125" style="1575" customWidth="1"/>
    <col min="7172" max="7172" width="20.28515625" style="1575" customWidth="1"/>
    <col min="7173" max="7173" width="38.28515625" style="1575" customWidth="1"/>
    <col min="7174" max="7174" width="17.85546875" style="1575" bestFit="1" customWidth="1"/>
    <col min="7175" max="7175" width="8.7109375" style="1575" customWidth="1"/>
    <col min="7176" max="7176" width="17.5703125" style="1575" customWidth="1"/>
    <col min="7177" max="7423" width="11.5703125" style="1575"/>
    <col min="7424" max="7424" width="5" style="1575" customWidth="1"/>
    <col min="7425" max="7425" width="42.85546875" style="1575" customWidth="1"/>
    <col min="7426" max="7426" width="8" style="1575" customWidth="1"/>
    <col min="7427" max="7427" width="17.5703125" style="1575" customWidth="1"/>
    <col min="7428" max="7428" width="20.28515625" style="1575" customWidth="1"/>
    <col min="7429" max="7429" width="38.28515625" style="1575" customWidth="1"/>
    <col min="7430" max="7430" width="17.85546875" style="1575" bestFit="1" customWidth="1"/>
    <col min="7431" max="7431" width="8.7109375" style="1575" customWidth="1"/>
    <col min="7432" max="7432" width="17.5703125" style="1575" customWidth="1"/>
    <col min="7433" max="7679" width="11.5703125" style="1575"/>
    <col min="7680" max="7680" width="5" style="1575" customWidth="1"/>
    <col min="7681" max="7681" width="42.85546875" style="1575" customWidth="1"/>
    <col min="7682" max="7682" width="8" style="1575" customWidth="1"/>
    <col min="7683" max="7683" width="17.5703125" style="1575" customWidth="1"/>
    <col min="7684" max="7684" width="20.28515625" style="1575" customWidth="1"/>
    <col min="7685" max="7685" width="38.28515625" style="1575" customWidth="1"/>
    <col min="7686" max="7686" width="17.85546875" style="1575" bestFit="1" customWidth="1"/>
    <col min="7687" max="7687" width="8.7109375" style="1575" customWidth="1"/>
    <col min="7688" max="7688" width="17.5703125" style="1575" customWidth="1"/>
    <col min="7689" max="7935" width="11.5703125" style="1575"/>
    <col min="7936" max="7936" width="5" style="1575" customWidth="1"/>
    <col min="7937" max="7937" width="42.85546875" style="1575" customWidth="1"/>
    <col min="7938" max="7938" width="8" style="1575" customWidth="1"/>
    <col min="7939" max="7939" width="17.5703125" style="1575" customWidth="1"/>
    <col min="7940" max="7940" width="20.28515625" style="1575" customWidth="1"/>
    <col min="7941" max="7941" width="38.28515625" style="1575" customWidth="1"/>
    <col min="7942" max="7942" width="17.85546875" style="1575" bestFit="1" customWidth="1"/>
    <col min="7943" max="7943" width="8.7109375" style="1575" customWidth="1"/>
    <col min="7944" max="7944" width="17.5703125" style="1575" customWidth="1"/>
    <col min="7945" max="8191" width="11.5703125" style="1575"/>
    <col min="8192" max="8192" width="5" style="1575" customWidth="1"/>
    <col min="8193" max="8193" width="42.85546875" style="1575" customWidth="1"/>
    <col min="8194" max="8194" width="8" style="1575" customWidth="1"/>
    <col min="8195" max="8195" width="17.5703125" style="1575" customWidth="1"/>
    <col min="8196" max="8196" width="20.28515625" style="1575" customWidth="1"/>
    <col min="8197" max="8197" width="38.28515625" style="1575" customWidth="1"/>
    <col min="8198" max="8198" width="17.85546875" style="1575" bestFit="1" customWidth="1"/>
    <col min="8199" max="8199" width="8.7109375" style="1575" customWidth="1"/>
    <col min="8200" max="8200" width="17.5703125" style="1575" customWidth="1"/>
    <col min="8201" max="8447" width="11.5703125" style="1575"/>
    <col min="8448" max="8448" width="5" style="1575" customWidth="1"/>
    <col min="8449" max="8449" width="42.85546875" style="1575" customWidth="1"/>
    <col min="8450" max="8450" width="8" style="1575" customWidth="1"/>
    <col min="8451" max="8451" width="17.5703125" style="1575" customWidth="1"/>
    <col min="8452" max="8452" width="20.28515625" style="1575" customWidth="1"/>
    <col min="8453" max="8453" width="38.28515625" style="1575" customWidth="1"/>
    <col min="8454" max="8454" width="17.85546875" style="1575" bestFit="1" customWidth="1"/>
    <col min="8455" max="8455" width="8.7109375" style="1575" customWidth="1"/>
    <col min="8456" max="8456" width="17.5703125" style="1575" customWidth="1"/>
    <col min="8457" max="8703" width="11.5703125" style="1575"/>
    <col min="8704" max="8704" width="5" style="1575" customWidth="1"/>
    <col min="8705" max="8705" width="42.85546875" style="1575" customWidth="1"/>
    <col min="8706" max="8706" width="8" style="1575" customWidth="1"/>
    <col min="8707" max="8707" width="17.5703125" style="1575" customWidth="1"/>
    <col min="8708" max="8708" width="20.28515625" style="1575" customWidth="1"/>
    <col min="8709" max="8709" width="38.28515625" style="1575" customWidth="1"/>
    <col min="8710" max="8710" width="17.85546875" style="1575" bestFit="1" customWidth="1"/>
    <col min="8711" max="8711" width="8.7109375" style="1575" customWidth="1"/>
    <col min="8712" max="8712" width="17.5703125" style="1575" customWidth="1"/>
    <col min="8713" max="8959" width="11.5703125" style="1575"/>
    <col min="8960" max="8960" width="5" style="1575" customWidth="1"/>
    <col min="8961" max="8961" width="42.85546875" style="1575" customWidth="1"/>
    <col min="8962" max="8962" width="8" style="1575" customWidth="1"/>
    <col min="8963" max="8963" width="17.5703125" style="1575" customWidth="1"/>
    <col min="8964" max="8964" width="20.28515625" style="1575" customWidth="1"/>
    <col min="8965" max="8965" width="38.28515625" style="1575" customWidth="1"/>
    <col min="8966" max="8966" width="17.85546875" style="1575" bestFit="1" customWidth="1"/>
    <col min="8967" max="8967" width="8.7109375" style="1575" customWidth="1"/>
    <col min="8968" max="8968" width="17.5703125" style="1575" customWidth="1"/>
    <col min="8969" max="9215" width="11.5703125" style="1575"/>
    <col min="9216" max="9216" width="5" style="1575" customWidth="1"/>
    <col min="9217" max="9217" width="42.85546875" style="1575" customWidth="1"/>
    <col min="9218" max="9218" width="8" style="1575" customWidth="1"/>
    <col min="9219" max="9219" width="17.5703125" style="1575" customWidth="1"/>
    <col min="9220" max="9220" width="20.28515625" style="1575" customWidth="1"/>
    <col min="9221" max="9221" width="38.28515625" style="1575" customWidth="1"/>
    <col min="9222" max="9222" width="17.85546875" style="1575" bestFit="1" customWidth="1"/>
    <col min="9223" max="9223" width="8.7109375" style="1575" customWidth="1"/>
    <col min="9224" max="9224" width="17.5703125" style="1575" customWidth="1"/>
    <col min="9225" max="9471" width="11.5703125" style="1575"/>
    <col min="9472" max="9472" width="5" style="1575" customWidth="1"/>
    <col min="9473" max="9473" width="42.85546875" style="1575" customWidth="1"/>
    <col min="9474" max="9474" width="8" style="1575" customWidth="1"/>
    <col min="9475" max="9475" width="17.5703125" style="1575" customWidth="1"/>
    <col min="9476" max="9476" width="20.28515625" style="1575" customWidth="1"/>
    <col min="9477" max="9477" width="38.28515625" style="1575" customWidth="1"/>
    <col min="9478" max="9478" width="17.85546875" style="1575" bestFit="1" customWidth="1"/>
    <col min="9479" max="9479" width="8.7109375" style="1575" customWidth="1"/>
    <col min="9480" max="9480" width="17.5703125" style="1575" customWidth="1"/>
    <col min="9481" max="9727" width="11.5703125" style="1575"/>
    <col min="9728" max="9728" width="5" style="1575" customWidth="1"/>
    <col min="9729" max="9729" width="42.85546875" style="1575" customWidth="1"/>
    <col min="9730" max="9730" width="8" style="1575" customWidth="1"/>
    <col min="9731" max="9731" width="17.5703125" style="1575" customWidth="1"/>
    <col min="9732" max="9732" width="20.28515625" style="1575" customWidth="1"/>
    <col min="9733" max="9733" width="38.28515625" style="1575" customWidth="1"/>
    <col min="9734" max="9734" width="17.85546875" style="1575" bestFit="1" customWidth="1"/>
    <col min="9735" max="9735" width="8.7109375" style="1575" customWidth="1"/>
    <col min="9736" max="9736" width="17.5703125" style="1575" customWidth="1"/>
    <col min="9737" max="9983" width="11.5703125" style="1575"/>
    <col min="9984" max="9984" width="5" style="1575" customWidth="1"/>
    <col min="9985" max="9985" width="42.85546875" style="1575" customWidth="1"/>
    <col min="9986" max="9986" width="8" style="1575" customWidth="1"/>
    <col min="9987" max="9987" width="17.5703125" style="1575" customWidth="1"/>
    <col min="9988" max="9988" width="20.28515625" style="1575" customWidth="1"/>
    <col min="9989" max="9989" width="38.28515625" style="1575" customWidth="1"/>
    <col min="9990" max="9990" width="17.85546875" style="1575" bestFit="1" customWidth="1"/>
    <col min="9991" max="9991" width="8.7109375" style="1575" customWidth="1"/>
    <col min="9992" max="9992" width="17.5703125" style="1575" customWidth="1"/>
    <col min="9993" max="10239" width="11.5703125" style="1575"/>
    <col min="10240" max="10240" width="5" style="1575" customWidth="1"/>
    <col min="10241" max="10241" width="42.85546875" style="1575" customWidth="1"/>
    <col min="10242" max="10242" width="8" style="1575" customWidth="1"/>
    <col min="10243" max="10243" width="17.5703125" style="1575" customWidth="1"/>
    <col min="10244" max="10244" width="20.28515625" style="1575" customWidth="1"/>
    <col min="10245" max="10245" width="38.28515625" style="1575" customWidth="1"/>
    <col min="10246" max="10246" width="17.85546875" style="1575" bestFit="1" customWidth="1"/>
    <col min="10247" max="10247" width="8.7109375" style="1575" customWidth="1"/>
    <col min="10248" max="10248" width="17.5703125" style="1575" customWidth="1"/>
    <col min="10249" max="10495" width="11.5703125" style="1575"/>
    <col min="10496" max="10496" width="5" style="1575" customWidth="1"/>
    <col min="10497" max="10497" width="42.85546875" style="1575" customWidth="1"/>
    <col min="10498" max="10498" width="8" style="1575" customWidth="1"/>
    <col min="10499" max="10499" width="17.5703125" style="1575" customWidth="1"/>
    <col min="10500" max="10500" width="20.28515625" style="1575" customWidth="1"/>
    <col min="10501" max="10501" width="38.28515625" style="1575" customWidth="1"/>
    <col min="10502" max="10502" width="17.85546875" style="1575" bestFit="1" customWidth="1"/>
    <col min="10503" max="10503" width="8.7109375" style="1575" customWidth="1"/>
    <col min="10504" max="10504" width="17.5703125" style="1575" customWidth="1"/>
    <col min="10505" max="10751" width="11.5703125" style="1575"/>
    <col min="10752" max="10752" width="5" style="1575" customWidth="1"/>
    <col min="10753" max="10753" width="42.85546875" style="1575" customWidth="1"/>
    <col min="10754" max="10754" width="8" style="1575" customWidth="1"/>
    <col min="10755" max="10755" width="17.5703125" style="1575" customWidth="1"/>
    <col min="10756" max="10756" width="20.28515625" style="1575" customWidth="1"/>
    <col min="10757" max="10757" width="38.28515625" style="1575" customWidth="1"/>
    <col min="10758" max="10758" width="17.85546875" style="1575" bestFit="1" customWidth="1"/>
    <col min="10759" max="10759" width="8.7109375" style="1575" customWidth="1"/>
    <col min="10760" max="10760" width="17.5703125" style="1575" customWidth="1"/>
    <col min="10761" max="11007" width="11.5703125" style="1575"/>
    <col min="11008" max="11008" width="5" style="1575" customWidth="1"/>
    <col min="11009" max="11009" width="42.85546875" style="1575" customWidth="1"/>
    <col min="11010" max="11010" width="8" style="1575" customWidth="1"/>
    <col min="11011" max="11011" width="17.5703125" style="1575" customWidth="1"/>
    <col min="11012" max="11012" width="20.28515625" style="1575" customWidth="1"/>
    <col min="11013" max="11013" width="38.28515625" style="1575" customWidth="1"/>
    <col min="11014" max="11014" width="17.85546875" style="1575" bestFit="1" customWidth="1"/>
    <col min="11015" max="11015" width="8.7109375" style="1575" customWidth="1"/>
    <col min="11016" max="11016" width="17.5703125" style="1575" customWidth="1"/>
    <col min="11017" max="11263" width="11.5703125" style="1575"/>
    <col min="11264" max="11264" width="5" style="1575" customWidth="1"/>
    <col min="11265" max="11265" width="42.85546875" style="1575" customWidth="1"/>
    <col min="11266" max="11266" width="8" style="1575" customWidth="1"/>
    <col min="11267" max="11267" width="17.5703125" style="1575" customWidth="1"/>
    <col min="11268" max="11268" width="20.28515625" style="1575" customWidth="1"/>
    <col min="11269" max="11269" width="38.28515625" style="1575" customWidth="1"/>
    <col min="11270" max="11270" width="17.85546875" style="1575" bestFit="1" customWidth="1"/>
    <col min="11271" max="11271" width="8.7109375" style="1575" customWidth="1"/>
    <col min="11272" max="11272" width="17.5703125" style="1575" customWidth="1"/>
    <col min="11273" max="11519" width="11.5703125" style="1575"/>
    <col min="11520" max="11520" width="5" style="1575" customWidth="1"/>
    <col min="11521" max="11521" width="42.85546875" style="1575" customWidth="1"/>
    <col min="11522" max="11522" width="8" style="1575" customWidth="1"/>
    <col min="11523" max="11523" width="17.5703125" style="1575" customWidth="1"/>
    <col min="11524" max="11524" width="20.28515625" style="1575" customWidth="1"/>
    <col min="11525" max="11525" width="38.28515625" style="1575" customWidth="1"/>
    <col min="11526" max="11526" width="17.85546875" style="1575" bestFit="1" customWidth="1"/>
    <col min="11527" max="11527" width="8.7109375" style="1575" customWidth="1"/>
    <col min="11528" max="11528" width="17.5703125" style="1575" customWidth="1"/>
    <col min="11529" max="11775" width="11.5703125" style="1575"/>
    <col min="11776" max="11776" width="5" style="1575" customWidth="1"/>
    <col min="11777" max="11777" width="42.85546875" style="1575" customWidth="1"/>
    <col min="11778" max="11778" width="8" style="1575" customWidth="1"/>
    <col min="11779" max="11779" width="17.5703125" style="1575" customWidth="1"/>
    <col min="11780" max="11780" width="20.28515625" style="1575" customWidth="1"/>
    <col min="11781" max="11781" width="38.28515625" style="1575" customWidth="1"/>
    <col min="11782" max="11782" width="17.85546875" style="1575" bestFit="1" customWidth="1"/>
    <col min="11783" max="11783" width="8.7109375" style="1575" customWidth="1"/>
    <col min="11784" max="11784" width="17.5703125" style="1575" customWidth="1"/>
    <col min="11785" max="12031" width="11.5703125" style="1575"/>
    <col min="12032" max="12032" width="5" style="1575" customWidth="1"/>
    <col min="12033" max="12033" width="42.85546875" style="1575" customWidth="1"/>
    <col min="12034" max="12034" width="8" style="1575" customWidth="1"/>
    <col min="12035" max="12035" width="17.5703125" style="1575" customWidth="1"/>
    <col min="12036" max="12036" width="20.28515625" style="1575" customWidth="1"/>
    <col min="12037" max="12037" width="38.28515625" style="1575" customWidth="1"/>
    <col min="12038" max="12038" width="17.85546875" style="1575" bestFit="1" customWidth="1"/>
    <col min="12039" max="12039" width="8.7109375" style="1575" customWidth="1"/>
    <col min="12040" max="12040" width="17.5703125" style="1575" customWidth="1"/>
    <col min="12041" max="12287" width="11.5703125" style="1575"/>
    <col min="12288" max="12288" width="5" style="1575" customWidth="1"/>
    <col min="12289" max="12289" width="42.85546875" style="1575" customWidth="1"/>
    <col min="12290" max="12290" width="8" style="1575" customWidth="1"/>
    <col min="12291" max="12291" width="17.5703125" style="1575" customWidth="1"/>
    <col min="12292" max="12292" width="20.28515625" style="1575" customWidth="1"/>
    <col min="12293" max="12293" width="38.28515625" style="1575" customWidth="1"/>
    <col min="12294" max="12294" width="17.85546875" style="1575" bestFit="1" customWidth="1"/>
    <col min="12295" max="12295" width="8.7109375" style="1575" customWidth="1"/>
    <col min="12296" max="12296" width="17.5703125" style="1575" customWidth="1"/>
    <col min="12297" max="12543" width="11.5703125" style="1575"/>
    <col min="12544" max="12544" width="5" style="1575" customWidth="1"/>
    <col min="12545" max="12545" width="42.85546875" style="1575" customWidth="1"/>
    <col min="12546" max="12546" width="8" style="1575" customWidth="1"/>
    <col min="12547" max="12547" width="17.5703125" style="1575" customWidth="1"/>
    <col min="12548" max="12548" width="20.28515625" style="1575" customWidth="1"/>
    <col min="12549" max="12549" width="38.28515625" style="1575" customWidth="1"/>
    <col min="12550" max="12550" width="17.85546875" style="1575" bestFit="1" customWidth="1"/>
    <col min="12551" max="12551" width="8.7109375" style="1575" customWidth="1"/>
    <col min="12552" max="12552" width="17.5703125" style="1575" customWidth="1"/>
    <col min="12553" max="12799" width="11.5703125" style="1575"/>
    <col min="12800" max="12800" width="5" style="1575" customWidth="1"/>
    <col min="12801" max="12801" width="42.85546875" style="1575" customWidth="1"/>
    <col min="12802" max="12802" width="8" style="1575" customWidth="1"/>
    <col min="12803" max="12803" width="17.5703125" style="1575" customWidth="1"/>
    <col min="12804" max="12804" width="20.28515625" style="1575" customWidth="1"/>
    <col min="12805" max="12805" width="38.28515625" style="1575" customWidth="1"/>
    <col min="12806" max="12806" width="17.85546875" style="1575" bestFit="1" customWidth="1"/>
    <col min="12807" max="12807" width="8.7109375" style="1575" customWidth="1"/>
    <col min="12808" max="12808" width="17.5703125" style="1575" customWidth="1"/>
    <col min="12809" max="13055" width="11.5703125" style="1575"/>
    <col min="13056" max="13056" width="5" style="1575" customWidth="1"/>
    <col min="13057" max="13057" width="42.85546875" style="1575" customWidth="1"/>
    <col min="13058" max="13058" width="8" style="1575" customWidth="1"/>
    <col min="13059" max="13059" width="17.5703125" style="1575" customWidth="1"/>
    <col min="13060" max="13060" width="20.28515625" style="1575" customWidth="1"/>
    <col min="13061" max="13061" width="38.28515625" style="1575" customWidth="1"/>
    <col min="13062" max="13062" width="17.85546875" style="1575" bestFit="1" customWidth="1"/>
    <col min="13063" max="13063" width="8.7109375" style="1575" customWidth="1"/>
    <col min="13064" max="13064" width="17.5703125" style="1575" customWidth="1"/>
    <col min="13065" max="13311" width="11.5703125" style="1575"/>
    <col min="13312" max="13312" width="5" style="1575" customWidth="1"/>
    <col min="13313" max="13313" width="42.85546875" style="1575" customWidth="1"/>
    <col min="13314" max="13314" width="8" style="1575" customWidth="1"/>
    <col min="13315" max="13315" width="17.5703125" style="1575" customWidth="1"/>
    <col min="13316" max="13316" width="20.28515625" style="1575" customWidth="1"/>
    <col min="13317" max="13317" width="38.28515625" style="1575" customWidth="1"/>
    <col min="13318" max="13318" width="17.85546875" style="1575" bestFit="1" customWidth="1"/>
    <col min="13319" max="13319" width="8.7109375" style="1575" customWidth="1"/>
    <col min="13320" max="13320" width="17.5703125" style="1575" customWidth="1"/>
    <col min="13321" max="13567" width="11.5703125" style="1575"/>
    <col min="13568" max="13568" width="5" style="1575" customWidth="1"/>
    <col min="13569" max="13569" width="42.85546875" style="1575" customWidth="1"/>
    <col min="13570" max="13570" width="8" style="1575" customWidth="1"/>
    <col min="13571" max="13571" width="17.5703125" style="1575" customWidth="1"/>
    <col min="13572" max="13572" width="20.28515625" style="1575" customWidth="1"/>
    <col min="13573" max="13573" width="38.28515625" style="1575" customWidth="1"/>
    <col min="13574" max="13574" width="17.85546875" style="1575" bestFit="1" customWidth="1"/>
    <col min="13575" max="13575" width="8.7109375" style="1575" customWidth="1"/>
    <col min="13576" max="13576" width="17.5703125" style="1575" customWidth="1"/>
    <col min="13577" max="13823" width="11.5703125" style="1575"/>
    <col min="13824" max="13824" width="5" style="1575" customWidth="1"/>
    <col min="13825" max="13825" width="42.85546875" style="1575" customWidth="1"/>
    <col min="13826" max="13826" width="8" style="1575" customWidth="1"/>
    <col min="13827" max="13827" width="17.5703125" style="1575" customWidth="1"/>
    <col min="13828" max="13828" width="20.28515625" style="1575" customWidth="1"/>
    <col min="13829" max="13829" width="38.28515625" style="1575" customWidth="1"/>
    <col min="13830" max="13830" width="17.85546875" style="1575" bestFit="1" customWidth="1"/>
    <col min="13831" max="13831" width="8.7109375" style="1575" customWidth="1"/>
    <col min="13832" max="13832" width="17.5703125" style="1575" customWidth="1"/>
    <col min="13833" max="14079" width="11.5703125" style="1575"/>
    <col min="14080" max="14080" width="5" style="1575" customWidth="1"/>
    <col min="14081" max="14081" width="42.85546875" style="1575" customWidth="1"/>
    <col min="14082" max="14082" width="8" style="1575" customWidth="1"/>
    <col min="14083" max="14083" width="17.5703125" style="1575" customWidth="1"/>
    <col min="14084" max="14084" width="20.28515625" style="1575" customWidth="1"/>
    <col min="14085" max="14085" width="38.28515625" style="1575" customWidth="1"/>
    <col min="14086" max="14086" width="17.85546875" style="1575" bestFit="1" customWidth="1"/>
    <col min="14087" max="14087" width="8.7109375" style="1575" customWidth="1"/>
    <col min="14088" max="14088" width="17.5703125" style="1575" customWidth="1"/>
    <col min="14089" max="14335" width="11.5703125" style="1575"/>
    <col min="14336" max="14336" width="5" style="1575" customWidth="1"/>
    <col min="14337" max="14337" width="42.85546875" style="1575" customWidth="1"/>
    <col min="14338" max="14338" width="8" style="1575" customWidth="1"/>
    <col min="14339" max="14339" width="17.5703125" style="1575" customWidth="1"/>
    <col min="14340" max="14340" width="20.28515625" style="1575" customWidth="1"/>
    <col min="14341" max="14341" width="38.28515625" style="1575" customWidth="1"/>
    <col min="14342" max="14342" width="17.85546875" style="1575" bestFit="1" customWidth="1"/>
    <col min="14343" max="14343" width="8.7109375" style="1575" customWidth="1"/>
    <col min="14344" max="14344" width="17.5703125" style="1575" customWidth="1"/>
    <col min="14345" max="14591" width="11.5703125" style="1575"/>
    <col min="14592" max="14592" width="5" style="1575" customWidth="1"/>
    <col min="14593" max="14593" width="42.85546875" style="1575" customWidth="1"/>
    <col min="14594" max="14594" width="8" style="1575" customWidth="1"/>
    <col min="14595" max="14595" width="17.5703125" style="1575" customWidth="1"/>
    <col min="14596" max="14596" width="20.28515625" style="1575" customWidth="1"/>
    <col min="14597" max="14597" width="38.28515625" style="1575" customWidth="1"/>
    <col min="14598" max="14598" width="17.85546875" style="1575" bestFit="1" customWidth="1"/>
    <col min="14599" max="14599" width="8.7109375" style="1575" customWidth="1"/>
    <col min="14600" max="14600" width="17.5703125" style="1575" customWidth="1"/>
    <col min="14601" max="14847" width="11.5703125" style="1575"/>
    <col min="14848" max="14848" width="5" style="1575" customWidth="1"/>
    <col min="14849" max="14849" width="42.85546875" style="1575" customWidth="1"/>
    <col min="14850" max="14850" width="8" style="1575" customWidth="1"/>
    <col min="14851" max="14851" width="17.5703125" style="1575" customWidth="1"/>
    <col min="14852" max="14852" width="20.28515625" style="1575" customWidth="1"/>
    <col min="14853" max="14853" width="38.28515625" style="1575" customWidth="1"/>
    <col min="14854" max="14854" width="17.85546875" style="1575" bestFit="1" customWidth="1"/>
    <col min="14855" max="14855" width="8.7109375" style="1575" customWidth="1"/>
    <col min="14856" max="14856" width="17.5703125" style="1575" customWidth="1"/>
    <col min="14857" max="15103" width="11.5703125" style="1575"/>
    <col min="15104" max="15104" width="5" style="1575" customWidth="1"/>
    <col min="15105" max="15105" width="42.85546875" style="1575" customWidth="1"/>
    <col min="15106" max="15106" width="8" style="1575" customWidth="1"/>
    <col min="15107" max="15107" width="17.5703125" style="1575" customWidth="1"/>
    <col min="15108" max="15108" width="20.28515625" style="1575" customWidth="1"/>
    <col min="15109" max="15109" width="38.28515625" style="1575" customWidth="1"/>
    <col min="15110" max="15110" width="17.85546875" style="1575" bestFit="1" customWidth="1"/>
    <col min="15111" max="15111" width="8.7109375" style="1575" customWidth="1"/>
    <col min="15112" max="15112" width="17.5703125" style="1575" customWidth="1"/>
    <col min="15113" max="15359" width="11.5703125" style="1575"/>
    <col min="15360" max="15360" width="5" style="1575" customWidth="1"/>
    <col min="15361" max="15361" width="42.85546875" style="1575" customWidth="1"/>
    <col min="15362" max="15362" width="8" style="1575" customWidth="1"/>
    <col min="15363" max="15363" width="17.5703125" style="1575" customWidth="1"/>
    <col min="15364" max="15364" width="20.28515625" style="1575" customWidth="1"/>
    <col min="15365" max="15365" width="38.28515625" style="1575" customWidth="1"/>
    <col min="15366" max="15366" width="17.85546875" style="1575" bestFit="1" customWidth="1"/>
    <col min="15367" max="15367" width="8.7109375" style="1575" customWidth="1"/>
    <col min="15368" max="15368" width="17.5703125" style="1575" customWidth="1"/>
    <col min="15369" max="15615" width="11.5703125" style="1575"/>
    <col min="15616" max="15616" width="5" style="1575" customWidth="1"/>
    <col min="15617" max="15617" width="42.85546875" style="1575" customWidth="1"/>
    <col min="15618" max="15618" width="8" style="1575" customWidth="1"/>
    <col min="15619" max="15619" width="17.5703125" style="1575" customWidth="1"/>
    <col min="15620" max="15620" width="20.28515625" style="1575" customWidth="1"/>
    <col min="15621" max="15621" width="38.28515625" style="1575" customWidth="1"/>
    <col min="15622" max="15622" width="17.85546875" style="1575" bestFit="1" customWidth="1"/>
    <col min="15623" max="15623" width="8.7109375" style="1575" customWidth="1"/>
    <col min="15624" max="15624" width="17.5703125" style="1575" customWidth="1"/>
    <col min="15625" max="15871" width="11.5703125" style="1575"/>
    <col min="15872" max="15872" width="5" style="1575" customWidth="1"/>
    <col min="15873" max="15873" width="42.85546875" style="1575" customWidth="1"/>
    <col min="15874" max="15874" width="8" style="1575" customWidth="1"/>
    <col min="15875" max="15875" width="17.5703125" style="1575" customWidth="1"/>
    <col min="15876" max="15876" width="20.28515625" style="1575" customWidth="1"/>
    <col min="15877" max="15877" width="38.28515625" style="1575" customWidth="1"/>
    <col min="15878" max="15878" width="17.85546875" style="1575" bestFit="1" customWidth="1"/>
    <col min="15879" max="15879" width="8.7109375" style="1575" customWidth="1"/>
    <col min="15880" max="15880" width="17.5703125" style="1575" customWidth="1"/>
    <col min="15881" max="16127" width="11.5703125" style="1575"/>
    <col min="16128" max="16128" width="5" style="1575" customWidth="1"/>
    <col min="16129" max="16129" width="42.85546875" style="1575" customWidth="1"/>
    <col min="16130" max="16130" width="8" style="1575" customWidth="1"/>
    <col min="16131" max="16131" width="17.5703125" style="1575" customWidth="1"/>
    <col min="16132" max="16132" width="20.28515625" style="1575" customWidth="1"/>
    <col min="16133" max="16133" width="38.28515625" style="1575" customWidth="1"/>
    <col min="16134" max="16134" width="17.85546875" style="1575" bestFit="1" customWidth="1"/>
    <col min="16135" max="16135" width="8.7109375" style="1575" customWidth="1"/>
    <col min="16136" max="16136" width="17.5703125" style="1575" customWidth="1"/>
    <col min="16137" max="16384" width="11.5703125" style="1575"/>
  </cols>
  <sheetData>
    <row r="1" spans="1:8" ht="18" customHeight="1">
      <c r="C1" s="1575" t="s">
        <v>1073</v>
      </c>
      <c r="G1" s="1576" t="s">
        <v>1020</v>
      </c>
    </row>
    <row r="4" spans="1:8" s="1578" customFormat="1" ht="15" customHeight="1">
      <c r="A4" s="1577" t="s">
        <v>480</v>
      </c>
      <c r="B4" s="1578" t="s">
        <v>1078</v>
      </c>
      <c r="G4" s="1579">
        <f>+G14</f>
        <v>185746400</v>
      </c>
      <c r="H4" s="1577" t="s">
        <v>202</v>
      </c>
    </row>
    <row r="5" spans="1:8" s="1578" customFormat="1" ht="15" customHeight="1">
      <c r="A5" s="1580"/>
      <c r="B5" s="1581" t="s">
        <v>1077</v>
      </c>
      <c r="G5" s="1579"/>
      <c r="H5" s="1577"/>
    </row>
    <row r="6" spans="1:8" s="1578" customFormat="1" ht="15" customHeight="1">
      <c r="A6" s="1580" t="s">
        <v>30</v>
      </c>
      <c r="B6" s="1582" t="s">
        <v>154</v>
      </c>
      <c r="G6" s="1583">
        <f>G4-G10</f>
        <v>35746400</v>
      </c>
      <c r="H6" s="1580" t="s">
        <v>202</v>
      </c>
    </row>
    <row r="7" spans="1:8" s="1578" customFormat="1" ht="15" customHeight="1">
      <c r="A7" s="1580" t="s">
        <v>30</v>
      </c>
      <c r="B7" s="1582" t="s">
        <v>1076</v>
      </c>
      <c r="G7" s="1584">
        <f>G6/G4</f>
        <v>0.19244733679899045</v>
      </c>
      <c r="H7" s="1580"/>
    </row>
    <row r="8" spans="1:8" s="1578" customFormat="1" ht="15" hidden="1" customHeight="1">
      <c r="A8" s="1585" t="s">
        <v>615</v>
      </c>
      <c r="B8" s="1582" t="s">
        <v>1074</v>
      </c>
      <c r="G8" s="1586" t="e">
        <f>(#REF!-G11)/#REF!</f>
        <v>#REF!</v>
      </c>
      <c r="H8" s="1580"/>
    </row>
    <row r="9" spans="1:8" s="1578" customFormat="1" ht="15" hidden="1" customHeight="1">
      <c r="A9" s="1585" t="s">
        <v>615</v>
      </c>
      <c r="B9" s="1582" t="s">
        <v>1073</v>
      </c>
      <c r="G9" s="1586">
        <f>(G15-G12)/G15</f>
        <v>-2.7685790949380444</v>
      </c>
      <c r="H9" s="1580"/>
    </row>
    <row r="10" spans="1:8" s="1578" customFormat="1" ht="15" customHeight="1">
      <c r="A10" s="1577" t="s">
        <v>30</v>
      </c>
      <c r="B10" s="1578" t="s">
        <v>1075</v>
      </c>
      <c r="G10" s="1579">
        <v>150000000</v>
      </c>
      <c r="H10" s="1577" t="s">
        <v>202</v>
      </c>
    </row>
    <row r="11" spans="1:8" s="1582" customFormat="1" ht="15" hidden="1" customHeight="1">
      <c r="A11" s="1585" t="s">
        <v>615</v>
      </c>
      <c r="B11" s="1582" t="s">
        <v>1074</v>
      </c>
      <c r="G11" s="1583">
        <v>1100000000</v>
      </c>
      <c r="H11" s="1580" t="s">
        <v>202</v>
      </c>
    </row>
    <row r="12" spans="1:8" s="1582" customFormat="1" ht="15" hidden="1" customHeight="1">
      <c r="A12" s="1585" t="s">
        <v>615</v>
      </c>
      <c r="B12" s="1582" t="s">
        <v>1073</v>
      </c>
      <c r="G12" s="1583">
        <v>700000000</v>
      </c>
      <c r="H12" s="1580" t="s">
        <v>202</v>
      </c>
    </row>
    <row r="13" spans="1:8" s="1578" customFormat="1" ht="15" customHeight="1">
      <c r="A13" s="1577" t="s">
        <v>485</v>
      </c>
      <c r="B13" s="1578" t="s">
        <v>1072</v>
      </c>
      <c r="F13" s="1587"/>
      <c r="G13" s="1579">
        <f>+G14+G30+G33</f>
        <v>199246400</v>
      </c>
      <c r="H13" s="1577" t="s">
        <v>202</v>
      </c>
    </row>
    <row r="14" spans="1:8" s="1589" customFormat="1" ht="15" customHeight="1">
      <c r="A14" s="1588">
        <v>1.1000000000000001</v>
      </c>
      <c r="B14" s="1589" t="s">
        <v>1063</v>
      </c>
      <c r="F14" s="1590"/>
      <c r="G14" s="1591">
        <f>+G15</f>
        <v>185746400</v>
      </c>
      <c r="H14" s="1588" t="s">
        <v>202</v>
      </c>
    </row>
    <row r="15" spans="1:8" s="1589" customFormat="1" ht="15" customHeight="1">
      <c r="A15" s="2292">
        <v>1</v>
      </c>
      <c r="B15" s="1592" t="s">
        <v>1061</v>
      </c>
      <c r="C15" s="1593">
        <v>1.4</v>
      </c>
      <c r="D15" s="1593" t="s">
        <v>1060</v>
      </c>
      <c r="E15" s="1593"/>
      <c r="F15" s="1594"/>
      <c r="G15" s="1595">
        <f>C15*G16</f>
        <v>185746400</v>
      </c>
      <c r="H15" s="1596" t="s">
        <v>202</v>
      </c>
    </row>
    <row r="16" spans="1:8" s="1589" customFormat="1" ht="15" customHeight="1">
      <c r="A16" s="1597" t="s">
        <v>30</v>
      </c>
      <c r="B16" s="2370" t="s">
        <v>1059</v>
      </c>
      <c r="C16" s="2371"/>
      <c r="D16" s="2371"/>
      <c r="E16" s="2371"/>
      <c r="F16" s="2372"/>
      <c r="G16" s="1595">
        <f>SUM(G17:G28)</f>
        <v>132676000</v>
      </c>
      <c r="H16" s="1596" t="s">
        <v>202</v>
      </c>
    </row>
    <row r="17" spans="1:8" s="1589" customFormat="1" ht="15" customHeight="1">
      <c r="A17" s="2292" t="s">
        <v>1058</v>
      </c>
      <c r="B17" s="2292" t="s">
        <v>1057</v>
      </c>
      <c r="C17" s="2292" t="s">
        <v>1056</v>
      </c>
      <c r="D17" s="2292" t="s">
        <v>1055</v>
      </c>
      <c r="E17" s="2373" t="s">
        <v>3</v>
      </c>
      <c r="F17" s="2373"/>
      <c r="G17" s="2292" t="s">
        <v>4</v>
      </c>
      <c r="H17" s="1598"/>
    </row>
    <row r="18" spans="1:8" ht="15" customHeight="1">
      <c r="A18" s="1599">
        <v>1</v>
      </c>
      <c r="B18" s="1600" t="s">
        <v>1054</v>
      </c>
      <c r="C18" s="1601" t="s">
        <v>11</v>
      </c>
      <c r="D18" s="1602">
        <v>450</v>
      </c>
      <c r="E18" s="2369">
        <v>10300</v>
      </c>
      <c r="F18" s="2369"/>
      <c r="G18" s="1603">
        <f t="shared" ref="G18:G26" si="0">E18*D18</f>
        <v>4635000</v>
      </c>
      <c r="H18" s="1604" t="s">
        <v>202</v>
      </c>
    </row>
    <row r="19" spans="1:8" ht="15" customHeight="1">
      <c r="A19" s="1599">
        <v>2</v>
      </c>
      <c r="B19" s="1600" t="s">
        <v>1053</v>
      </c>
      <c r="C19" s="1601" t="s">
        <v>11</v>
      </c>
      <c r="D19" s="1602">
        <v>250</v>
      </c>
      <c r="E19" s="2369">
        <v>5000</v>
      </c>
      <c r="F19" s="2369"/>
      <c r="G19" s="1603">
        <f t="shared" si="0"/>
        <v>1250000</v>
      </c>
      <c r="H19" s="1604" t="s">
        <v>202</v>
      </c>
    </row>
    <row r="20" spans="1:8" ht="15" customHeight="1">
      <c r="A20" s="1599">
        <v>3</v>
      </c>
      <c r="B20" s="1600" t="s">
        <v>1052</v>
      </c>
      <c r="C20" s="1601" t="s">
        <v>11</v>
      </c>
      <c r="D20" s="1602">
        <v>550</v>
      </c>
      <c r="E20" s="2369">
        <v>5000</v>
      </c>
      <c r="F20" s="2369"/>
      <c r="G20" s="1603">
        <f t="shared" si="0"/>
        <v>2750000</v>
      </c>
      <c r="H20" s="1604" t="s">
        <v>202</v>
      </c>
    </row>
    <row r="21" spans="1:8" ht="15" customHeight="1">
      <c r="A21" s="1599">
        <v>4</v>
      </c>
      <c r="B21" s="1600" t="s">
        <v>1051</v>
      </c>
      <c r="C21" s="1601" t="s">
        <v>11</v>
      </c>
      <c r="D21" s="1602">
        <v>350</v>
      </c>
      <c r="E21" s="2369">
        <v>11000</v>
      </c>
      <c r="F21" s="2369"/>
      <c r="G21" s="1603">
        <f t="shared" si="0"/>
        <v>3850000</v>
      </c>
      <c r="H21" s="1604" t="s">
        <v>202</v>
      </c>
    </row>
    <row r="22" spans="1:8" ht="15" customHeight="1">
      <c r="A22" s="1599">
        <v>5</v>
      </c>
      <c r="B22" s="1600" t="s">
        <v>1050</v>
      </c>
      <c r="C22" s="1601" t="s">
        <v>513</v>
      </c>
      <c r="D22" s="1602">
        <v>4</v>
      </c>
      <c r="E22" s="2369">
        <v>350000</v>
      </c>
      <c r="F22" s="2369"/>
      <c r="G22" s="1603">
        <f t="shared" si="0"/>
        <v>1400000</v>
      </c>
      <c r="H22" s="1604" t="s">
        <v>202</v>
      </c>
    </row>
    <row r="23" spans="1:8" ht="15" customHeight="1">
      <c r="A23" s="1599">
        <v>6</v>
      </c>
      <c r="B23" s="1600" t="s">
        <v>1049</v>
      </c>
      <c r="C23" s="1601" t="s">
        <v>11</v>
      </c>
      <c r="D23" s="1602">
        <v>11000</v>
      </c>
      <c r="E23" s="2369">
        <v>3000</v>
      </c>
      <c r="F23" s="2369"/>
      <c r="G23" s="1603">
        <f t="shared" si="0"/>
        <v>33000000</v>
      </c>
      <c r="H23" s="1604" t="s">
        <v>202</v>
      </c>
    </row>
    <row r="24" spans="1:8" ht="15" customHeight="1">
      <c r="A24" s="1599">
        <v>7</v>
      </c>
      <c r="B24" s="1600" t="s">
        <v>1048</v>
      </c>
      <c r="C24" s="1601" t="s">
        <v>513</v>
      </c>
      <c r="D24" s="1602">
        <v>1</v>
      </c>
      <c r="E24" s="2369">
        <v>350000</v>
      </c>
      <c r="F24" s="2369"/>
      <c r="G24" s="1603">
        <f t="shared" si="0"/>
        <v>350000</v>
      </c>
      <c r="H24" s="1604" t="s">
        <v>202</v>
      </c>
    </row>
    <row r="25" spans="1:8" ht="15" customHeight="1">
      <c r="A25" s="1599">
        <v>8</v>
      </c>
      <c r="B25" s="1600" t="s">
        <v>1047</v>
      </c>
      <c r="C25" s="1601" t="s">
        <v>513</v>
      </c>
      <c r="D25" s="1602">
        <v>1</v>
      </c>
      <c r="E25" s="2369">
        <v>1000000</v>
      </c>
      <c r="F25" s="2369"/>
      <c r="G25" s="1603">
        <f t="shared" si="0"/>
        <v>1000000</v>
      </c>
      <c r="H25" s="1604" t="s">
        <v>202</v>
      </c>
    </row>
    <row r="26" spans="1:8" ht="15" customHeight="1">
      <c r="A26" s="1599">
        <v>9</v>
      </c>
      <c r="B26" s="1600" t="s">
        <v>1046</v>
      </c>
      <c r="C26" s="1601" t="s">
        <v>513</v>
      </c>
      <c r="D26" s="1602">
        <v>167</v>
      </c>
      <c r="E26" s="2369">
        <v>23000</v>
      </c>
      <c r="F26" s="2369"/>
      <c r="G26" s="1603">
        <f t="shared" si="0"/>
        <v>3841000</v>
      </c>
      <c r="H26" s="1604"/>
    </row>
    <row r="27" spans="1:8" ht="15" customHeight="1">
      <c r="A27" s="1599">
        <v>10</v>
      </c>
      <c r="B27" s="1600" t="s">
        <v>1045</v>
      </c>
      <c r="C27" s="1605"/>
      <c r="D27" s="1606"/>
      <c r="E27" s="2369"/>
      <c r="F27" s="2369"/>
      <c r="G27" s="1603">
        <v>5000000</v>
      </c>
      <c r="H27" s="1604" t="s">
        <v>202</v>
      </c>
    </row>
    <row r="28" spans="1:8" ht="15" customHeight="1">
      <c r="A28" s="1599">
        <v>11</v>
      </c>
      <c r="B28" s="1600" t="s">
        <v>1044</v>
      </c>
      <c r="C28" s="1605" t="s">
        <v>511</v>
      </c>
      <c r="D28" s="1606">
        <v>315</v>
      </c>
      <c r="E28" s="2369">
        <v>240000</v>
      </c>
      <c r="F28" s="2369"/>
      <c r="G28" s="1603">
        <f>E28*D28</f>
        <v>75600000</v>
      </c>
      <c r="H28" s="1604" t="s">
        <v>202</v>
      </c>
    </row>
    <row r="29" spans="1:8" s="1589" customFormat="1" ht="35.25" customHeight="1">
      <c r="A29" s="2374" t="s">
        <v>3219</v>
      </c>
      <c r="B29" s="2375"/>
      <c r="C29" s="2375"/>
      <c r="D29" s="2375"/>
      <c r="E29" s="2375"/>
      <c r="F29" s="2375"/>
      <c r="G29" s="2375"/>
      <c r="H29" s="1607"/>
    </row>
    <row r="30" spans="1:8" ht="15" customHeight="1">
      <c r="A30" s="1588">
        <v>1.2</v>
      </c>
      <c r="B30" s="1589" t="s">
        <v>1043</v>
      </c>
      <c r="C30" s="1589"/>
      <c r="D30" s="1589"/>
      <c r="E30" s="1589"/>
      <c r="F30" s="1590"/>
      <c r="G30" s="1591">
        <f>SUM(G31:G31)</f>
        <v>13500000</v>
      </c>
      <c r="H30" s="1588" t="s">
        <v>202</v>
      </c>
    </row>
    <row r="31" spans="1:8" ht="16.5">
      <c r="A31" s="1574" t="s">
        <v>615</v>
      </c>
      <c r="B31" s="1575" t="s">
        <v>1109</v>
      </c>
      <c r="D31" s="1608" t="str">
        <f>G10&amp;" x"</f>
        <v>150000000 x</v>
      </c>
      <c r="E31" s="1609">
        <v>0.09</v>
      </c>
      <c r="F31" s="1610" t="s">
        <v>1025</v>
      </c>
      <c r="G31" s="1608">
        <f>G10*E31</f>
        <v>13500000</v>
      </c>
      <c r="H31" s="1574" t="s">
        <v>202</v>
      </c>
    </row>
    <row r="32" spans="1:8" ht="16.5">
      <c r="A32" s="1574" t="s">
        <v>615</v>
      </c>
      <c r="B32" s="1575" t="s">
        <v>1109</v>
      </c>
      <c r="D32" s="1608" t="s">
        <v>1108</v>
      </c>
      <c r="E32" s="1609">
        <v>0.09</v>
      </c>
      <c r="F32" s="1610" t="s">
        <v>1025</v>
      </c>
      <c r="G32" s="1608">
        <f>140000000*9%/12*3</f>
        <v>3150000</v>
      </c>
      <c r="H32" s="1574" t="s">
        <v>202</v>
      </c>
    </row>
    <row r="33" spans="1:8" s="1589" customFormat="1" ht="16.5" hidden="1">
      <c r="A33" s="1588">
        <v>1.3</v>
      </c>
      <c r="B33" s="1589" t="s">
        <v>1038</v>
      </c>
      <c r="D33" s="1591"/>
      <c r="E33" s="1611"/>
      <c r="F33" s="1590"/>
      <c r="G33" s="1591">
        <f>SUM(G34:G34)</f>
        <v>0</v>
      </c>
      <c r="H33" s="1574" t="s">
        <v>202</v>
      </c>
    </row>
    <row r="34" spans="1:8" ht="16.5" hidden="1">
      <c r="A34" s="1574" t="s">
        <v>615</v>
      </c>
      <c r="B34" s="1575" t="s">
        <v>1037</v>
      </c>
      <c r="D34" s="1608" t="s">
        <v>1036</v>
      </c>
      <c r="E34" s="1612">
        <v>0</v>
      </c>
      <c r="F34" s="1613" t="s">
        <v>540</v>
      </c>
      <c r="G34" s="1608">
        <f>20000000*E34</f>
        <v>0</v>
      </c>
      <c r="H34" s="1574" t="s">
        <v>202</v>
      </c>
    </row>
    <row r="35" spans="1:8" s="1582" customFormat="1" ht="16.5">
      <c r="A35" s="1577" t="s">
        <v>489</v>
      </c>
      <c r="B35" s="1578" t="s">
        <v>1032</v>
      </c>
      <c r="C35" s="1578"/>
      <c r="D35" s="1578"/>
      <c r="E35" s="1578"/>
      <c r="F35" s="1587" t="s">
        <v>1025</v>
      </c>
      <c r="G35" s="1579">
        <f>G36</f>
        <v>336000000</v>
      </c>
      <c r="H35" s="1577" t="s">
        <v>202</v>
      </c>
    </row>
    <row r="36" spans="1:8" s="1582" customFormat="1" ht="15" customHeight="1">
      <c r="A36" s="1580"/>
      <c r="B36" s="1582" t="s">
        <v>1031</v>
      </c>
      <c r="D36" s="1580"/>
      <c r="E36" s="1580"/>
      <c r="F36" s="1614"/>
      <c r="G36" s="1583">
        <f>G38</f>
        <v>336000000</v>
      </c>
      <c r="H36" s="1580" t="s">
        <v>202</v>
      </c>
    </row>
    <row r="37" spans="1:8" s="1582" customFormat="1" ht="15" customHeight="1">
      <c r="A37" s="1585" t="s">
        <v>615</v>
      </c>
      <c r="B37" s="1582" t="s">
        <v>3220</v>
      </c>
      <c r="D37" s="1580"/>
      <c r="E37" s="1580"/>
      <c r="F37" s="1587"/>
      <c r="G37" s="1583"/>
      <c r="H37" s="1580"/>
    </row>
    <row r="38" spans="1:8" s="1582" customFormat="1" ht="15" customHeight="1">
      <c r="A38" s="1580"/>
      <c r="D38" s="1580">
        <f>C15</f>
        <v>1.4</v>
      </c>
      <c r="E38" s="1615" t="s">
        <v>1030</v>
      </c>
      <c r="F38" s="1587"/>
      <c r="G38" s="1583">
        <f>+D38*4*60000000</f>
        <v>336000000</v>
      </c>
      <c r="H38" s="1580" t="s">
        <v>202</v>
      </c>
    </row>
    <row r="39" spans="1:8" s="1582" customFormat="1" ht="15" customHeight="1">
      <c r="A39" s="1577" t="s">
        <v>547</v>
      </c>
      <c r="B39" s="1578" t="s">
        <v>1107</v>
      </c>
      <c r="C39" s="1578"/>
      <c r="D39" s="1578"/>
      <c r="E39" s="1578"/>
      <c r="F39" s="1587"/>
      <c r="G39" s="1579"/>
      <c r="H39" s="1577"/>
    </row>
    <row r="40" spans="1:8" s="1582" customFormat="1" ht="15" customHeight="1">
      <c r="A40" s="1585" t="s">
        <v>615</v>
      </c>
      <c r="B40" s="1582" t="s">
        <v>1027</v>
      </c>
      <c r="D40" s="1583">
        <f>G35</f>
        <v>336000000</v>
      </c>
      <c r="E40" s="1583">
        <f>-(+G10+G30)</f>
        <v>-163500000</v>
      </c>
      <c r="F40" s="1614" t="s">
        <v>1025</v>
      </c>
      <c r="G40" s="1583">
        <f>+D40+E40</f>
        <v>172500000</v>
      </c>
      <c r="H40" s="1580" t="s">
        <v>202</v>
      </c>
    </row>
    <row r="41" spans="1:8" s="1582" customFormat="1" ht="15" customHeight="1">
      <c r="A41" s="1585" t="s">
        <v>615</v>
      </c>
      <c r="B41" s="1582" t="s">
        <v>1026</v>
      </c>
      <c r="D41" s="1583">
        <f>G35</f>
        <v>336000000</v>
      </c>
      <c r="E41" s="1583">
        <f>-G13</f>
        <v>-199246400</v>
      </c>
      <c r="F41" s="1614" t="s">
        <v>1025</v>
      </c>
      <c r="G41" s="1583">
        <f>D41+E41</f>
        <v>136753600</v>
      </c>
      <c r="H41" s="1580" t="s">
        <v>202</v>
      </c>
    </row>
  </sheetData>
  <mergeCells count="14">
    <mergeCell ref="E28:F28"/>
    <mergeCell ref="A29:G29"/>
    <mergeCell ref="E22:F22"/>
    <mergeCell ref="E23:F23"/>
    <mergeCell ref="E24:F24"/>
    <mergeCell ref="E25:F25"/>
    <mergeCell ref="E26:F26"/>
    <mergeCell ref="E27:F27"/>
    <mergeCell ref="E21:F21"/>
    <mergeCell ref="B16:F16"/>
    <mergeCell ref="E17:F17"/>
    <mergeCell ref="E18:F18"/>
    <mergeCell ref="E19:F19"/>
    <mergeCell ref="E20:F20"/>
  </mergeCells>
  <printOptions horizontalCentered="1"/>
  <pageMargins left="0" right="0" top="0.24" bottom="0.39" header="0.17" footer="0.32"/>
  <pageSetup paperSize="9" scale="70"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IV39"/>
  <sheetViews>
    <sheetView workbookViewId="0">
      <selection activeCell="J13" sqref="J13"/>
    </sheetView>
  </sheetViews>
  <sheetFormatPr defaultRowHeight="16.5"/>
  <cols>
    <col min="1" max="1" width="31.28515625" style="525" customWidth="1"/>
    <col min="2" max="2" width="12.28515625" style="525" customWidth="1"/>
    <col min="3" max="3" width="12.42578125" style="525" customWidth="1"/>
    <col min="4" max="4" width="14.140625" style="525" customWidth="1"/>
    <col min="5" max="6" width="17.42578125" style="525" customWidth="1"/>
    <col min="7" max="256" width="9.140625" style="525"/>
    <col min="257" max="257" width="31.28515625" style="525" customWidth="1"/>
    <col min="258" max="258" width="12.28515625" style="525" customWidth="1"/>
    <col min="259" max="259" width="12.42578125" style="525" customWidth="1"/>
    <col min="260" max="260" width="14.140625" style="525" customWidth="1"/>
    <col min="261" max="262" width="17.42578125" style="525" customWidth="1"/>
    <col min="263" max="512" width="9.140625" style="525"/>
    <col min="513" max="513" width="31.28515625" style="525" customWidth="1"/>
    <col min="514" max="514" width="12.28515625" style="525" customWidth="1"/>
    <col min="515" max="515" width="12.42578125" style="525" customWidth="1"/>
    <col min="516" max="516" width="14.140625" style="525" customWidth="1"/>
    <col min="517" max="518" width="17.42578125" style="525" customWidth="1"/>
    <col min="519" max="768" width="9.140625" style="525"/>
    <col min="769" max="769" width="31.28515625" style="525" customWidth="1"/>
    <col min="770" max="770" width="12.28515625" style="525" customWidth="1"/>
    <col min="771" max="771" width="12.42578125" style="525" customWidth="1"/>
    <col min="772" max="772" width="14.140625" style="525" customWidth="1"/>
    <col min="773" max="774" width="17.42578125" style="525" customWidth="1"/>
    <col min="775" max="1024" width="9.140625" style="525"/>
    <col min="1025" max="1025" width="31.28515625" style="525" customWidth="1"/>
    <col min="1026" max="1026" width="12.28515625" style="525" customWidth="1"/>
    <col min="1027" max="1027" width="12.42578125" style="525" customWidth="1"/>
    <col min="1028" max="1028" width="14.140625" style="525" customWidth="1"/>
    <col min="1029" max="1030" width="17.42578125" style="525" customWidth="1"/>
    <col min="1031" max="1280" width="9.140625" style="525"/>
    <col min="1281" max="1281" width="31.28515625" style="525" customWidth="1"/>
    <col min="1282" max="1282" width="12.28515625" style="525" customWidth="1"/>
    <col min="1283" max="1283" width="12.42578125" style="525" customWidth="1"/>
    <col min="1284" max="1284" width="14.140625" style="525" customWidth="1"/>
    <col min="1285" max="1286" width="17.42578125" style="525" customWidth="1"/>
    <col min="1287" max="1536" width="9.140625" style="525"/>
    <col min="1537" max="1537" width="31.28515625" style="525" customWidth="1"/>
    <col min="1538" max="1538" width="12.28515625" style="525" customWidth="1"/>
    <col min="1539" max="1539" width="12.42578125" style="525" customWidth="1"/>
    <col min="1540" max="1540" width="14.140625" style="525" customWidth="1"/>
    <col min="1541" max="1542" width="17.42578125" style="525" customWidth="1"/>
    <col min="1543" max="1792" width="9.140625" style="525"/>
    <col min="1793" max="1793" width="31.28515625" style="525" customWidth="1"/>
    <col min="1794" max="1794" width="12.28515625" style="525" customWidth="1"/>
    <col min="1795" max="1795" width="12.42578125" style="525" customWidth="1"/>
    <col min="1796" max="1796" width="14.140625" style="525" customWidth="1"/>
    <col min="1797" max="1798" width="17.42578125" style="525" customWidth="1"/>
    <col min="1799" max="2048" width="9.140625" style="525"/>
    <col min="2049" max="2049" width="31.28515625" style="525" customWidth="1"/>
    <col min="2050" max="2050" width="12.28515625" style="525" customWidth="1"/>
    <col min="2051" max="2051" width="12.42578125" style="525" customWidth="1"/>
    <col min="2052" max="2052" width="14.140625" style="525" customWidth="1"/>
    <col min="2053" max="2054" width="17.42578125" style="525" customWidth="1"/>
    <col min="2055" max="2304" width="9.140625" style="525"/>
    <col min="2305" max="2305" width="31.28515625" style="525" customWidth="1"/>
    <col min="2306" max="2306" width="12.28515625" style="525" customWidth="1"/>
    <col min="2307" max="2307" width="12.42578125" style="525" customWidth="1"/>
    <col min="2308" max="2308" width="14.140625" style="525" customWidth="1"/>
    <col min="2309" max="2310" width="17.42578125" style="525" customWidth="1"/>
    <col min="2311" max="2560" width="9.140625" style="525"/>
    <col min="2561" max="2561" width="31.28515625" style="525" customWidth="1"/>
    <col min="2562" max="2562" width="12.28515625" style="525" customWidth="1"/>
    <col min="2563" max="2563" width="12.42578125" style="525" customWidth="1"/>
    <col min="2564" max="2564" width="14.140625" style="525" customWidth="1"/>
    <col min="2565" max="2566" width="17.42578125" style="525" customWidth="1"/>
    <col min="2567" max="2816" width="9.140625" style="525"/>
    <col min="2817" max="2817" width="31.28515625" style="525" customWidth="1"/>
    <col min="2818" max="2818" width="12.28515625" style="525" customWidth="1"/>
    <col min="2819" max="2819" width="12.42578125" style="525" customWidth="1"/>
    <col min="2820" max="2820" width="14.140625" style="525" customWidth="1"/>
    <col min="2821" max="2822" width="17.42578125" style="525" customWidth="1"/>
    <col min="2823" max="3072" width="9.140625" style="525"/>
    <col min="3073" max="3073" width="31.28515625" style="525" customWidth="1"/>
    <col min="3074" max="3074" width="12.28515625" style="525" customWidth="1"/>
    <col min="3075" max="3075" width="12.42578125" style="525" customWidth="1"/>
    <col min="3076" max="3076" width="14.140625" style="525" customWidth="1"/>
    <col min="3077" max="3078" width="17.42578125" style="525" customWidth="1"/>
    <col min="3079" max="3328" width="9.140625" style="525"/>
    <col min="3329" max="3329" width="31.28515625" style="525" customWidth="1"/>
    <col min="3330" max="3330" width="12.28515625" style="525" customWidth="1"/>
    <col min="3331" max="3331" width="12.42578125" style="525" customWidth="1"/>
    <col min="3332" max="3332" width="14.140625" style="525" customWidth="1"/>
    <col min="3333" max="3334" width="17.42578125" style="525" customWidth="1"/>
    <col min="3335" max="3584" width="9.140625" style="525"/>
    <col min="3585" max="3585" width="31.28515625" style="525" customWidth="1"/>
    <col min="3586" max="3586" width="12.28515625" style="525" customWidth="1"/>
    <col min="3587" max="3587" width="12.42578125" style="525" customWidth="1"/>
    <col min="3588" max="3588" width="14.140625" style="525" customWidth="1"/>
    <col min="3589" max="3590" width="17.42578125" style="525" customWidth="1"/>
    <col min="3591" max="3840" width="9.140625" style="525"/>
    <col min="3841" max="3841" width="31.28515625" style="525" customWidth="1"/>
    <col min="3842" max="3842" width="12.28515625" style="525" customWidth="1"/>
    <col min="3843" max="3843" width="12.42578125" style="525" customWidth="1"/>
    <col min="3844" max="3844" width="14.140625" style="525" customWidth="1"/>
    <col min="3845" max="3846" width="17.42578125" style="525" customWidth="1"/>
    <col min="3847" max="4096" width="9.140625" style="525"/>
    <col min="4097" max="4097" width="31.28515625" style="525" customWidth="1"/>
    <col min="4098" max="4098" width="12.28515625" style="525" customWidth="1"/>
    <col min="4099" max="4099" width="12.42578125" style="525" customWidth="1"/>
    <col min="4100" max="4100" width="14.140625" style="525" customWidth="1"/>
    <col min="4101" max="4102" width="17.42578125" style="525" customWidth="1"/>
    <col min="4103" max="4352" width="9.140625" style="525"/>
    <col min="4353" max="4353" width="31.28515625" style="525" customWidth="1"/>
    <col min="4354" max="4354" width="12.28515625" style="525" customWidth="1"/>
    <col min="4355" max="4355" width="12.42578125" style="525" customWidth="1"/>
    <col min="4356" max="4356" width="14.140625" style="525" customWidth="1"/>
    <col min="4357" max="4358" width="17.42578125" style="525" customWidth="1"/>
    <col min="4359" max="4608" width="9.140625" style="525"/>
    <col min="4609" max="4609" width="31.28515625" style="525" customWidth="1"/>
    <col min="4610" max="4610" width="12.28515625" style="525" customWidth="1"/>
    <col min="4611" max="4611" width="12.42578125" style="525" customWidth="1"/>
    <col min="4612" max="4612" width="14.140625" style="525" customWidth="1"/>
    <col min="4613" max="4614" width="17.42578125" style="525" customWidth="1"/>
    <col min="4615" max="4864" width="9.140625" style="525"/>
    <col min="4865" max="4865" width="31.28515625" style="525" customWidth="1"/>
    <col min="4866" max="4866" width="12.28515625" style="525" customWidth="1"/>
    <col min="4867" max="4867" width="12.42578125" style="525" customWidth="1"/>
    <col min="4868" max="4868" width="14.140625" style="525" customWidth="1"/>
    <col min="4869" max="4870" width="17.42578125" style="525" customWidth="1"/>
    <col min="4871" max="5120" width="9.140625" style="525"/>
    <col min="5121" max="5121" width="31.28515625" style="525" customWidth="1"/>
    <col min="5122" max="5122" width="12.28515625" style="525" customWidth="1"/>
    <col min="5123" max="5123" width="12.42578125" style="525" customWidth="1"/>
    <col min="5124" max="5124" width="14.140625" style="525" customWidth="1"/>
    <col min="5125" max="5126" width="17.42578125" style="525" customWidth="1"/>
    <col min="5127" max="5376" width="9.140625" style="525"/>
    <col min="5377" max="5377" width="31.28515625" style="525" customWidth="1"/>
    <col min="5378" max="5378" width="12.28515625" style="525" customWidth="1"/>
    <col min="5379" max="5379" width="12.42578125" style="525" customWidth="1"/>
    <col min="5380" max="5380" width="14.140625" style="525" customWidth="1"/>
    <col min="5381" max="5382" width="17.42578125" style="525" customWidth="1"/>
    <col min="5383" max="5632" width="9.140625" style="525"/>
    <col min="5633" max="5633" width="31.28515625" style="525" customWidth="1"/>
    <col min="5634" max="5634" width="12.28515625" style="525" customWidth="1"/>
    <col min="5635" max="5635" width="12.42578125" style="525" customWidth="1"/>
    <col min="5636" max="5636" width="14.140625" style="525" customWidth="1"/>
    <col min="5637" max="5638" width="17.42578125" style="525" customWidth="1"/>
    <col min="5639" max="5888" width="9.140625" style="525"/>
    <col min="5889" max="5889" width="31.28515625" style="525" customWidth="1"/>
    <col min="5890" max="5890" width="12.28515625" style="525" customWidth="1"/>
    <col min="5891" max="5891" width="12.42578125" style="525" customWidth="1"/>
    <col min="5892" max="5892" width="14.140625" style="525" customWidth="1"/>
    <col min="5893" max="5894" width="17.42578125" style="525" customWidth="1"/>
    <col min="5895" max="6144" width="9.140625" style="525"/>
    <col min="6145" max="6145" width="31.28515625" style="525" customWidth="1"/>
    <col min="6146" max="6146" width="12.28515625" style="525" customWidth="1"/>
    <col min="6147" max="6147" width="12.42578125" style="525" customWidth="1"/>
    <col min="6148" max="6148" width="14.140625" style="525" customWidth="1"/>
    <col min="6149" max="6150" width="17.42578125" style="525" customWidth="1"/>
    <col min="6151" max="6400" width="9.140625" style="525"/>
    <col min="6401" max="6401" width="31.28515625" style="525" customWidth="1"/>
    <col min="6402" max="6402" width="12.28515625" style="525" customWidth="1"/>
    <col min="6403" max="6403" width="12.42578125" style="525" customWidth="1"/>
    <col min="6404" max="6404" width="14.140625" style="525" customWidth="1"/>
    <col min="6405" max="6406" width="17.42578125" style="525" customWidth="1"/>
    <col min="6407" max="6656" width="9.140625" style="525"/>
    <col min="6657" max="6657" width="31.28515625" style="525" customWidth="1"/>
    <col min="6658" max="6658" width="12.28515625" style="525" customWidth="1"/>
    <col min="6659" max="6659" width="12.42578125" style="525" customWidth="1"/>
    <col min="6660" max="6660" width="14.140625" style="525" customWidth="1"/>
    <col min="6661" max="6662" width="17.42578125" style="525" customWidth="1"/>
    <col min="6663" max="6912" width="9.140625" style="525"/>
    <col min="6913" max="6913" width="31.28515625" style="525" customWidth="1"/>
    <col min="6914" max="6914" width="12.28515625" style="525" customWidth="1"/>
    <col min="6915" max="6915" width="12.42578125" style="525" customWidth="1"/>
    <col min="6916" max="6916" width="14.140625" style="525" customWidth="1"/>
    <col min="6917" max="6918" width="17.42578125" style="525" customWidth="1"/>
    <col min="6919" max="7168" width="9.140625" style="525"/>
    <col min="7169" max="7169" width="31.28515625" style="525" customWidth="1"/>
    <col min="7170" max="7170" width="12.28515625" style="525" customWidth="1"/>
    <col min="7171" max="7171" width="12.42578125" style="525" customWidth="1"/>
    <col min="7172" max="7172" width="14.140625" style="525" customWidth="1"/>
    <col min="7173" max="7174" width="17.42578125" style="525" customWidth="1"/>
    <col min="7175" max="7424" width="9.140625" style="525"/>
    <col min="7425" max="7425" width="31.28515625" style="525" customWidth="1"/>
    <col min="7426" max="7426" width="12.28515625" style="525" customWidth="1"/>
    <col min="7427" max="7427" width="12.42578125" style="525" customWidth="1"/>
    <col min="7428" max="7428" width="14.140625" style="525" customWidth="1"/>
    <col min="7429" max="7430" width="17.42578125" style="525" customWidth="1"/>
    <col min="7431" max="7680" width="9.140625" style="525"/>
    <col min="7681" max="7681" width="31.28515625" style="525" customWidth="1"/>
    <col min="7682" max="7682" width="12.28515625" style="525" customWidth="1"/>
    <col min="7683" max="7683" width="12.42578125" style="525" customWidth="1"/>
    <col min="7684" max="7684" width="14.140625" style="525" customWidth="1"/>
    <col min="7685" max="7686" width="17.42578125" style="525" customWidth="1"/>
    <col min="7687" max="7936" width="9.140625" style="525"/>
    <col min="7937" max="7937" width="31.28515625" style="525" customWidth="1"/>
    <col min="7938" max="7938" width="12.28515625" style="525" customWidth="1"/>
    <col min="7939" max="7939" width="12.42578125" style="525" customWidth="1"/>
    <col min="7940" max="7940" width="14.140625" style="525" customWidth="1"/>
    <col min="7941" max="7942" width="17.42578125" style="525" customWidth="1"/>
    <col min="7943" max="8192" width="9.140625" style="525"/>
    <col min="8193" max="8193" width="31.28515625" style="525" customWidth="1"/>
    <col min="8194" max="8194" width="12.28515625" style="525" customWidth="1"/>
    <col min="8195" max="8195" width="12.42578125" style="525" customWidth="1"/>
    <col min="8196" max="8196" width="14.140625" style="525" customWidth="1"/>
    <col min="8197" max="8198" width="17.42578125" style="525" customWidth="1"/>
    <col min="8199" max="8448" width="9.140625" style="525"/>
    <col min="8449" max="8449" width="31.28515625" style="525" customWidth="1"/>
    <col min="8450" max="8450" width="12.28515625" style="525" customWidth="1"/>
    <col min="8451" max="8451" width="12.42578125" style="525" customWidth="1"/>
    <col min="8452" max="8452" width="14.140625" style="525" customWidth="1"/>
    <col min="8453" max="8454" width="17.42578125" style="525" customWidth="1"/>
    <col min="8455" max="8704" width="9.140625" style="525"/>
    <col min="8705" max="8705" width="31.28515625" style="525" customWidth="1"/>
    <col min="8706" max="8706" width="12.28515625" style="525" customWidth="1"/>
    <col min="8707" max="8707" width="12.42578125" style="525" customWidth="1"/>
    <col min="8708" max="8708" width="14.140625" style="525" customWidth="1"/>
    <col min="8709" max="8710" width="17.42578125" style="525" customWidth="1"/>
    <col min="8711" max="8960" width="9.140625" style="525"/>
    <col min="8961" max="8961" width="31.28515625" style="525" customWidth="1"/>
    <col min="8962" max="8962" width="12.28515625" style="525" customWidth="1"/>
    <col min="8963" max="8963" width="12.42578125" style="525" customWidth="1"/>
    <col min="8964" max="8964" width="14.140625" style="525" customWidth="1"/>
    <col min="8965" max="8966" width="17.42578125" style="525" customWidth="1"/>
    <col min="8967" max="9216" width="9.140625" style="525"/>
    <col min="9217" max="9217" width="31.28515625" style="525" customWidth="1"/>
    <col min="9218" max="9218" width="12.28515625" style="525" customWidth="1"/>
    <col min="9219" max="9219" width="12.42578125" style="525" customWidth="1"/>
    <col min="9220" max="9220" width="14.140625" style="525" customWidth="1"/>
    <col min="9221" max="9222" width="17.42578125" style="525" customWidth="1"/>
    <col min="9223" max="9472" width="9.140625" style="525"/>
    <col min="9473" max="9473" width="31.28515625" style="525" customWidth="1"/>
    <col min="9474" max="9474" width="12.28515625" style="525" customWidth="1"/>
    <col min="9475" max="9475" width="12.42578125" style="525" customWidth="1"/>
    <col min="9476" max="9476" width="14.140625" style="525" customWidth="1"/>
    <col min="9477" max="9478" width="17.42578125" style="525" customWidth="1"/>
    <col min="9479" max="9728" width="9.140625" style="525"/>
    <col min="9729" max="9729" width="31.28515625" style="525" customWidth="1"/>
    <col min="9730" max="9730" width="12.28515625" style="525" customWidth="1"/>
    <col min="9731" max="9731" width="12.42578125" style="525" customWidth="1"/>
    <col min="9732" max="9732" width="14.140625" style="525" customWidth="1"/>
    <col min="9733" max="9734" width="17.42578125" style="525" customWidth="1"/>
    <col min="9735" max="9984" width="9.140625" style="525"/>
    <col min="9985" max="9985" width="31.28515625" style="525" customWidth="1"/>
    <col min="9986" max="9986" width="12.28515625" style="525" customWidth="1"/>
    <col min="9987" max="9987" width="12.42578125" style="525" customWidth="1"/>
    <col min="9988" max="9988" width="14.140625" style="525" customWidth="1"/>
    <col min="9989" max="9990" width="17.42578125" style="525" customWidth="1"/>
    <col min="9991" max="10240" width="9.140625" style="525"/>
    <col min="10241" max="10241" width="31.28515625" style="525" customWidth="1"/>
    <col min="10242" max="10242" width="12.28515625" style="525" customWidth="1"/>
    <col min="10243" max="10243" width="12.42578125" style="525" customWidth="1"/>
    <col min="10244" max="10244" width="14.140625" style="525" customWidth="1"/>
    <col min="10245" max="10246" width="17.42578125" style="525" customWidth="1"/>
    <col min="10247" max="10496" width="9.140625" style="525"/>
    <col min="10497" max="10497" width="31.28515625" style="525" customWidth="1"/>
    <col min="10498" max="10498" width="12.28515625" style="525" customWidth="1"/>
    <col min="10499" max="10499" width="12.42578125" style="525" customWidth="1"/>
    <col min="10500" max="10500" width="14.140625" style="525" customWidth="1"/>
    <col min="10501" max="10502" width="17.42578125" style="525" customWidth="1"/>
    <col min="10503" max="10752" width="9.140625" style="525"/>
    <col min="10753" max="10753" width="31.28515625" style="525" customWidth="1"/>
    <col min="10754" max="10754" width="12.28515625" style="525" customWidth="1"/>
    <col min="10755" max="10755" width="12.42578125" style="525" customWidth="1"/>
    <col min="10756" max="10756" width="14.140625" style="525" customWidth="1"/>
    <col min="10757" max="10758" width="17.42578125" style="525" customWidth="1"/>
    <col min="10759" max="11008" width="9.140625" style="525"/>
    <col min="11009" max="11009" width="31.28515625" style="525" customWidth="1"/>
    <col min="11010" max="11010" width="12.28515625" style="525" customWidth="1"/>
    <col min="11011" max="11011" width="12.42578125" style="525" customWidth="1"/>
    <col min="11012" max="11012" width="14.140625" style="525" customWidth="1"/>
    <col min="11013" max="11014" width="17.42578125" style="525" customWidth="1"/>
    <col min="11015" max="11264" width="9.140625" style="525"/>
    <col min="11265" max="11265" width="31.28515625" style="525" customWidth="1"/>
    <col min="11266" max="11266" width="12.28515625" style="525" customWidth="1"/>
    <col min="11267" max="11267" width="12.42578125" style="525" customWidth="1"/>
    <col min="11268" max="11268" width="14.140625" style="525" customWidth="1"/>
    <col min="11269" max="11270" width="17.42578125" style="525" customWidth="1"/>
    <col min="11271" max="11520" width="9.140625" style="525"/>
    <col min="11521" max="11521" width="31.28515625" style="525" customWidth="1"/>
    <col min="11522" max="11522" width="12.28515625" style="525" customWidth="1"/>
    <col min="11523" max="11523" width="12.42578125" style="525" customWidth="1"/>
    <col min="11524" max="11524" width="14.140625" style="525" customWidth="1"/>
    <col min="11525" max="11526" width="17.42578125" style="525" customWidth="1"/>
    <col min="11527" max="11776" width="9.140625" style="525"/>
    <col min="11777" max="11777" width="31.28515625" style="525" customWidth="1"/>
    <col min="11778" max="11778" width="12.28515625" style="525" customWidth="1"/>
    <col min="11779" max="11779" width="12.42578125" style="525" customWidth="1"/>
    <col min="11780" max="11780" width="14.140625" style="525" customWidth="1"/>
    <col min="11781" max="11782" width="17.42578125" style="525" customWidth="1"/>
    <col min="11783" max="12032" width="9.140625" style="525"/>
    <col min="12033" max="12033" width="31.28515625" style="525" customWidth="1"/>
    <col min="12034" max="12034" width="12.28515625" style="525" customWidth="1"/>
    <col min="12035" max="12035" width="12.42578125" style="525" customWidth="1"/>
    <col min="12036" max="12036" width="14.140625" style="525" customWidth="1"/>
    <col min="12037" max="12038" width="17.42578125" style="525" customWidth="1"/>
    <col min="12039" max="12288" width="9.140625" style="525"/>
    <col min="12289" max="12289" width="31.28515625" style="525" customWidth="1"/>
    <col min="12290" max="12290" width="12.28515625" style="525" customWidth="1"/>
    <col min="12291" max="12291" width="12.42578125" style="525" customWidth="1"/>
    <col min="12292" max="12292" width="14.140625" style="525" customWidth="1"/>
    <col min="12293" max="12294" width="17.42578125" style="525" customWidth="1"/>
    <col min="12295" max="12544" width="9.140625" style="525"/>
    <col min="12545" max="12545" width="31.28515625" style="525" customWidth="1"/>
    <col min="12546" max="12546" width="12.28515625" style="525" customWidth="1"/>
    <col min="12547" max="12547" width="12.42578125" style="525" customWidth="1"/>
    <col min="12548" max="12548" width="14.140625" style="525" customWidth="1"/>
    <col min="12549" max="12550" width="17.42578125" style="525" customWidth="1"/>
    <col min="12551" max="12800" width="9.140625" style="525"/>
    <col min="12801" max="12801" width="31.28515625" style="525" customWidth="1"/>
    <col min="12802" max="12802" width="12.28515625" style="525" customWidth="1"/>
    <col min="12803" max="12803" width="12.42578125" style="525" customWidth="1"/>
    <col min="12804" max="12804" width="14.140625" style="525" customWidth="1"/>
    <col min="12805" max="12806" width="17.42578125" style="525" customWidth="1"/>
    <col min="12807" max="13056" width="9.140625" style="525"/>
    <col min="13057" max="13057" width="31.28515625" style="525" customWidth="1"/>
    <col min="13058" max="13058" width="12.28515625" style="525" customWidth="1"/>
    <col min="13059" max="13059" width="12.42578125" style="525" customWidth="1"/>
    <col min="13060" max="13060" width="14.140625" style="525" customWidth="1"/>
    <col min="13061" max="13062" width="17.42578125" style="525" customWidth="1"/>
    <col min="13063" max="13312" width="9.140625" style="525"/>
    <col min="13313" max="13313" width="31.28515625" style="525" customWidth="1"/>
    <col min="13314" max="13314" width="12.28515625" style="525" customWidth="1"/>
    <col min="13315" max="13315" width="12.42578125" style="525" customWidth="1"/>
    <col min="13316" max="13316" width="14.140625" style="525" customWidth="1"/>
    <col min="13317" max="13318" width="17.42578125" style="525" customWidth="1"/>
    <col min="13319" max="13568" width="9.140625" style="525"/>
    <col min="13569" max="13569" width="31.28515625" style="525" customWidth="1"/>
    <col min="13570" max="13570" width="12.28515625" style="525" customWidth="1"/>
    <col min="13571" max="13571" width="12.42578125" style="525" customWidth="1"/>
    <col min="13572" max="13572" width="14.140625" style="525" customWidth="1"/>
    <col min="13573" max="13574" width="17.42578125" style="525" customWidth="1"/>
    <col min="13575" max="13824" width="9.140625" style="525"/>
    <col min="13825" max="13825" width="31.28515625" style="525" customWidth="1"/>
    <col min="13826" max="13826" width="12.28515625" style="525" customWidth="1"/>
    <col min="13827" max="13827" width="12.42578125" style="525" customWidth="1"/>
    <col min="13828" max="13828" width="14.140625" style="525" customWidth="1"/>
    <col min="13829" max="13830" width="17.42578125" style="525" customWidth="1"/>
    <col min="13831" max="14080" width="9.140625" style="525"/>
    <col min="14081" max="14081" width="31.28515625" style="525" customWidth="1"/>
    <col min="14082" max="14082" width="12.28515625" style="525" customWidth="1"/>
    <col min="14083" max="14083" width="12.42578125" style="525" customWidth="1"/>
    <col min="14084" max="14084" width="14.140625" style="525" customWidth="1"/>
    <col min="14085" max="14086" width="17.42578125" style="525" customWidth="1"/>
    <col min="14087" max="14336" width="9.140625" style="525"/>
    <col min="14337" max="14337" width="31.28515625" style="525" customWidth="1"/>
    <col min="14338" max="14338" width="12.28515625" style="525" customWidth="1"/>
    <col min="14339" max="14339" width="12.42578125" style="525" customWidth="1"/>
    <col min="14340" max="14340" width="14.140625" style="525" customWidth="1"/>
    <col min="14341" max="14342" width="17.42578125" style="525" customWidth="1"/>
    <col min="14343" max="14592" width="9.140625" style="525"/>
    <col min="14593" max="14593" width="31.28515625" style="525" customWidth="1"/>
    <col min="14594" max="14594" width="12.28515625" style="525" customWidth="1"/>
    <col min="14595" max="14595" width="12.42578125" style="525" customWidth="1"/>
    <col min="14596" max="14596" width="14.140625" style="525" customWidth="1"/>
    <col min="14597" max="14598" width="17.42578125" style="525" customWidth="1"/>
    <col min="14599" max="14848" width="9.140625" style="525"/>
    <col min="14849" max="14849" width="31.28515625" style="525" customWidth="1"/>
    <col min="14850" max="14850" width="12.28515625" style="525" customWidth="1"/>
    <col min="14851" max="14851" width="12.42578125" style="525" customWidth="1"/>
    <col min="14852" max="14852" width="14.140625" style="525" customWidth="1"/>
    <col min="14853" max="14854" width="17.42578125" style="525" customWidth="1"/>
    <col min="14855" max="15104" width="9.140625" style="525"/>
    <col min="15105" max="15105" width="31.28515625" style="525" customWidth="1"/>
    <col min="15106" max="15106" width="12.28515625" style="525" customWidth="1"/>
    <col min="15107" max="15107" width="12.42578125" style="525" customWidth="1"/>
    <col min="15108" max="15108" width="14.140625" style="525" customWidth="1"/>
    <col min="15109" max="15110" width="17.42578125" style="525" customWidth="1"/>
    <col min="15111" max="15360" width="9.140625" style="525"/>
    <col min="15361" max="15361" width="31.28515625" style="525" customWidth="1"/>
    <col min="15362" max="15362" width="12.28515625" style="525" customWidth="1"/>
    <col min="15363" max="15363" width="12.42578125" style="525" customWidth="1"/>
    <col min="15364" max="15364" width="14.140625" style="525" customWidth="1"/>
    <col min="15365" max="15366" width="17.42578125" style="525" customWidth="1"/>
    <col min="15367" max="15616" width="9.140625" style="525"/>
    <col min="15617" max="15617" width="31.28515625" style="525" customWidth="1"/>
    <col min="15618" max="15618" width="12.28515625" style="525" customWidth="1"/>
    <col min="15619" max="15619" width="12.42578125" style="525" customWidth="1"/>
    <col min="15620" max="15620" width="14.140625" style="525" customWidth="1"/>
    <col min="15621" max="15622" width="17.42578125" style="525" customWidth="1"/>
    <col min="15623" max="15872" width="9.140625" style="525"/>
    <col min="15873" max="15873" width="31.28515625" style="525" customWidth="1"/>
    <col min="15874" max="15874" width="12.28515625" style="525" customWidth="1"/>
    <col min="15875" max="15875" width="12.42578125" style="525" customWidth="1"/>
    <col min="15876" max="15876" width="14.140625" style="525" customWidth="1"/>
    <col min="15877" max="15878" width="17.42578125" style="525" customWidth="1"/>
    <col min="15879" max="16128" width="9.140625" style="525"/>
    <col min="16129" max="16129" width="31.28515625" style="525" customWidth="1"/>
    <col min="16130" max="16130" width="12.28515625" style="525" customWidth="1"/>
    <col min="16131" max="16131" width="12.42578125" style="525" customWidth="1"/>
    <col min="16132" max="16132" width="14.140625" style="525" customWidth="1"/>
    <col min="16133" max="16134" width="17.42578125" style="525" customWidth="1"/>
    <col min="16135" max="16384" width="9.140625" style="525"/>
  </cols>
  <sheetData>
    <row r="1" spans="1:256" ht="15" customHeight="1">
      <c r="C1" s="525" t="s">
        <v>1327</v>
      </c>
      <c r="G1" s="1388" t="s">
        <v>1020</v>
      </c>
    </row>
    <row r="2" spans="1:256" ht="15" customHeight="1"/>
    <row r="3" spans="1:256" ht="15" customHeight="1"/>
    <row r="4" spans="1:256" ht="15" customHeight="1"/>
    <row r="5" spans="1:256" ht="15" customHeight="1"/>
    <row r="6" spans="1:256" ht="18.75" customHeight="1"/>
    <row r="7" spans="1:256">
      <c r="A7" s="2376" t="s">
        <v>1326</v>
      </c>
      <c r="B7" s="2376"/>
      <c r="C7" s="2376"/>
      <c r="D7" s="2376"/>
      <c r="E7" s="2376"/>
    </row>
    <row r="8" spans="1:256">
      <c r="A8" s="2377" t="s">
        <v>1325</v>
      </c>
      <c r="B8" s="2377"/>
      <c r="C8" s="2377"/>
      <c r="D8" s="2377"/>
      <c r="E8" s="2377"/>
    </row>
    <row r="9" spans="1:256" ht="17.25" thickBot="1">
      <c r="A9" s="807"/>
      <c r="B9" s="802"/>
      <c r="C9" s="801"/>
      <c r="D9" s="800"/>
      <c r="E9" s="1616" t="s">
        <v>1263</v>
      </c>
    </row>
    <row r="10" spans="1:256" ht="17.25" thickTop="1">
      <c r="A10" s="838" t="s">
        <v>1294</v>
      </c>
      <c r="B10" s="837" t="s">
        <v>2</v>
      </c>
      <c r="C10" s="836" t="s">
        <v>1293</v>
      </c>
      <c r="D10" s="2378" t="s">
        <v>1292</v>
      </c>
      <c r="E10" s="2379"/>
      <c r="F10" s="805"/>
      <c r="G10" s="805"/>
      <c r="H10" s="805"/>
      <c r="I10" s="805"/>
      <c r="J10" s="805"/>
      <c r="K10" s="805"/>
      <c r="L10" s="805"/>
      <c r="M10" s="805"/>
      <c r="N10" s="805"/>
      <c r="O10" s="805"/>
      <c r="P10" s="805"/>
      <c r="Q10" s="805"/>
      <c r="R10" s="805"/>
      <c r="S10" s="805"/>
      <c r="T10" s="805"/>
      <c r="U10" s="805"/>
      <c r="V10" s="805"/>
      <c r="W10" s="805"/>
      <c r="X10" s="805"/>
      <c r="Y10" s="805"/>
      <c r="Z10" s="805"/>
      <c r="AA10" s="805"/>
      <c r="AB10" s="805"/>
      <c r="AC10" s="805"/>
      <c r="AD10" s="805"/>
      <c r="AE10" s="805"/>
      <c r="AF10" s="805"/>
      <c r="AG10" s="805"/>
      <c r="AH10" s="805"/>
      <c r="AI10" s="805"/>
      <c r="AJ10" s="805"/>
      <c r="AK10" s="805"/>
      <c r="AL10" s="805"/>
      <c r="AM10" s="805"/>
      <c r="AN10" s="805"/>
      <c r="AO10" s="805"/>
      <c r="AP10" s="805"/>
      <c r="AQ10" s="805"/>
      <c r="AR10" s="805"/>
      <c r="AS10" s="805"/>
      <c r="AT10" s="805"/>
      <c r="AU10" s="805"/>
      <c r="AV10" s="805"/>
      <c r="AW10" s="805"/>
      <c r="AX10" s="805"/>
      <c r="AY10" s="805"/>
      <c r="AZ10" s="805"/>
      <c r="BA10" s="805"/>
      <c r="BB10" s="805"/>
      <c r="BC10" s="805"/>
      <c r="BD10" s="805"/>
      <c r="BE10" s="805"/>
      <c r="BF10" s="805"/>
      <c r="BG10" s="805"/>
      <c r="BH10" s="805"/>
      <c r="BI10" s="805"/>
      <c r="BJ10" s="805"/>
      <c r="BK10" s="805"/>
      <c r="BL10" s="805"/>
      <c r="BM10" s="805"/>
      <c r="BN10" s="805"/>
      <c r="BO10" s="805"/>
      <c r="BP10" s="805"/>
      <c r="BQ10" s="805"/>
      <c r="BR10" s="805"/>
      <c r="BS10" s="805"/>
      <c r="BT10" s="805"/>
      <c r="BU10" s="805"/>
      <c r="BV10" s="805"/>
      <c r="BW10" s="805"/>
      <c r="BX10" s="805"/>
      <c r="BY10" s="805"/>
      <c r="BZ10" s="805"/>
      <c r="CA10" s="805"/>
      <c r="CB10" s="805"/>
      <c r="CC10" s="805"/>
      <c r="CD10" s="805"/>
      <c r="CE10" s="805"/>
      <c r="CF10" s="805"/>
      <c r="CG10" s="805"/>
      <c r="CH10" s="805"/>
      <c r="CI10" s="805"/>
      <c r="CJ10" s="805"/>
      <c r="CK10" s="805"/>
      <c r="CL10" s="805"/>
      <c r="CM10" s="805"/>
      <c r="CN10" s="805"/>
      <c r="CO10" s="805"/>
      <c r="CP10" s="805"/>
      <c r="CQ10" s="805"/>
      <c r="CR10" s="805"/>
      <c r="CS10" s="805"/>
      <c r="CT10" s="805"/>
      <c r="CU10" s="805"/>
      <c r="CV10" s="805"/>
      <c r="CW10" s="805"/>
      <c r="CX10" s="805"/>
      <c r="CY10" s="805"/>
      <c r="CZ10" s="805"/>
      <c r="DA10" s="805"/>
      <c r="DB10" s="805"/>
      <c r="DC10" s="805"/>
      <c r="DD10" s="805"/>
      <c r="DE10" s="805"/>
      <c r="DF10" s="805"/>
      <c r="DG10" s="805"/>
      <c r="DH10" s="805"/>
      <c r="DI10" s="805"/>
      <c r="DJ10" s="805"/>
      <c r="DK10" s="805"/>
      <c r="DL10" s="805"/>
      <c r="DM10" s="805"/>
      <c r="DN10" s="805"/>
      <c r="DO10" s="805"/>
      <c r="DP10" s="805"/>
      <c r="DQ10" s="805"/>
      <c r="DR10" s="805"/>
      <c r="DS10" s="805"/>
      <c r="DT10" s="805"/>
      <c r="DU10" s="805"/>
      <c r="DV10" s="805"/>
      <c r="DW10" s="805"/>
      <c r="DX10" s="805"/>
      <c r="DY10" s="805"/>
      <c r="DZ10" s="805"/>
      <c r="EA10" s="805"/>
      <c r="EB10" s="805"/>
      <c r="EC10" s="805"/>
      <c r="ED10" s="805"/>
      <c r="EE10" s="805"/>
      <c r="EF10" s="805"/>
      <c r="EG10" s="805"/>
      <c r="EH10" s="805"/>
      <c r="EI10" s="805"/>
      <c r="EJ10" s="805"/>
      <c r="EK10" s="805"/>
      <c r="EL10" s="805"/>
      <c r="EM10" s="805"/>
      <c r="EN10" s="805"/>
      <c r="EO10" s="805"/>
      <c r="EP10" s="805"/>
      <c r="EQ10" s="805"/>
      <c r="ER10" s="805"/>
      <c r="ES10" s="805"/>
      <c r="ET10" s="805"/>
      <c r="EU10" s="805"/>
      <c r="EV10" s="805"/>
      <c r="EW10" s="805"/>
      <c r="EX10" s="805"/>
      <c r="EY10" s="805"/>
      <c r="EZ10" s="805"/>
      <c r="FA10" s="805"/>
      <c r="FB10" s="805"/>
      <c r="FC10" s="805"/>
      <c r="FD10" s="805"/>
      <c r="FE10" s="805"/>
      <c r="FF10" s="805"/>
      <c r="FG10" s="805"/>
      <c r="FH10" s="805"/>
      <c r="FI10" s="805"/>
      <c r="FJ10" s="805"/>
      <c r="FK10" s="805"/>
      <c r="FL10" s="805"/>
      <c r="FM10" s="805"/>
      <c r="FN10" s="805"/>
      <c r="FO10" s="805"/>
      <c r="FP10" s="805"/>
      <c r="FQ10" s="805"/>
      <c r="FR10" s="805"/>
      <c r="FS10" s="805"/>
      <c r="FT10" s="805"/>
      <c r="FU10" s="805"/>
      <c r="FV10" s="805"/>
      <c r="FW10" s="805"/>
      <c r="FX10" s="805"/>
      <c r="FY10" s="805"/>
      <c r="FZ10" s="805"/>
      <c r="GA10" s="805"/>
      <c r="GB10" s="805"/>
      <c r="GC10" s="805"/>
      <c r="GD10" s="805"/>
      <c r="GE10" s="805"/>
      <c r="GF10" s="805"/>
      <c r="GG10" s="805"/>
      <c r="GH10" s="805"/>
      <c r="GI10" s="805"/>
      <c r="GJ10" s="805"/>
      <c r="GK10" s="805"/>
      <c r="GL10" s="805"/>
      <c r="GM10" s="805"/>
      <c r="GN10" s="805"/>
      <c r="GO10" s="805"/>
      <c r="GP10" s="805"/>
      <c r="GQ10" s="805"/>
      <c r="GR10" s="805"/>
      <c r="GS10" s="805"/>
      <c r="GT10" s="805"/>
      <c r="GU10" s="805"/>
      <c r="GV10" s="805"/>
      <c r="GW10" s="805"/>
      <c r="GX10" s="805"/>
      <c r="GY10" s="805"/>
      <c r="GZ10" s="805"/>
      <c r="HA10" s="805"/>
      <c r="HB10" s="805"/>
      <c r="HC10" s="805"/>
      <c r="HD10" s="805"/>
      <c r="HE10" s="805"/>
      <c r="HF10" s="805"/>
      <c r="HG10" s="805"/>
      <c r="HH10" s="805"/>
      <c r="HI10" s="805"/>
      <c r="HJ10" s="805"/>
      <c r="HK10" s="805"/>
      <c r="HL10" s="805"/>
      <c r="HM10" s="805"/>
      <c r="HN10" s="805"/>
      <c r="HO10" s="805"/>
      <c r="HP10" s="805"/>
      <c r="HQ10" s="805"/>
      <c r="HR10" s="805"/>
      <c r="HS10" s="805"/>
      <c r="HT10" s="805"/>
      <c r="HU10" s="805"/>
      <c r="HV10" s="805"/>
      <c r="HW10" s="805"/>
      <c r="HX10" s="805"/>
      <c r="HY10" s="805"/>
      <c r="HZ10" s="805"/>
      <c r="IA10" s="805"/>
      <c r="IB10" s="805"/>
      <c r="IC10" s="805"/>
      <c r="ID10" s="805"/>
      <c r="IE10" s="805"/>
      <c r="IF10" s="805"/>
      <c r="IG10" s="805"/>
      <c r="IH10" s="805"/>
      <c r="II10" s="805"/>
      <c r="IJ10" s="805"/>
      <c r="IK10" s="805"/>
      <c r="IL10" s="805"/>
      <c r="IM10" s="805"/>
      <c r="IN10" s="805"/>
      <c r="IO10" s="805"/>
      <c r="IP10" s="805"/>
      <c r="IQ10" s="805"/>
      <c r="IR10" s="805"/>
      <c r="IS10" s="805"/>
      <c r="IT10" s="805"/>
      <c r="IU10" s="805"/>
      <c r="IV10" s="805"/>
    </row>
    <row r="11" spans="1:256" ht="17.25">
      <c r="A11" s="835"/>
      <c r="B11" s="834" t="s">
        <v>1291</v>
      </c>
      <c r="C11" s="833" t="s">
        <v>1290</v>
      </c>
      <c r="D11" s="832" t="s">
        <v>1</v>
      </c>
      <c r="E11" s="831" t="s">
        <v>4</v>
      </c>
      <c r="F11" s="805"/>
      <c r="G11" s="805"/>
      <c r="H11" s="805"/>
      <c r="I11" s="805"/>
      <c r="J11" s="805"/>
      <c r="K11" s="805"/>
      <c r="L11" s="805"/>
      <c r="M11" s="805"/>
      <c r="N11" s="805"/>
      <c r="O11" s="805"/>
      <c r="P11" s="805"/>
      <c r="Q11" s="805"/>
      <c r="R11" s="805"/>
      <c r="S11" s="805"/>
      <c r="T11" s="805"/>
      <c r="U11" s="805"/>
      <c r="V11" s="805"/>
      <c r="W11" s="805"/>
      <c r="X11" s="805"/>
      <c r="Y11" s="805"/>
      <c r="Z11" s="805"/>
      <c r="AA11" s="805"/>
      <c r="AB11" s="805"/>
      <c r="AC11" s="805"/>
      <c r="AD11" s="805"/>
      <c r="AE11" s="805"/>
      <c r="AF11" s="805"/>
      <c r="AG11" s="805"/>
      <c r="AH11" s="805"/>
      <c r="AI11" s="805"/>
      <c r="AJ11" s="805"/>
      <c r="AK11" s="805"/>
      <c r="AL11" s="805"/>
      <c r="AM11" s="805"/>
      <c r="AN11" s="805"/>
      <c r="AO11" s="805"/>
      <c r="AP11" s="805"/>
      <c r="AQ11" s="805"/>
      <c r="AR11" s="805"/>
      <c r="AS11" s="805"/>
      <c r="AT11" s="805"/>
      <c r="AU11" s="805"/>
      <c r="AV11" s="805"/>
      <c r="AW11" s="805"/>
      <c r="AX11" s="805"/>
      <c r="AY11" s="805"/>
      <c r="AZ11" s="805"/>
      <c r="BA11" s="805"/>
      <c r="BB11" s="805"/>
      <c r="BC11" s="805"/>
      <c r="BD11" s="805"/>
      <c r="BE11" s="805"/>
      <c r="BF11" s="805"/>
      <c r="BG11" s="805"/>
      <c r="BH11" s="805"/>
      <c r="BI11" s="805"/>
      <c r="BJ11" s="805"/>
      <c r="BK11" s="805"/>
      <c r="BL11" s="805"/>
      <c r="BM11" s="805"/>
      <c r="BN11" s="805"/>
      <c r="BO11" s="805"/>
      <c r="BP11" s="805"/>
      <c r="BQ11" s="805"/>
      <c r="BR11" s="805"/>
      <c r="BS11" s="805"/>
      <c r="BT11" s="805"/>
      <c r="BU11" s="805"/>
      <c r="BV11" s="805"/>
      <c r="BW11" s="805"/>
      <c r="BX11" s="805"/>
      <c r="BY11" s="805"/>
      <c r="BZ11" s="805"/>
      <c r="CA11" s="805"/>
      <c r="CB11" s="805"/>
      <c r="CC11" s="805"/>
      <c r="CD11" s="805"/>
      <c r="CE11" s="805"/>
      <c r="CF11" s="805"/>
      <c r="CG11" s="805"/>
      <c r="CH11" s="805"/>
      <c r="CI11" s="805"/>
      <c r="CJ11" s="805"/>
      <c r="CK11" s="805"/>
      <c r="CL11" s="805"/>
      <c r="CM11" s="805"/>
      <c r="CN11" s="805"/>
      <c r="CO11" s="805"/>
      <c r="CP11" s="805"/>
      <c r="CQ11" s="805"/>
      <c r="CR11" s="805"/>
      <c r="CS11" s="805"/>
      <c r="CT11" s="805"/>
      <c r="CU11" s="805"/>
      <c r="CV11" s="805"/>
      <c r="CW11" s="805"/>
      <c r="CX11" s="805"/>
      <c r="CY11" s="805"/>
      <c r="CZ11" s="805"/>
      <c r="DA11" s="805"/>
      <c r="DB11" s="805"/>
      <c r="DC11" s="805"/>
      <c r="DD11" s="805"/>
      <c r="DE11" s="805"/>
      <c r="DF11" s="805"/>
      <c r="DG11" s="805"/>
      <c r="DH11" s="805"/>
      <c r="DI11" s="805"/>
      <c r="DJ11" s="805"/>
      <c r="DK11" s="805"/>
      <c r="DL11" s="805"/>
      <c r="DM11" s="805"/>
      <c r="DN11" s="805"/>
      <c r="DO11" s="805"/>
      <c r="DP11" s="805"/>
      <c r="DQ11" s="805"/>
      <c r="DR11" s="805"/>
      <c r="DS11" s="805"/>
      <c r="DT11" s="805"/>
      <c r="DU11" s="805"/>
      <c r="DV11" s="805"/>
      <c r="DW11" s="805"/>
      <c r="DX11" s="805"/>
      <c r="DY11" s="805"/>
      <c r="DZ11" s="805"/>
      <c r="EA11" s="805"/>
      <c r="EB11" s="805"/>
      <c r="EC11" s="805"/>
      <c r="ED11" s="805"/>
      <c r="EE11" s="805"/>
      <c r="EF11" s="805"/>
      <c r="EG11" s="805"/>
      <c r="EH11" s="805"/>
      <c r="EI11" s="805"/>
      <c r="EJ11" s="805"/>
      <c r="EK11" s="805"/>
      <c r="EL11" s="805"/>
      <c r="EM11" s="805"/>
      <c r="EN11" s="805"/>
      <c r="EO11" s="805"/>
      <c r="EP11" s="805"/>
      <c r="EQ11" s="805"/>
      <c r="ER11" s="805"/>
      <c r="ES11" s="805"/>
      <c r="ET11" s="805"/>
      <c r="EU11" s="805"/>
      <c r="EV11" s="805"/>
      <c r="EW11" s="805"/>
      <c r="EX11" s="805"/>
      <c r="EY11" s="805"/>
      <c r="EZ11" s="805"/>
      <c r="FA11" s="805"/>
      <c r="FB11" s="805"/>
      <c r="FC11" s="805"/>
      <c r="FD11" s="805"/>
      <c r="FE11" s="805"/>
      <c r="FF11" s="805"/>
      <c r="FG11" s="805"/>
      <c r="FH11" s="805"/>
      <c r="FI11" s="805"/>
      <c r="FJ11" s="805"/>
      <c r="FK11" s="805"/>
      <c r="FL11" s="805"/>
      <c r="FM11" s="805"/>
      <c r="FN11" s="805"/>
      <c r="FO11" s="805"/>
      <c r="FP11" s="805"/>
      <c r="FQ11" s="805"/>
      <c r="FR11" s="805"/>
      <c r="FS11" s="805"/>
      <c r="FT11" s="805"/>
      <c r="FU11" s="805"/>
      <c r="FV11" s="805"/>
      <c r="FW11" s="805"/>
      <c r="FX11" s="805"/>
      <c r="FY11" s="805"/>
      <c r="FZ11" s="805"/>
      <c r="GA11" s="805"/>
      <c r="GB11" s="805"/>
      <c r="GC11" s="805"/>
      <c r="GD11" s="805"/>
      <c r="GE11" s="805"/>
      <c r="GF11" s="805"/>
      <c r="GG11" s="805"/>
      <c r="GH11" s="805"/>
      <c r="GI11" s="805"/>
      <c r="GJ11" s="805"/>
      <c r="GK11" s="805"/>
      <c r="GL11" s="805"/>
      <c r="GM11" s="805"/>
      <c r="GN11" s="805"/>
      <c r="GO11" s="805"/>
      <c r="GP11" s="805"/>
      <c r="GQ11" s="805"/>
      <c r="GR11" s="805"/>
      <c r="GS11" s="805"/>
      <c r="GT11" s="805"/>
      <c r="GU11" s="805"/>
      <c r="GV11" s="805"/>
      <c r="GW11" s="805"/>
      <c r="GX11" s="805"/>
      <c r="GY11" s="805"/>
      <c r="GZ11" s="805"/>
      <c r="HA11" s="805"/>
      <c r="HB11" s="805"/>
      <c r="HC11" s="805"/>
      <c r="HD11" s="805"/>
      <c r="HE11" s="805"/>
      <c r="HF11" s="805"/>
      <c r="HG11" s="805"/>
      <c r="HH11" s="805"/>
      <c r="HI11" s="805"/>
      <c r="HJ11" s="805"/>
      <c r="HK11" s="805"/>
      <c r="HL11" s="805"/>
      <c r="HM11" s="805"/>
      <c r="HN11" s="805"/>
      <c r="HO11" s="805"/>
      <c r="HP11" s="805"/>
      <c r="HQ11" s="805"/>
      <c r="HR11" s="805"/>
      <c r="HS11" s="805"/>
      <c r="HT11" s="805"/>
      <c r="HU11" s="805"/>
      <c r="HV11" s="805"/>
      <c r="HW11" s="805"/>
      <c r="HX11" s="805"/>
      <c r="HY11" s="805"/>
      <c r="HZ11" s="805"/>
      <c r="IA11" s="805"/>
      <c r="IB11" s="805"/>
      <c r="IC11" s="805"/>
      <c r="ID11" s="805"/>
      <c r="IE11" s="805"/>
      <c r="IF11" s="805"/>
      <c r="IG11" s="805"/>
      <c r="IH11" s="805"/>
      <c r="II11" s="805"/>
      <c r="IJ11" s="805"/>
      <c r="IK11" s="805"/>
      <c r="IL11" s="805"/>
      <c r="IM11" s="805"/>
      <c r="IN11" s="805"/>
      <c r="IO11" s="805"/>
      <c r="IP11" s="805"/>
      <c r="IQ11" s="805"/>
      <c r="IR11" s="805"/>
      <c r="IS11" s="805"/>
      <c r="IT11" s="805"/>
      <c r="IU11" s="805"/>
      <c r="IV11" s="805"/>
    </row>
    <row r="12" spans="1:256" ht="17.25">
      <c r="A12" s="1617" t="s">
        <v>1289</v>
      </c>
      <c r="B12" s="1618"/>
      <c r="C12" s="1626"/>
      <c r="D12" s="1627"/>
      <c r="E12" s="1628">
        <f>E23+E24</f>
        <v>54275000</v>
      </c>
      <c r="G12" s="525">
        <v>0.5</v>
      </c>
    </row>
    <row r="13" spans="1:256">
      <c r="A13" s="1619" t="s">
        <v>1324</v>
      </c>
      <c r="B13" s="1620" t="s">
        <v>829</v>
      </c>
      <c r="C13" s="1629">
        <v>9000</v>
      </c>
      <c r="D13" s="1630">
        <f t="shared" ref="D13:D22" si="0">$G$12*F13</f>
        <v>450</v>
      </c>
      <c r="E13" s="854">
        <f>D13*C13</f>
        <v>4050000</v>
      </c>
      <c r="F13" s="528">
        <v>900</v>
      </c>
      <c r="G13" s="525">
        <v>860</v>
      </c>
    </row>
    <row r="14" spans="1:256">
      <c r="A14" s="822" t="s">
        <v>1323</v>
      </c>
      <c r="B14" s="1621" t="s">
        <v>829</v>
      </c>
      <c r="C14" s="1629">
        <v>17000</v>
      </c>
      <c r="D14" s="1630">
        <f t="shared" si="0"/>
        <v>400</v>
      </c>
      <c r="E14" s="854">
        <f>D14*C14</f>
        <v>6800000</v>
      </c>
      <c r="F14" s="528">
        <v>800</v>
      </c>
      <c r="G14" s="525">
        <v>625</v>
      </c>
    </row>
    <row r="15" spans="1:256">
      <c r="A15" s="822" t="s">
        <v>1322</v>
      </c>
      <c r="B15" s="1621" t="s">
        <v>829</v>
      </c>
      <c r="C15" s="1629">
        <v>16500</v>
      </c>
      <c r="D15" s="1630">
        <f t="shared" si="0"/>
        <v>200</v>
      </c>
      <c r="E15" s="854">
        <f>D15*C15</f>
        <v>3300000</v>
      </c>
      <c r="F15" s="528">
        <v>400</v>
      </c>
      <c r="G15" s="525">
        <v>415</v>
      </c>
    </row>
    <row r="16" spans="1:256">
      <c r="A16" s="822" t="s">
        <v>1321</v>
      </c>
      <c r="B16" s="1621" t="s">
        <v>1320</v>
      </c>
      <c r="C16" s="1629">
        <v>17000</v>
      </c>
      <c r="D16" s="1630">
        <f t="shared" si="0"/>
        <v>475</v>
      </c>
      <c r="E16" s="854">
        <f>C16*D16</f>
        <v>8075000</v>
      </c>
      <c r="F16" s="528">
        <v>950</v>
      </c>
      <c r="G16" s="525">
        <v>30</v>
      </c>
    </row>
    <row r="17" spans="1:256">
      <c r="A17" s="822" t="s">
        <v>1319</v>
      </c>
      <c r="B17" s="1621" t="s">
        <v>435</v>
      </c>
      <c r="C17" s="1629">
        <v>100000</v>
      </c>
      <c r="D17" s="1630">
        <f t="shared" si="0"/>
        <v>3</v>
      </c>
      <c r="E17" s="854">
        <f t="shared" ref="E17:E22" si="1">D17*C17</f>
        <v>300000</v>
      </c>
      <c r="F17" s="528">
        <v>6</v>
      </c>
      <c r="G17" s="525">
        <v>4</v>
      </c>
    </row>
    <row r="18" spans="1:256">
      <c r="A18" s="822" t="s">
        <v>1318</v>
      </c>
      <c r="B18" s="1621" t="s">
        <v>1317</v>
      </c>
      <c r="C18" s="1629">
        <v>250000</v>
      </c>
      <c r="D18" s="1630">
        <f t="shared" si="0"/>
        <v>6</v>
      </c>
      <c r="E18" s="854">
        <f t="shared" si="1"/>
        <v>1500000</v>
      </c>
      <c r="F18" s="528">
        <v>12</v>
      </c>
      <c r="G18" s="525">
        <v>8</v>
      </c>
    </row>
    <row r="19" spans="1:256">
      <c r="A19" s="822" t="s">
        <v>1316</v>
      </c>
      <c r="B19" s="1621" t="s">
        <v>511</v>
      </c>
      <c r="C19" s="1629">
        <v>150000</v>
      </c>
      <c r="D19" s="1630">
        <f t="shared" si="0"/>
        <v>70</v>
      </c>
      <c r="E19" s="854">
        <f t="shared" si="1"/>
        <v>10500000</v>
      </c>
      <c r="F19" s="528">
        <v>140</v>
      </c>
      <c r="G19" s="525">
        <v>100</v>
      </c>
    </row>
    <row r="20" spans="1:256">
      <c r="A20" s="822" t="s">
        <v>1315</v>
      </c>
      <c r="B20" s="1621" t="s">
        <v>511</v>
      </c>
      <c r="C20" s="1629">
        <v>150000</v>
      </c>
      <c r="D20" s="1630">
        <f t="shared" si="0"/>
        <v>40</v>
      </c>
      <c r="E20" s="854">
        <f t="shared" si="1"/>
        <v>6000000</v>
      </c>
      <c r="F20" s="528">
        <v>80</v>
      </c>
      <c r="G20" s="525">
        <v>40</v>
      </c>
    </row>
    <row r="21" spans="1:256">
      <c r="A21" s="822" t="s">
        <v>1314</v>
      </c>
      <c r="B21" s="1621" t="s">
        <v>149</v>
      </c>
      <c r="C21" s="1629">
        <v>2000000</v>
      </c>
      <c r="D21" s="1630">
        <f t="shared" si="0"/>
        <v>1.5</v>
      </c>
      <c r="E21" s="854">
        <f t="shared" si="1"/>
        <v>3000000</v>
      </c>
      <c r="F21" s="528">
        <v>3</v>
      </c>
      <c r="G21" s="525">
        <v>3</v>
      </c>
    </row>
    <row r="22" spans="1:256">
      <c r="A22" s="822" t="s">
        <v>1313</v>
      </c>
      <c r="B22" s="1621" t="s">
        <v>511</v>
      </c>
      <c r="C22" s="1629">
        <v>150000</v>
      </c>
      <c r="D22" s="1630">
        <f t="shared" si="0"/>
        <v>45</v>
      </c>
      <c r="E22" s="854">
        <f t="shared" si="1"/>
        <v>6750000</v>
      </c>
      <c r="F22" s="528">
        <v>90</v>
      </c>
      <c r="G22" s="525">
        <v>80</v>
      </c>
    </row>
    <row r="23" spans="1:256">
      <c r="A23" s="1617" t="s">
        <v>1277</v>
      </c>
      <c r="B23" s="1622"/>
      <c r="C23" s="1631"/>
      <c r="D23" s="1632"/>
      <c r="E23" s="1633">
        <f>SUM(E13:E22)</f>
        <v>50275000</v>
      </c>
      <c r="F23" s="540"/>
      <c r="G23" s="540"/>
      <c r="H23" s="540"/>
      <c r="I23" s="540"/>
      <c r="J23" s="540"/>
      <c r="K23" s="540"/>
      <c r="L23" s="540"/>
      <c r="M23" s="540"/>
      <c r="N23" s="540"/>
      <c r="O23" s="540"/>
      <c r="P23" s="540"/>
      <c r="Q23" s="540"/>
      <c r="R23" s="540"/>
      <c r="S23" s="540"/>
      <c r="T23" s="540"/>
      <c r="U23" s="540"/>
      <c r="V23" s="540"/>
      <c r="W23" s="540"/>
      <c r="X23" s="540"/>
      <c r="Y23" s="540"/>
      <c r="Z23" s="540"/>
      <c r="AA23" s="540"/>
      <c r="AB23" s="540"/>
      <c r="AC23" s="540"/>
      <c r="AD23" s="540"/>
      <c r="AE23" s="540"/>
      <c r="AF23" s="540"/>
      <c r="AG23" s="540"/>
      <c r="AH23" s="540"/>
      <c r="AI23" s="540"/>
      <c r="AJ23" s="540"/>
      <c r="AK23" s="540"/>
      <c r="AL23" s="540"/>
      <c r="AM23" s="540"/>
      <c r="AN23" s="540"/>
      <c r="AO23" s="540"/>
      <c r="AP23" s="540"/>
      <c r="AQ23" s="540"/>
      <c r="AR23" s="540"/>
      <c r="AS23" s="540"/>
      <c r="AT23" s="540"/>
      <c r="AU23" s="540"/>
      <c r="AV23" s="540"/>
      <c r="AW23" s="540"/>
      <c r="AX23" s="540"/>
      <c r="AY23" s="540"/>
      <c r="AZ23" s="540"/>
      <c r="BA23" s="540"/>
      <c r="BB23" s="540"/>
      <c r="BC23" s="540"/>
      <c r="BD23" s="540"/>
      <c r="BE23" s="540"/>
      <c r="BF23" s="540"/>
      <c r="BG23" s="540"/>
      <c r="BH23" s="540"/>
      <c r="BI23" s="540"/>
      <c r="BJ23" s="540"/>
      <c r="BK23" s="540"/>
      <c r="BL23" s="540"/>
      <c r="BM23" s="540"/>
      <c r="BN23" s="540"/>
      <c r="BO23" s="540"/>
      <c r="BP23" s="540"/>
      <c r="BQ23" s="540"/>
      <c r="BR23" s="540"/>
      <c r="BS23" s="540"/>
      <c r="BT23" s="540"/>
      <c r="BU23" s="540"/>
      <c r="BV23" s="540"/>
      <c r="BW23" s="540"/>
      <c r="BX23" s="540"/>
      <c r="BY23" s="540"/>
      <c r="BZ23" s="540"/>
      <c r="CA23" s="540"/>
      <c r="CB23" s="540"/>
      <c r="CC23" s="540"/>
      <c r="CD23" s="540"/>
      <c r="CE23" s="540"/>
      <c r="CF23" s="540"/>
      <c r="CG23" s="540"/>
      <c r="CH23" s="540"/>
      <c r="CI23" s="540"/>
      <c r="CJ23" s="540"/>
      <c r="CK23" s="540"/>
      <c r="CL23" s="540"/>
      <c r="CM23" s="540"/>
      <c r="CN23" s="540"/>
      <c r="CO23" s="540"/>
      <c r="CP23" s="540"/>
      <c r="CQ23" s="540"/>
      <c r="CR23" s="540"/>
      <c r="CS23" s="540"/>
      <c r="CT23" s="540"/>
      <c r="CU23" s="540"/>
      <c r="CV23" s="540"/>
      <c r="CW23" s="540"/>
      <c r="CX23" s="540"/>
      <c r="CY23" s="540"/>
      <c r="CZ23" s="540"/>
      <c r="DA23" s="540"/>
      <c r="DB23" s="540"/>
      <c r="DC23" s="540"/>
      <c r="DD23" s="540"/>
      <c r="DE23" s="540"/>
      <c r="DF23" s="540"/>
      <c r="DG23" s="540"/>
      <c r="DH23" s="540"/>
      <c r="DI23" s="540"/>
      <c r="DJ23" s="540"/>
      <c r="DK23" s="540"/>
      <c r="DL23" s="540"/>
      <c r="DM23" s="540"/>
      <c r="DN23" s="540"/>
      <c r="DO23" s="540"/>
      <c r="DP23" s="540"/>
      <c r="DQ23" s="540"/>
      <c r="DR23" s="540"/>
      <c r="DS23" s="540"/>
      <c r="DT23" s="540"/>
      <c r="DU23" s="540"/>
      <c r="DV23" s="540"/>
      <c r="DW23" s="540"/>
      <c r="DX23" s="540"/>
      <c r="DY23" s="540"/>
      <c r="DZ23" s="540"/>
      <c r="EA23" s="540"/>
      <c r="EB23" s="540"/>
      <c r="EC23" s="540"/>
      <c r="ED23" s="540"/>
      <c r="EE23" s="540"/>
      <c r="EF23" s="540"/>
      <c r="EG23" s="540"/>
      <c r="EH23" s="540"/>
      <c r="EI23" s="540"/>
      <c r="EJ23" s="540"/>
      <c r="EK23" s="540"/>
      <c r="EL23" s="540"/>
      <c r="EM23" s="540"/>
      <c r="EN23" s="540"/>
      <c r="EO23" s="540"/>
      <c r="EP23" s="540"/>
      <c r="EQ23" s="540"/>
      <c r="ER23" s="540"/>
      <c r="ES23" s="540"/>
      <c r="ET23" s="540"/>
      <c r="EU23" s="540"/>
      <c r="EV23" s="540"/>
      <c r="EW23" s="540"/>
      <c r="EX23" s="540"/>
      <c r="EY23" s="540"/>
      <c r="EZ23" s="540"/>
      <c r="FA23" s="540"/>
      <c r="FB23" s="540"/>
      <c r="FC23" s="540"/>
      <c r="FD23" s="540"/>
      <c r="FE23" s="540"/>
      <c r="FF23" s="540"/>
      <c r="FG23" s="540"/>
      <c r="FH23" s="540"/>
      <c r="FI23" s="540"/>
      <c r="FJ23" s="540"/>
      <c r="FK23" s="540"/>
      <c r="FL23" s="540"/>
      <c r="FM23" s="540"/>
      <c r="FN23" s="540"/>
      <c r="FO23" s="540"/>
      <c r="FP23" s="540"/>
      <c r="FQ23" s="540"/>
      <c r="FR23" s="540"/>
      <c r="FS23" s="540"/>
      <c r="FT23" s="540"/>
      <c r="FU23" s="540"/>
      <c r="FV23" s="540"/>
      <c r="FW23" s="540"/>
      <c r="FX23" s="540"/>
      <c r="FY23" s="540"/>
      <c r="FZ23" s="540"/>
      <c r="GA23" s="540"/>
      <c r="GB23" s="540"/>
      <c r="GC23" s="540"/>
      <c r="GD23" s="540"/>
      <c r="GE23" s="540"/>
      <c r="GF23" s="540"/>
      <c r="GG23" s="540"/>
      <c r="GH23" s="540"/>
      <c r="GI23" s="540"/>
      <c r="GJ23" s="540"/>
      <c r="GK23" s="540"/>
      <c r="GL23" s="540"/>
      <c r="GM23" s="540"/>
      <c r="GN23" s="540"/>
      <c r="GO23" s="540"/>
      <c r="GP23" s="540"/>
      <c r="GQ23" s="540"/>
      <c r="GR23" s="540"/>
      <c r="GS23" s="540"/>
      <c r="GT23" s="540"/>
      <c r="GU23" s="540"/>
      <c r="GV23" s="540"/>
      <c r="GW23" s="540"/>
      <c r="GX23" s="540"/>
      <c r="GY23" s="540"/>
      <c r="GZ23" s="540"/>
      <c r="HA23" s="540"/>
      <c r="HB23" s="540"/>
      <c r="HC23" s="540"/>
      <c r="HD23" s="540"/>
      <c r="HE23" s="540"/>
      <c r="HF23" s="540"/>
      <c r="HG23" s="540"/>
      <c r="HH23" s="540"/>
      <c r="HI23" s="540"/>
      <c r="HJ23" s="540"/>
      <c r="HK23" s="540"/>
      <c r="HL23" s="540"/>
      <c r="HM23" s="540"/>
      <c r="HN23" s="540"/>
      <c r="HO23" s="540"/>
      <c r="HP23" s="540"/>
      <c r="HQ23" s="540"/>
      <c r="HR23" s="540"/>
      <c r="HS23" s="540"/>
      <c r="HT23" s="540"/>
      <c r="HU23" s="540"/>
      <c r="HV23" s="540"/>
      <c r="HW23" s="540"/>
      <c r="HX23" s="540"/>
      <c r="HY23" s="540"/>
      <c r="HZ23" s="540"/>
      <c r="IA23" s="540"/>
      <c r="IB23" s="540"/>
      <c r="IC23" s="540"/>
      <c r="ID23" s="540"/>
      <c r="IE23" s="540"/>
      <c r="IF23" s="540"/>
      <c r="IG23" s="540"/>
      <c r="IH23" s="540"/>
      <c r="II23" s="540"/>
      <c r="IJ23" s="540"/>
      <c r="IK23" s="540"/>
      <c r="IL23" s="540"/>
      <c r="IM23" s="540"/>
      <c r="IN23" s="540"/>
      <c r="IO23" s="540"/>
      <c r="IP23" s="540"/>
      <c r="IQ23" s="540"/>
      <c r="IR23" s="540"/>
      <c r="IS23" s="540"/>
      <c r="IT23" s="540"/>
      <c r="IU23" s="540"/>
      <c r="IV23" s="540"/>
    </row>
    <row r="24" spans="1:256">
      <c r="A24" s="822" t="s">
        <v>1312</v>
      </c>
      <c r="B24" s="1622" t="s">
        <v>1270</v>
      </c>
      <c r="C24" s="549"/>
      <c r="D24" s="821"/>
      <c r="E24" s="820">
        <f>F24*G24</f>
        <v>4000000</v>
      </c>
      <c r="F24" s="526">
        <v>40000000</v>
      </c>
      <c r="G24" s="1634">
        <v>0.1</v>
      </c>
    </row>
    <row r="25" spans="1:256">
      <c r="A25" s="1617" t="s">
        <v>1275</v>
      </c>
      <c r="B25" s="1622"/>
      <c r="C25" s="774"/>
      <c r="D25" s="1632"/>
      <c r="E25" s="1633">
        <f>E27</f>
        <v>120000000</v>
      </c>
    </row>
    <row r="26" spans="1:256">
      <c r="A26" s="822" t="s">
        <v>1274</v>
      </c>
      <c r="B26" s="1622" t="s">
        <v>11</v>
      </c>
      <c r="C26" s="549"/>
      <c r="D26" s="821">
        <v>3000</v>
      </c>
      <c r="E26" s="820"/>
    </row>
    <row r="27" spans="1:256">
      <c r="A27" s="822" t="s">
        <v>1272</v>
      </c>
      <c r="B27" s="1622" t="s">
        <v>1270</v>
      </c>
      <c r="C27" s="549">
        <v>40000</v>
      </c>
      <c r="D27" s="821">
        <f>D26</f>
        <v>3000</v>
      </c>
      <c r="E27" s="820">
        <f>C27*D26</f>
        <v>120000000</v>
      </c>
    </row>
    <row r="28" spans="1:256">
      <c r="A28" s="1617" t="s">
        <v>1271</v>
      </c>
      <c r="B28" s="1622" t="s">
        <v>1270</v>
      </c>
      <c r="C28" s="1635"/>
      <c r="D28" s="1632"/>
      <c r="E28" s="1633">
        <f>E25-E12</f>
        <v>65725000</v>
      </c>
    </row>
    <row r="29" spans="1:256" ht="17.25" thickBot="1">
      <c r="A29" s="1623" t="s">
        <v>1269</v>
      </c>
      <c r="B29" s="1624" t="s">
        <v>90</v>
      </c>
      <c r="C29" s="812"/>
      <c r="D29" s="811"/>
      <c r="E29" s="1636">
        <f>E28/E25</f>
        <v>0.54770833333333335</v>
      </c>
    </row>
    <row r="30" spans="1:256" ht="17.25" thickTop="1">
      <c r="A30" s="807"/>
      <c r="B30" s="809"/>
      <c r="C30" s="808"/>
      <c r="D30" s="807"/>
      <c r="E30" s="806"/>
    </row>
    <row r="31" spans="1:256" ht="17.25">
      <c r="A31" s="1625" t="s">
        <v>1268</v>
      </c>
      <c r="E31" s="804"/>
    </row>
    <row r="32" spans="1:256">
      <c r="A32" s="800" t="s">
        <v>1311</v>
      </c>
      <c r="B32" s="802"/>
      <c r="C32" s="801"/>
      <c r="D32" s="800"/>
      <c r="E32" s="800"/>
    </row>
    <row r="33" spans="1:5">
      <c r="A33" s="800" t="s">
        <v>1310</v>
      </c>
      <c r="B33" s="802"/>
      <c r="C33" s="801"/>
      <c r="D33" s="800"/>
      <c r="E33" s="800"/>
    </row>
    <row r="34" spans="1:5">
      <c r="A34" s="800" t="s">
        <v>1265</v>
      </c>
      <c r="B34" s="802"/>
      <c r="C34" s="801"/>
      <c r="D34" s="800"/>
      <c r="E34" s="800"/>
    </row>
    <row r="35" spans="1:5">
      <c r="A35" s="800"/>
      <c r="B35" s="802"/>
      <c r="C35" s="801"/>
      <c r="D35" s="800"/>
      <c r="E35" s="800"/>
    </row>
    <row r="36" spans="1:5">
      <c r="A36" s="1637"/>
      <c r="B36" s="802"/>
      <c r="C36" s="801"/>
      <c r="D36" s="800"/>
      <c r="E36" s="800"/>
    </row>
    <row r="37" spans="1:5">
      <c r="A37" s="800"/>
      <c r="B37" s="802"/>
      <c r="C37" s="801"/>
      <c r="D37" s="800"/>
      <c r="E37" s="800"/>
    </row>
    <row r="38" spans="1:5">
      <c r="A38" s="800"/>
      <c r="B38" s="802"/>
      <c r="C38" s="801"/>
      <c r="D38" s="800"/>
      <c r="E38" s="800"/>
    </row>
    <row r="39" spans="1:5">
      <c r="A39" s="800"/>
      <c r="B39" s="802"/>
      <c r="C39" s="801"/>
      <c r="D39" s="800"/>
      <c r="E39" s="800"/>
    </row>
  </sheetData>
  <mergeCells count="3">
    <mergeCell ref="A7:E7"/>
    <mergeCell ref="A8:E8"/>
    <mergeCell ref="D10:E10"/>
  </mergeCells>
  <pageMargins left="1" right="0.5" top="0.75" bottom="0.75" header="0.5" footer="0.5"/>
  <pageSetup orientation="portrait" r:id="rId1"/>
  <headerFooter>
    <oddFooter>&amp;CTrang</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I21"/>
  <sheetViews>
    <sheetView zoomScaleNormal="100" workbookViewId="0">
      <selection activeCell="E31" sqref="E31"/>
    </sheetView>
  </sheetViews>
  <sheetFormatPr defaultRowHeight="16.5"/>
  <cols>
    <col min="1" max="1" width="5.28515625" style="151" bestFit="1" customWidth="1"/>
    <col min="2" max="2" width="24.28515625" style="151" customWidth="1"/>
    <col min="3" max="6" width="14.5703125" style="151" bestFit="1" customWidth="1"/>
    <col min="7" max="7" width="9.28515625" style="151" bestFit="1" customWidth="1"/>
    <col min="8" max="8" width="14.5703125" style="151" bestFit="1" customWidth="1"/>
    <col min="9" max="9" width="9.28515625" style="151" bestFit="1" customWidth="1"/>
    <col min="10" max="16384" width="9.140625" style="151"/>
  </cols>
  <sheetData>
    <row r="1" spans="1:9">
      <c r="C1" s="151" t="s">
        <v>2033</v>
      </c>
      <c r="G1" s="309" t="s">
        <v>1020</v>
      </c>
    </row>
    <row r="4" spans="1:9">
      <c r="A4" s="1112" t="s">
        <v>2024</v>
      </c>
      <c r="B4" s="1111"/>
      <c r="C4" s="1111"/>
      <c r="D4" s="1111"/>
      <c r="E4" s="1111"/>
      <c r="F4" s="1110"/>
      <c r="G4" s="156">
        <v>1</v>
      </c>
      <c r="H4" s="156"/>
      <c r="I4" s="156" t="s">
        <v>2023</v>
      </c>
    </row>
    <row r="5" spans="1:9">
      <c r="A5" s="2333" t="s">
        <v>97</v>
      </c>
      <c r="B5" s="2333" t="s">
        <v>1105</v>
      </c>
      <c r="C5" s="2333" t="s">
        <v>1</v>
      </c>
      <c r="D5" s="2333" t="s">
        <v>2012</v>
      </c>
      <c r="E5" s="2333" t="s">
        <v>3</v>
      </c>
      <c r="F5" s="2333" t="s">
        <v>4</v>
      </c>
    </row>
    <row r="6" spans="1:9">
      <c r="A6" s="2333" t="s">
        <v>480</v>
      </c>
      <c r="B6" s="157" t="s">
        <v>2032</v>
      </c>
      <c r="C6" s="1040"/>
      <c r="D6" s="157"/>
      <c r="E6" s="160"/>
      <c r="F6" s="1040">
        <f>SUM(F7:F12)</f>
        <v>44300000</v>
      </c>
      <c r="G6" s="2354" t="s">
        <v>2021</v>
      </c>
      <c r="H6" s="152">
        <f>F6-C13</f>
        <v>4300000</v>
      </c>
      <c r="I6" s="153">
        <f>H6/H7</f>
        <v>9.7065462753950338E-2</v>
      </c>
    </row>
    <row r="7" spans="1:9">
      <c r="A7" s="2334">
        <v>1</v>
      </c>
      <c r="B7" s="158" t="s">
        <v>2031</v>
      </c>
      <c r="C7" s="160">
        <f>700*G4</f>
        <v>700</v>
      </c>
      <c r="D7" s="158" t="s">
        <v>829</v>
      </c>
      <c r="E7" s="160">
        <v>4500</v>
      </c>
      <c r="F7" s="160">
        <f>C7*E7</f>
        <v>3150000</v>
      </c>
      <c r="G7" s="2354" t="s">
        <v>2019</v>
      </c>
      <c r="H7" s="152">
        <f>H6+C13</f>
        <v>44300000</v>
      </c>
      <c r="I7" s="153"/>
    </row>
    <row r="8" spans="1:9">
      <c r="A8" s="2334">
        <v>2</v>
      </c>
      <c r="B8" s="158" t="s">
        <v>2018</v>
      </c>
      <c r="C8" s="160">
        <f>2100*G4</f>
        <v>2100</v>
      </c>
      <c r="D8" s="158" t="s">
        <v>829</v>
      </c>
      <c r="E8" s="160">
        <v>10500</v>
      </c>
      <c r="F8" s="160">
        <f>C8*E8</f>
        <v>22050000</v>
      </c>
      <c r="G8" s="2354"/>
      <c r="I8" s="153"/>
    </row>
    <row r="9" spans="1:9">
      <c r="A9" s="2334">
        <v>3</v>
      </c>
      <c r="B9" s="158" t="s">
        <v>1890</v>
      </c>
      <c r="C9" s="160">
        <f>1*G4</f>
        <v>1</v>
      </c>
      <c r="D9" s="158" t="s">
        <v>829</v>
      </c>
      <c r="E9" s="160">
        <v>350000</v>
      </c>
      <c r="F9" s="160">
        <f>C9*E9</f>
        <v>350000</v>
      </c>
      <c r="I9" s="153"/>
    </row>
    <row r="10" spans="1:9" ht="49.5">
      <c r="A10" s="2334">
        <v>4</v>
      </c>
      <c r="B10" s="1118" t="s">
        <v>2030</v>
      </c>
      <c r="C10" s="1117">
        <f>1*G4</f>
        <v>1</v>
      </c>
      <c r="D10" s="158" t="s">
        <v>1060</v>
      </c>
      <c r="E10" s="160">
        <v>10000000</v>
      </c>
      <c r="F10" s="160">
        <f>C10*E10</f>
        <v>10000000</v>
      </c>
      <c r="I10" s="153"/>
    </row>
    <row r="11" spans="1:9">
      <c r="A11" s="2334">
        <v>5</v>
      </c>
      <c r="B11" s="158" t="s">
        <v>2029</v>
      </c>
      <c r="C11" s="1117">
        <f>1*G4</f>
        <v>1</v>
      </c>
      <c r="D11" s="158" t="s">
        <v>1060</v>
      </c>
      <c r="E11" s="160">
        <v>7000000</v>
      </c>
      <c r="F11" s="160">
        <f>C11*E11</f>
        <v>7000000</v>
      </c>
      <c r="I11" s="153"/>
    </row>
    <row r="12" spans="1:9">
      <c r="A12" s="2334">
        <v>6</v>
      </c>
      <c r="B12" s="158" t="s">
        <v>217</v>
      </c>
      <c r="C12" s="1117"/>
      <c r="D12" s="158"/>
      <c r="E12" s="160"/>
      <c r="F12" s="160">
        <v>1750000</v>
      </c>
      <c r="I12" s="153"/>
    </row>
    <row r="13" spans="1:9">
      <c r="A13" s="2333" t="s">
        <v>485</v>
      </c>
      <c r="B13" s="157" t="s">
        <v>213</v>
      </c>
      <c r="C13" s="1040">
        <v>40000000</v>
      </c>
      <c r="D13" s="1040" t="s">
        <v>45</v>
      </c>
      <c r="E13" s="1040" t="s">
        <v>2015</v>
      </c>
      <c r="F13" s="1040">
        <f>C13*10%</f>
        <v>4000000</v>
      </c>
    </row>
    <row r="14" spans="1:9">
      <c r="A14" s="1112" t="s">
        <v>42</v>
      </c>
      <c r="B14" s="1111"/>
      <c r="C14" s="1111"/>
      <c r="D14" s="1111"/>
      <c r="E14" s="1110"/>
      <c r="F14" s="1040">
        <f>F6+F13</f>
        <v>48300000</v>
      </c>
    </row>
    <row r="15" spans="1:9">
      <c r="A15" s="1112" t="s">
        <v>2014</v>
      </c>
      <c r="B15" s="1111"/>
      <c r="C15" s="1111"/>
      <c r="D15" s="1111"/>
      <c r="E15" s="1111"/>
      <c r="F15" s="1110"/>
    </row>
    <row r="16" spans="1:9">
      <c r="A16" s="2334" t="s">
        <v>97</v>
      </c>
      <c r="B16" s="158" t="s">
        <v>1105</v>
      </c>
      <c r="C16" s="158" t="s">
        <v>2013</v>
      </c>
      <c r="D16" s="158" t="s">
        <v>2012</v>
      </c>
      <c r="E16" s="158" t="s">
        <v>3</v>
      </c>
      <c r="F16" s="158" t="s">
        <v>4</v>
      </c>
    </row>
    <row r="17" spans="1:6">
      <c r="A17" s="2333" t="s">
        <v>480</v>
      </c>
      <c r="B17" s="157" t="s">
        <v>2028</v>
      </c>
      <c r="C17" s="1040">
        <f>9*G4</f>
        <v>9</v>
      </c>
      <c r="D17" s="157" t="s">
        <v>2027</v>
      </c>
      <c r="E17" s="1035">
        <v>8000000</v>
      </c>
      <c r="F17" s="1040">
        <f>C17*E17</f>
        <v>72000000</v>
      </c>
    </row>
    <row r="18" spans="1:6">
      <c r="A18" s="2333"/>
      <c r="B18" s="158" t="s">
        <v>2026</v>
      </c>
      <c r="C18" s="1040"/>
      <c r="D18" s="157"/>
      <c r="E18" s="1035"/>
      <c r="F18" s="1040"/>
    </row>
    <row r="19" spans="1:6">
      <c r="A19" s="1115" t="s">
        <v>2008</v>
      </c>
      <c r="B19" s="1114"/>
      <c r="C19" s="1114"/>
      <c r="D19" s="1114"/>
      <c r="E19" s="1113"/>
      <c r="F19" s="1040">
        <f>F17</f>
        <v>72000000</v>
      </c>
    </row>
    <row r="20" spans="1:6">
      <c r="A20" s="2380" t="s">
        <v>2007</v>
      </c>
      <c r="B20" s="2381"/>
      <c r="C20" s="2381"/>
      <c r="D20" s="2381"/>
      <c r="E20" s="2381"/>
      <c r="F20" s="2382"/>
    </row>
    <row r="21" spans="1:6">
      <c r="A21" s="2333"/>
      <c r="B21" s="1040">
        <f>F19</f>
        <v>72000000</v>
      </c>
      <c r="C21" s="2333" t="s">
        <v>2006</v>
      </c>
      <c r="D21" s="159">
        <f>F14</f>
        <v>48300000</v>
      </c>
      <c r="E21" s="2333" t="s">
        <v>2005</v>
      </c>
      <c r="F21" s="159">
        <f>B21-D21</f>
        <v>23700000</v>
      </c>
    </row>
  </sheetData>
  <mergeCells count="1">
    <mergeCell ref="A20:F2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J25"/>
  <sheetViews>
    <sheetView zoomScaleNormal="100" workbookViewId="0">
      <selection activeCell="B4" sqref="B4"/>
    </sheetView>
  </sheetViews>
  <sheetFormatPr defaultRowHeight="16.5"/>
  <cols>
    <col min="1" max="1" width="5.28515625" style="151" bestFit="1" customWidth="1"/>
    <col min="2" max="2" width="33" style="151" bestFit="1" customWidth="1"/>
    <col min="3" max="3" width="21.85546875" style="151" bestFit="1" customWidth="1"/>
    <col min="4" max="5" width="14.5703125" style="151" bestFit="1" customWidth="1"/>
    <col min="6" max="6" width="15.85546875" style="151" bestFit="1" customWidth="1"/>
    <col min="7" max="7" width="9.28515625" style="151" bestFit="1" customWidth="1"/>
    <col min="8" max="8" width="14.5703125" style="151" bestFit="1" customWidth="1"/>
    <col min="9" max="9" width="9.28515625" style="151" bestFit="1" customWidth="1"/>
    <col min="10" max="16384" width="9.140625" style="151"/>
  </cols>
  <sheetData>
    <row r="1" spans="1:10">
      <c r="C1" s="151" t="s">
        <v>2043</v>
      </c>
      <c r="G1" s="309" t="s">
        <v>1020</v>
      </c>
    </row>
    <row r="5" spans="1:10">
      <c r="A5" s="1112" t="s">
        <v>2024</v>
      </c>
      <c r="B5" s="1111"/>
      <c r="C5" s="1111"/>
      <c r="D5" s="1111"/>
      <c r="E5" s="1111"/>
      <c r="F5" s="1110"/>
      <c r="G5" s="156">
        <v>1</v>
      </c>
      <c r="H5" s="156"/>
      <c r="I5" s="156" t="s">
        <v>2023</v>
      </c>
      <c r="J5" s="156"/>
    </row>
    <row r="6" spans="1:10">
      <c r="A6" s="2333" t="s">
        <v>97</v>
      </c>
      <c r="B6" s="2333" t="s">
        <v>1105</v>
      </c>
      <c r="C6" s="2333" t="s">
        <v>1</v>
      </c>
      <c r="D6" s="2333" t="s">
        <v>2012</v>
      </c>
      <c r="E6" s="2333" t="s">
        <v>3</v>
      </c>
      <c r="F6" s="2333" t="s">
        <v>4</v>
      </c>
    </row>
    <row r="7" spans="1:10">
      <c r="A7" s="2333" t="s">
        <v>480</v>
      </c>
      <c r="B7" s="157" t="s">
        <v>2042</v>
      </c>
      <c r="C7" s="1040"/>
      <c r="D7" s="157"/>
      <c r="E7" s="160"/>
      <c r="F7" s="1040">
        <f>SUM(F8:F13)</f>
        <v>88500000</v>
      </c>
      <c r="G7" s="2354" t="s">
        <v>2021</v>
      </c>
      <c r="H7" s="152">
        <f>F7-C14</f>
        <v>8500000</v>
      </c>
      <c r="I7" s="153">
        <f>H7/H8</f>
        <v>9.6045197740112997E-2</v>
      </c>
    </row>
    <row r="8" spans="1:10">
      <c r="A8" s="2334">
        <v>1</v>
      </c>
      <c r="B8" s="158" t="s">
        <v>2041</v>
      </c>
      <c r="C8" s="160">
        <f>1300*G5</f>
        <v>1300</v>
      </c>
      <c r="D8" s="158" t="s">
        <v>829</v>
      </c>
      <c r="E8" s="160">
        <v>12000</v>
      </c>
      <c r="F8" s="160">
        <f>C8*E8</f>
        <v>15600000</v>
      </c>
      <c r="G8" s="2354" t="s">
        <v>2019</v>
      </c>
      <c r="H8" s="152">
        <f>H7+C14</f>
        <v>88500000</v>
      </c>
      <c r="I8" s="153"/>
    </row>
    <row r="9" spans="1:10">
      <c r="A9" s="2334">
        <v>2</v>
      </c>
      <c r="B9" s="158" t="s">
        <v>2040</v>
      </c>
      <c r="C9" s="160">
        <f>17.5*G5</f>
        <v>17.5</v>
      </c>
      <c r="D9" s="158" t="s">
        <v>2039</v>
      </c>
      <c r="E9" s="160">
        <v>900000</v>
      </c>
      <c r="F9" s="160">
        <f>C9*E9</f>
        <v>15750000</v>
      </c>
      <c r="I9" s="153"/>
    </row>
    <row r="10" spans="1:10">
      <c r="A10" s="2334">
        <v>3</v>
      </c>
      <c r="B10" s="158" t="s">
        <v>2038</v>
      </c>
      <c r="C10" s="160">
        <f>9*G5</f>
        <v>9</v>
      </c>
      <c r="D10" s="158" t="s">
        <v>435</v>
      </c>
      <c r="E10" s="160">
        <v>200000</v>
      </c>
      <c r="F10" s="160">
        <f>C10*E10</f>
        <v>1800000</v>
      </c>
      <c r="I10" s="153"/>
    </row>
    <row r="11" spans="1:10">
      <c r="A11" s="2334">
        <v>4</v>
      </c>
      <c r="B11" s="1119" t="s">
        <v>2037</v>
      </c>
      <c r="C11" s="1117">
        <f>1*G5</f>
        <v>1</v>
      </c>
      <c r="D11" s="158" t="s">
        <v>1060</v>
      </c>
      <c r="E11" s="160">
        <v>23000000</v>
      </c>
      <c r="F11" s="160">
        <f>C11*E11</f>
        <v>23000000</v>
      </c>
      <c r="I11" s="153"/>
    </row>
    <row r="12" spans="1:10">
      <c r="A12" s="2334">
        <v>5</v>
      </c>
      <c r="B12" s="1119" t="s">
        <v>2036</v>
      </c>
      <c r="C12" s="1117">
        <f>1*G5</f>
        <v>1</v>
      </c>
      <c r="D12" s="158" t="s">
        <v>1060</v>
      </c>
      <c r="E12" s="160">
        <v>23000000</v>
      </c>
      <c r="F12" s="160">
        <f>C12*E12</f>
        <v>23000000</v>
      </c>
      <c r="I12" s="153"/>
    </row>
    <row r="13" spans="1:10" ht="49.5">
      <c r="A13" s="2334">
        <v>6</v>
      </c>
      <c r="B13" s="1118" t="s">
        <v>2543</v>
      </c>
      <c r="C13" s="1117"/>
      <c r="D13" s="158"/>
      <c r="E13" s="160"/>
      <c r="F13" s="160">
        <v>9350000</v>
      </c>
      <c r="I13" s="153"/>
    </row>
    <row r="14" spans="1:10">
      <c r="A14" s="2333" t="s">
        <v>485</v>
      </c>
      <c r="B14" s="157" t="s">
        <v>213</v>
      </c>
      <c r="C14" s="1040">
        <v>80000000</v>
      </c>
      <c r="D14" s="1040" t="s">
        <v>45</v>
      </c>
      <c r="E14" s="1040" t="s">
        <v>2015</v>
      </c>
      <c r="F14" s="1040">
        <f>C14*10%</f>
        <v>8000000</v>
      </c>
    </row>
    <row r="15" spans="1:10">
      <c r="A15" s="1112" t="s">
        <v>42</v>
      </c>
      <c r="B15" s="1111"/>
      <c r="C15" s="1111"/>
      <c r="D15" s="1111"/>
      <c r="E15" s="1110"/>
      <c r="F15" s="1040">
        <f>F7+F14</f>
        <v>96500000</v>
      </c>
    </row>
    <row r="16" spans="1:10">
      <c r="A16" s="1112" t="s">
        <v>2014</v>
      </c>
      <c r="B16" s="1111"/>
      <c r="C16" s="1111"/>
      <c r="D16" s="1111"/>
      <c r="E16" s="1111"/>
      <c r="F16" s="1110"/>
    </row>
    <row r="17" spans="1:6">
      <c r="A17" s="2334" t="s">
        <v>97</v>
      </c>
      <c r="B17" s="158" t="s">
        <v>1105</v>
      </c>
      <c r="C17" s="158" t="s">
        <v>2013</v>
      </c>
      <c r="D17" s="158" t="s">
        <v>2012</v>
      </c>
      <c r="E17" s="158" t="s">
        <v>3</v>
      </c>
      <c r="F17" s="158" t="s">
        <v>4</v>
      </c>
    </row>
    <row r="18" spans="1:6">
      <c r="A18" s="2333" t="s">
        <v>480</v>
      </c>
      <c r="B18" s="157" t="s">
        <v>2035</v>
      </c>
      <c r="C18" s="1040">
        <f>20*G5</f>
        <v>20</v>
      </c>
      <c r="D18" s="157" t="s">
        <v>1004</v>
      </c>
      <c r="E18" s="1035">
        <v>7000000</v>
      </c>
      <c r="F18" s="1040">
        <f>C18*E18</f>
        <v>140000000</v>
      </c>
    </row>
    <row r="19" spans="1:6">
      <c r="A19" s="2333"/>
      <c r="B19" s="158" t="s">
        <v>2034</v>
      </c>
      <c r="C19" s="1040"/>
      <c r="D19" s="157"/>
      <c r="E19" s="1035"/>
      <c r="F19" s="1040"/>
    </row>
    <row r="20" spans="1:6">
      <c r="A20" s="1115" t="s">
        <v>2008</v>
      </c>
      <c r="B20" s="1114"/>
      <c r="C20" s="1114"/>
      <c r="D20" s="1114"/>
      <c r="E20" s="1113"/>
      <c r="F20" s="1040">
        <f>F18</f>
        <v>140000000</v>
      </c>
    </row>
    <row r="21" spans="1:6">
      <c r="A21" s="1112" t="s">
        <v>2007</v>
      </c>
      <c r="B21" s="1111"/>
      <c r="C21" s="1111"/>
      <c r="D21" s="1111"/>
      <c r="E21" s="1111"/>
      <c r="F21" s="1110"/>
    </row>
    <row r="22" spans="1:6">
      <c r="A22" s="2333"/>
      <c r="B22" s="1040">
        <f>F20</f>
        <v>140000000</v>
      </c>
      <c r="C22" s="2333" t="s">
        <v>2006</v>
      </c>
      <c r="D22" s="159">
        <f>F15</f>
        <v>96500000</v>
      </c>
      <c r="E22" s="2333" t="s">
        <v>2005</v>
      </c>
      <c r="F22" s="159">
        <f>B22-D22</f>
        <v>43500000</v>
      </c>
    </row>
    <row r="23" spans="1:6">
      <c r="A23" s="1109"/>
    </row>
    <row r="24" spans="1:6">
      <c r="A24" s="1109"/>
    </row>
    <row r="25" spans="1:6">
      <c r="A25" s="1109"/>
    </row>
  </sheetData>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L23"/>
  <sheetViews>
    <sheetView zoomScaleNormal="100" workbookViewId="0">
      <selection activeCell="G1" sqref="G1"/>
    </sheetView>
  </sheetViews>
  <sheetFormatPr defaultRowHeight="16.5"/>
  <cols>
    <col min="1" max="1" width="7" style="963" customWidth="1"/>
    <col min="2" max="2" width="37.28515625" style="963" customWidth="1"/>
    <col min="3" max="3" width="5.7109375" style="963" bestFit="1" customWidth="1"/>
    <col min="4" max="4" width="10.7109375" style="1228" bestFit="1" customWidth="1"/>
    <col min="5" max="5" width="11.28515625" style="1272" bestFit="1" customWidth="1"/>
    <col min="6" max="6" width="6.7109375" style="1228" bestFit="1" customWidth="1"/>
    <col min="7" max="8" width="14.140625" style="963" bestFit="1" customWidth="1"/>
    <col min="9" max="11" width="9.140625" style="963"/>
    <col min="12" max="12" width="10.28515625" style="963" bestFit="1" customWidth="1"/>
    <col min="13" max="16384" width="9.140625" style="963"/>
  </cols>
  <sheetData>
    <row r="1" spans="2:12">
      <c r="C1" s="963" t="s">
        <v>2204</v>
      </c>
      <c r="G1" s="1382" t="s">
        <v>1020</v>
      </c>
    </row>
    <row r="2" spans="2:12">
      <c r="G2" s="1382"/>
    </row>
    <row r="3" spans="2:12">
      <c r="B3" s="1288" t="s">
        <v>2203</v>
      </c>
      <c r="C3" s="1288"/>
      <c r="D3" s="1234"/>
      <c r="E3" s="1289"/>
      <c r="F3" s="1234"/>
      <c r="G3" s="1288"/>
      <c r="H3" s="1288"/>
    </row>
    <row r="5" spans="2:12" s="1286" customFormat="1" ht="48" customHeight="1">
      <c r="B5" s="974" t="s">
        <v>1294</v>
      </c>
      <c r="C5" s="974" t="s">
        <v>2202</v>
      </c>
      <c r="D5" s="974" t="s">
        <v>2201</v>
      </c>
      <c r="E5" s="1287" t="s">
        <v>2200</v>
      </c>
      <c r="F5" s="974" t="s">
        <v>2199</v>
      </c>
      <c r="G5" s="974" t="s">
        <v>2198</v>
      </c>
      <c r="H5" s="974" t="s">
        <v>2197</v>
      </c>
    </row>
    <row r="6" spans="2:12" s="1273" customFormat="1" ht="20.100000000000001" customHeight="1">
      <c r="B6" s="971" t="s">
        <v>2196</v>
      </c>
      <c r="C6" s="1277">
        <v>2</v>
      </c>
      <c r="D6" s="1277">
        <v>1.5</v>
      </c>
      <c r="E6" s="1278">
        <v>800</v>
      </c>
      <c r="F6" s="1277" t="s">
        <v>1660</v>
      </c>
      <c r="G6" s="1276">
        <v>10000</v>
      </c>
      <c r="H6" s="1280">
        <f t="shared" ref="H6:H17" si="0">E6*G6*D6*C6</f>
        <v>24000000</v>
      </c>
    </row>
    <row r="7" spans="2:12" s="1273" customFormat="1" ht="20.100000000000001" customHeight="1">
      <c r="B7" s="971" t="s">
        <v>2195</v>
      </c>
      <c r="C7" s="1277">
        <f>C6</f>
        <v>2</v>
      </c>
      <c r="D7" s="1277">
        <f>D6</f>
        <v>1.5</v>
      </c>
      <c r="E7" s="1278">
        <v>20</v>
      </c>
      <c r="F7" s="1277" t="s">
        <v>1660</v>
      </c>
      <c r="G7" s="1276">
        <v>170000</v>
      </c>
      <c r="H7" s="1280">
        <f t="shared" si="0"/>
        <v>10200000</v>
      </c>
    </row>
    <row r="8" spans="2:12" s="1273" customFormat="1" ht="20.100000000000001" customHeight="1">
      <c r="B8" s="971" t="s">
        <v>2194</v>
      </c>
      <c r="C8" s="1277">
        <f>C7</f>
        <v>2</v>
      </c>
      <c r="D8" s="1277">
        <f>D7</f>
        <v>1.5</v>
      </c>
      <c r="E8" s="1278">
        <v>20</v>
      </c>
      <c r="F8" s="1277" t="s">
        <v>1660</v>
      </c>
      <c r="G8" s="1285">
        <v>70000</v>
      </c>
      <c r="H8" s="1280">
        <f t="shared" si="0"/>
        <v>4200000</v>
      </c>
    </row>
    <row r="9" spans="2:12" s="1273" customFormat="1" ht="20.100000000000001" customHeight="1">
      <c r="B9" s="971" t="s">
        <v>2193</v>
      </c>
      <c r="C9" s="1277">
        <f>C14</f>
        <v>2</v>
      </c>
      <c r="D9" s="1277">
        <f>D14</f>
        <v>1.5</v>
      </c>
      <c r="E9" s="1278">
        <v>1500</v>
      </c>
      <c r="F9" s="1277" t="s">
        <v>1660</v>
      </c>
      <c r="G9" s="1276">
        <v>30000</v>
      </c>
      <c r="H9" s="1280">
        <f t="shared" si="0"/>
        <v>135000000</v>
      </c>
    </row>
    <row r="10" spans="2:12" s="1273" customFormat="1" ht="20.100000000000001" customHeight="1">
      <c r="B10" s="971" t="s">
        <v>1890</v>
      </c>
      <c r="C10" s="1277">
        <v>2</v>
      </c>
      <c r="D10" s="1277">
        <v>1.5</v>
      </c>
      <c r="E10" s="1278">
        <v>10</v>
      </c>
      <c r="F10" s="1277" t="s">
        <v>149</v>
      </c>
      <c r="G10" s="1276">
        <v>1000000</v>
      </c>
      <c r="H10" s="1280">
        <f t="shared" si="0"/>
        <v>30000000</v>
      </c>
    </row>
    <row r="11" spans="2:12" s="1273" customFormat="1" ht="20.100000000000001" customHeight="1">
      <c r="B11" s="971" t="s">
        <v>2192</v>
      </c>
      <c r="C11" s="1277">
        <f>C12</f>
        <v>2</v>
      </c>
      <c r="D11" s="1277">
        <f>D12</f>
        <v>1.5</v>
      </c>
      <c r="E11" s="1278">
        <v>800</v>
      </c>
      <c r="F11" s="1277" t="s">
        <v>1660</v>
      </c>
      <c r="G11" s="1276">
        <v>40000</v>
      </c>
      <c r="H11" s="1280">
        <f t="shared" si="0"/>
        <v>96000000</v>
      </c>
    </row>
    <row r="12" spans="2:12" s="1273" customFormat="1" ht="20.100000000000001" customHeight="1">
      <c r="B12" s="971" t="s">
        <v>2191</v>
      </c>
      <c r="C12" s="1277">
        <f>C15</f>
        <v>2</v>
      </c>
      <c r="D12" s="1277">
        <f>D15</f>
        <v>1.5</v>
      </c>
      <c r="E12" s="1278">
        <v>2</v>
      </c>
      <c r="F12" s="1277" t="s">
        <v>2190</v>
      </c>
      <c r="G12" s="1276">
        <v>8000000</v>
      </c>
      <c r="H12" s="1280">
        <f t="shared" si="0"/>
        <v>48000000</v>
      </c>
    </row>
    <row r="13" spans="2:12" s="1273" customFormat="1" ht="20.100000000000001" customHeight="1">
      <c r="B13" s="971" t="s">
        <v>2189</v>
      </c>
      <c r="C13" s="1277">
        <f>C8</f>
        <v>2</v>
      </c>
      <c r="D13" s="1277">
        <f>D8</f>
        <v>1.5</v>
      </c>
      <c r="E13" s="1278">
        <v>60</v>
      </c>
      <c r="F13" s="1277" t="s">
        <v>511</v>
      </c>
      <c r="G13" s="1276">
        <v>300000</v>
      </c>
      <c r="H13" s="1280">
        <f t="shared" si="0"/>
        <v>54000000</v>
      </c>
      <c r="L13" s="1284"/>
    </row>
    <row r="14" spans="2:12" s="1273" customFormat="1" ht="20.100000000000001" customHeight="1">
      <c r="B14" s="971" t="s">
        <v>2188</v>
      </c>
      <c r="C14" s="1277">
        <f>C13</f>
        <v>2</v>
      </c>
      <c r="D14" s="1277">
        <f>D13</f>
        <v>1.5</v>
      </c>
      <c r="E14" s="1278">
        <v>60</v>
      </c>
      <c r="F14" s="1277" t="s">
        <v>511</v>
      </c>
      <c r="G14" s="1276">
        <v>300000</v>
      </c>
      <c r="H14" s="1280">
        <f t="shared" si="0"/>
        <v>54000000</v>
      </c>
      <c r="L14" s="1284"/>
    </row>
    <row r="15" spans="2:12" s="1273" customFormat="1" ht="20.100000000000001" customHeight="1">
      <c r="B15" s="971" t="s">
        <v>2187</v>
      </c>
      <c r="C15" s="1277">
        <f>C9</f>
        <v>2</v>
      </c>
      <c r="D15" s="1277">
        <f>D9</f>
        <v>1.5</v>
      </c>
      <c r="E15" s="1278">
        <v>6</v>
      </c>
      <c r="F15" s="1277" t="s">
        <v>74</v>
      </c>
      <c r="G15" s="1276">
        <v>500000</v>
      </c>
      <c r="H15" s="1280">
        <f t="shared" si="0"/>
        <v>9000000</v>
      </c>
    </row>
    <row r="16" spans="2:12" s="1273" customFormat="1" ht="20.100000000000001" customHeight="1">
      <c r="B16" s="971" t="s">
        <v>2186</v>
      </c>
      <c r="C16" s="1277">
        <f>C11</f>
        <v>2</v>
      </c>
      <c r="D16" s="1277">
        <f>D11</f>
        <v>1.5</v>
      </c>
      <c r="E16" s="1278">
        <v>20</v>
      </c>
      <c r="F16" s="1277" t="s">
        <v>11</v>
      </c>
      <c r="G16" s="1276">
        <v>85000</v>
      </c>
      <c r="H16" s="1280">
        <f t="shared" si="0"/>
        <v>5100000</v>
      </c>
    </row>
    <row r="17" spans="2:9" s="1273" customFormat="1" ht="20.100000000000001" customHeight="1">
      <c r="B17" s="971" t="s">
        <v>2185</v>
      </c>
      <c r="C17" s="1277">
        <f>C16</f>
        <v>2</v>
      </c>
      <c r="D17" s="1277">
        <f>D16</f>
        <v>1.5</v>
      </c>
      <c r="E17" s="1278">
        <v>20</v>
      </c>
      <c r="F17" s="1277" t="s">
        <v>511</v>
      </c>
      <c r="G17" s="1276">
        <v>300000</v>
      </c>
      <c r="H17" s="1280">
        <f t="shared" si="0"/>
        <v>18000000</v>
      </c>
    </row>
    <row r="18" spans="2:9" s="1273" customFormat="1" ht="20.100000000000001" customHeight="1">
      <c r="B18" s="967" t="s">
        <v>1072</v>
      </c>
      <c r="C18" s="967"/>
      <c r="D18" s="1282"/>
      <c r="E18" s="1283"/>
      <c r="F18" s="1282"/>
      <c r="G18" s="1276"/>
      <c r="H18" s="1275">
        <f>SUM(H6:H17)</f>
        <v>487500000</v>
      </c>
    </row>
    <row r="19" spans="2:9" s="1273" customFormat="1" ht="20.100000000000001" customHeight="1">
      <c r="B19" s="967" t="s">
        <v>2184</v>
      </c>
      <c r="C19" s="1277"/>
      <c r="D19" s="1277"/>
      <c r="E19" s="1278"/>
      <c r="F19" s="1277"/>
      <c r="G19" s="1276"/>
      <c r="H19" s="1275">
        <f>H20</f>
        <v>648000000</v>
      </c>
      <c r="I19" s="1274"/>
    </row>
    <row r="20" spans="2:9" s="1273" customFormat="1" ht="20.100000000000001" customHeight="1">
      <c r="B20" s="971" t="s">
        <v>2183</v>
      </c>
      <c r="C20" s="1277">
        <f>C6</f>
        <v>2</v>
      </c>
      <c r="D20" s="1277">
        <f>D6</f>
        <v>1.5</v>
      </c>
      <c r="E20" s="1278">
        <v>8</v>
      </c>
      <c r="F20" s="1277" t="s">
        <v>515</v>
      </c>
      <c r="G20" s="1276">
        <v>27000000</v>
      </c>
      <c r="H20" s="1280">
        <f>E20*G20*D20*C20</f>
        <v>648000000</v>
      </c>
      <c r="I20" s="1279"/>
    </row>
    <row r="21" spans="2:9" s="1273" customFormat="1" ht="20.100000000000001" customHeight="1">
      <c r="B21" s="967" t="s">
        <v>2182</v>
      </c>
      <c r="C21" s="1277"/>
      <c r="D21" s="1277"/>
      <c r="E21" s="1278"/>
      <c r="F21" s="1277"/>
      <c r="G21" s="1276"/>
      <c r="H21" s="1275">
        <f>H19-H18</f>
        <v>160500000</v>
      </c>
      <c r="I21" s="1274"/>
    </row>
    <row r="22" spans="2:9" s="1273" customFormat="1" ht="20.100000000000001" customHeight="1">
      <c r="B22" s="971" t="s">
        <v>305</v>
      </c>
      <c r="C22" s="1277"/>
      <c r="D22" s="1277"/>
      <c r="E22" s="1281">
        <v>9.5</v>
      </c>
      <c r="F22" s="1277" t="s">
        <v>90</v>
      </c>
      <c r="G22" s="1276">
        <v>300000000</v>
      </c>
      <c r="H22" s="1280">
        <f>G22*E22/100</f>
        <v>28500000</v>
      </c>
      <c r="I22" s="1279"/>
    </row>
    <row r="23" spans="2:9" s="1273" customFormat="1" ht="20.100000000000001" customHeight="1">
      <c r="B23" s="967" t="s">
        <v>2181</v>
      </c>
      <c r="C23" s="1277"/>
      <c r="D23" s="1277"/>
      <c r="E23" s="1278"/>
      <c r="F23" s="1277"/>
      <c r="G23" s="1276"/>
      <c r="H23" s="1275">
        <f>H21-H22</f>
        <v>132000000</v>
      </c>
      <c r="I23" s="1274"/>
    </row>
  </sheetData>
  <pageMargins left="0" right="0" top="0.25" bottom="0.2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I27"/>
  <sheetViews>
    <sheetView zoomScaleNormal="100" workbookViewId="0">
      <selection activeCell="B2" sqref="B2"/>
    </sheetView>
  </sheetViews>
  <sheetFormatPr defaultRowHeight="16.5"/>
  <cols>
    <col min="1" max="1" width="5.140625" style="151" customWidth="1"/>
    <col min="2" max="2" width="30.28515625" style="151" customWidth="1"/>
    <col min="3" max="3" width="19.85546875" style="151" bestFit="1" customWidth="1"/>
    <col min="4" max="6" width="14.5703125" style="151" bestFit="1" customWidth="1"/>
    <col min="7" max="7" width="9.28515625" style="151" bestFit="1" customWidth="1"/>
    <col min="8" max="8" width="14.5703125" style="151" bestFit="1" customWidth="1"/>
    <col min="9" max="9" width="9.28515625" style="151" bestFit="1" customWidth="1"/>
    <col min="10" max="16384" width="9.140625" style="151"/>
  </cols>
  <sheetData>
    <row r="1" spans="1:9">
      <c r="C1" s="151" t="s">
        <v>2025</v>
      </c>
      <c r="G1" s="309" t="s">
        <v>1020</v>
      </c>
    </row>
    <row r="5" spans="1:9">
      <c r="A5" s="2380" t="s">
        <v>2024</v>
      </c>
      <c r="B5" s="2381"/>
      <c r="C5" s="2381"/>
      <c r="D5" s="2381"/>
      <c r="E5" s="2381"/>
      <c r="F5" s="2382"/>
      <c r="G5" s="156">
        <v>1</v>
      </c>
      <c r="H5" s="156"/>
      <c r="I5" s="156" t="s">
        <v>2023</v>
      </c>
    </row>
    <row r="6" spans="1:9">
      <c r="A6" s="2333" t="s">
        <v>97</v>
      </c>
      <c r="B6" s="2333" t="s">
        <v>1105</v>
      </c>
      <c r="C6" s="2333" t="s">
        <v>1</v>
      </c>
      <c r="D6" s="2333" t="s">
        <v>2012</v>
      </c>
      <c r="E6" s="2333" t="s">
        <v>3</v>
      </c>
      <c r="F6" s="2333" t="s">
        <v>4</v>
      </c>
    </row>
    <row r="7" spans="1:9">
      <c r="A7" s="2333" t="s">
        <v>480</v>
      </c>
      <c r="B7" s="157" t="s">
        <v>2022</v>
      </c>
      <c r="C7" s="1040"/>
      <c r="D7" s="157"/>
      <c r="E7" s="160"/>
      <c r="F7" s="1040">
        <f>SUM(F8:F13)</f>
        <v>34400000</v>
      </c>
      <c r="G7" s="2354" t="s">
        <v>2021</v>
      </c>
      <c r="H7" s="152">
        <f>F7-C14</f>
        <v>3400000</v>
      </c>
      <c r="I7" s="153">
        <f>H7/H8</f>
        <v>9.8837209302325577E-2</v>
      </c>
    </row>
    <row r="8" spans="1:9">
      <c r="A8" s="2334">
        <v>1</v>
      </c>
      <c r="B8" s="158" t="s">
        <v>2020</v>
      </c>
      <c r="C8" s="160">
        <f>600*G5</f>
        <v>600</v>
      </c>
      <c r="D8" s="158" t="s">
        <v>829</v>
      </c>
      <c r="E8" s="160">
        <v>4500</v>
      </c>
      <c r="F8" s="160">
        <f>C8*E8</f>
        <v>2700000</v>
      </c>
      <c r="G8" s="2354" t="s">
        <v>2019</v>
      </c>
      <c r="H8" s="152">
        <f>H7+C14</f>
        <v>34400000</v>
      </c>
      <c r="I8" s="153"/>
    </row>
    <row r="9" spans="1:9">
      <c r="A9" s="2334">
        <v>2</v>
      </c>
      <c r="B9" s="158" t="s">
        <v>2018</v>
      </c>
      <c r="C9" s="160">
        <f>600*G5</f>
        <v>600</v>
      </c>
      <c r="D9" s="158" t="s">
        <v>829</v>
      </c>
      <c r="E9" s="160">
        <v>10500</v>
      </c>
      <c r="F9" s="160">
        <f>C9*E9</f>
        <v>6300000</v>
      </c>
      <c r="H9" s="152">
        <f>SUM(F8:F13)</f>
        <v>34400000</v>
      </c>
      <c r="I9" s="153"/>
    </row>
    <row r="10" spans="1:9">
      <c r="A10" s="2334">
        <v>3</v>
      </c>
      <c r="B10" s="158" t="s">
        <v>1890</v>
      </c>
      <c r="C10" s="160">
        <f>2*G5</f>
        <v>2</v>
      </c>
      <c r="D10" s="158" t="s">
        <v>829</v>
      </c>
      <c r="E10" s="160">
        <v>1200000</v>
      </c>
      <c r="F10" s="160">
        <f>C10*E10</f>
        <v>2400000</v>
      </c>
      <c r="I10" s="153"/>
    </row>
    <row r="11" spans="1:9" ht="33">
      <c r="A11" s="2334">
        <v>4</v>
      </c>
      <c r="B11" s="1118" t="s">
        <v>2017</v>
      </c>
      <c r="C11" s="1117">
        <f>1*G5</f>
        <v>1</v>
      </c>
      <c r="D11" s="158" t="s">
        <v>1060</v>
      </c>
      <c r="E11" s="160">
        <v>10000000</v>
      </c>
      <c r="F11" s="160">
        <f>C11*E11</f>
        <v>10000000</v>
      </c>
      <c r="I11" s="153"/>
    </row>
    <row r="12" spans="1:9">
      <c r="A12" s="2334">
        <v>5</v>
      </c>
      <c r="B12" s="158" t="s">
        <v>2016</v>
      </c>
      <c r="C12" s="1117">
        <f>1*G5</f>
        <v>1</v>
      </c>
      <c r="D12" s="158" t="s">
        <v>1060</v>
      </c>
      <c r="E12" s="160">
        <v>12000000</v>
      </c>
      <c r="F12" s="160">
        <f>C12*E12</f>
        <v>12000000</v>
      </c>
      <c r="I12" s="153"/>
    </row>
    <row r="13" spans="1:9">
      <c r="A13" s="2334">
        <v>6</v>
      </c>
      <c r="B13" s="158" t="s">
        <v>217</v>
      </c>
      <c r="C13" s="1117"/>
      <c r="D13" s="158"/>
      <c r="E13" s="160"/>
      <c r="F13" s="160">
        <v>1000000</v>
      </c>
      <c r="I13" s="153"/>
    </row>
    <row r="14" spans="1:9">
      <c r="A14" s="2333" t="s">
        <v>485</v>
      </c>
      <c r="B14" s="157" t="s">
        <v>213</v>
      </c>
      <c r="C14" s="1040">
        <v>31000000</v>
      </c>
      <c r="D14" s="1040" t="s">
        <v>45</v>
      </c>
      <c r="E14" s="1040" t="s">
        <v>2015</v>
      </c>
      <c r="F14" s="1040">
        <f>C14*10%</f>
        <v>3100000</v>
      </c>
    </row>
    <row r="15" spans="1:9">
      <c r="A15" s="1112" t="s">
        <v>42</v>
      </c>
      <c r="B15" s="1111"/>
      <c r="C15" s="1111"/>
      <c r="D15" s="1111"/>
      <c r="E15" s="1110"/>
      <c r="F15" s="1040">
        <f>F7+F14</f>
        <v>37500000</v>
      </c>
    </row>
    <row r="16" spans="1:9">
      <c r="A16" s="1112" t="s">
        <v>2014</v>
      </c>
      <c r="B16" s="1111"/>
      <c r="C16" s="1111"/>
      <c r="D16" s="1111"/>
      <c r="E16" s="1111"/>
      <c r="F16" s="1110"/>
    </row>
    <row r="17" spans="1:6">
      <c r="A17" s="2334" t="s">
        <v>97</v>
      </c>
      <c r="B17" s="158" t="s">
        <v>1105</v>
      </c>
      <c r="C17" s="158" t="s">
        <v>2013</v>
      </c>
      <c r="D17" s="158" t="s">
        <v>2012</v>
      </c>
      <c r="E17" s="158" t="s">
        <v>3</v>
      </c>
      <c r="F17" s="158" t="s">
        <v>4</v>
      </c>
    </row>
    <row r="18" spans="1:6">
      <c r="A18" s="2333" t="s">
        <v>480</v>
      </c>
      <c r="B18" s="157" t="s">
        <v>2011</v>
      </c>
      <c r="C18" s="1116">
        <f>2.5*G5</f>
        <v>2.5</v>
      </c>
      <c r="D18" s="157" t="s">
        <v>2010</v>
      </c>
      <c r="E18" s="1035">
        <v>28000000</v>
      </c>
      <c r="F18" s="1040">
        <f>C18*E18</f>
        <v>70000000</v>
      </c>
    </row>
    <row r="19" spans="1:6">
      <c r="A19" s="2333"/>
      <c r="B19" s="158" t="s">
        <v>2009</v>
      </c>
      <c r="C19" s="1040"/>
      <c r="D19" s="157"/>
      <c r="E19" s="1035"/>
      <c r="F19" s="1040"/>
    </row>
    <row r="20" spans="1:6">
      <c r="A20" s="1115" t="s">
        <v>2008</v>
      </c>
      <c r="B20" s="1114"/>
      <c r="C20" s="1114"/>
      <c r="D20" s="1114"/>
      <c r="E20" s="1113"/>
      <c r="F20" s="1040">
        <f>F18</f>
        <v>70000000</v>
      </c>
    </row>
    <row r="21" spans="1:6">
      <c r="A21" s="1112" t="s">
        <v>2007</v>
      </c>
      <c r="B21" s="1111"/>
      <c r="C21" s="1111"/>
      <c r="D21" s="1111"/>
      <c r="E21" s="1111"/>
      <c r="F21" s="1110"/>
    </row>
    <row r="22" spans="1:6">
      <c r="A22" s="2333"/>
      <c r="B22" s="1040">
        <f>F20</f>
        <v>70000000</v>
      </c>
      <c r="C22" s="2333" t="s">
        <v>2006</v>
      </c>
      <c r="D22" s="159">
        <f>F15</f>
        <v>37500000</v>
      </c>
      <c r="E22" s="2333" t="s">
        <v>2005</v>
      </c>
      <c r="F22" s="159">
        <f>B22-D22</f>
        <v>32500000</v>
      </c>
    </row>
    <row r="23" spans="1:6">
      <c r="A23" s="1109"/>
    </row>
    <row r="24" spans="1:6">
      <c r="A24" s="1109"/>
    </row>
    <row r="25" spans="1:6">
      <c r="A25" s="1109"/>
    </row>
    <row r="26" spans="1:6">
      <c r="A26" s="1109"/>
    </row>
    <row r="27" spans="1:6">
      <c r="A27" s="1109"/>
    </row>
  </sheetData>
  <mergeCells count="1">
    <mergeCell ref="A5:F5"/>
  </mergeCell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G59"/>
  <sheetViews>
    <sheetView workbookViewId="0">
      <selection activeCell="C2" sqref="C2"/>
    </sheetView>
  </sheetViews>
  <sheetFormatPr defaultRowHeight="16.5"/>
  <cols>
    <col min="1" max="1" width="4.28515625" style="523" bestFit="1" customWidth="1"/>
    <col min="2" max="2" width="32.7109375" style="523" customWidth="1"/>
    <col min="3" max="3" width="6.42578125" style="523" bestFit="1" customWidth="1"/>
    <col min="4" max="4" width="8.28515625" style="523" bestFit="1" customWidth="1"/>
    <col min="5" max="5" width="12.7109375" style="523" bestFit="1" customWidth="1"/>
    <col min="6" max="6" width="17.28515625" style="523" customWidth="1"/>
    <col min="7" max="7" width="16.5703125" style="523" customWidth="1"/>
    <col min="8" max="256" width="9.140625" style="523"/>
    <col min="257" max="257" width="4.28515625" style="523" bestFit="1" customWidth="1"/>
    <col min="258" max="258" width="32.7109375" style="523" customWidth="1"/>
    <col min="259" max="259" width="6.42578125" style="523" bestFit="1" customWidth="1"/>
    <col min="260" max="260" width="8.28515625" style="523" bestFit="1" customWidth="1"/>
    <col min="261" max="261" width="12.7109375" style="523" bestFit="1" customWidth="1"/>
    <col min="262" max="262" width="17.28515625" style="523" customWidth="1"/>
    <col min="263" max="263" width="16.5703125" style="523" customWidth="1"/>
    <col min="264" max="512" width="9.140625" style="523"/>
    <col min="513" max="513" width="4.28515625" style="523" bestFit="1" customWidth="1"/>
    <col min="514" max="514" width="32.7109375" style="523" customWidth="1"/>
    <col min="515" max="515" width="6.42578125" style="523" bestFit="1" customWidth="1"/>
    <col min="516" max="516" width="8.28515625" style="523" bestFit="1" customWidth="1"/>
    <col min="517" max="517" width="12.7109375" style="523" bestFit="1" customWidth="1"/>
    <col min="518" max="518" width="17.28515625" style="523" customWidth="1"/>
    <col min="519" max="519" width="16.5703125" style="523" customWidth="1"/>
    <col min="520" max="768" width="9.140625" style="523"/>
    <col min="769" max="769" width="4.28515625" style="523" bestFit="1" customWidth="1"/>
    <col min="770" max="770" width="32.7109375" style="523" customWidth="1"/>
    <col min="771" max="771" width="6.42578125" style="523" bestFit="1" customWidth="1"/>
    <col min="772" max="772" width="8.28515625" style="523" bestFit="1" customWidth="1"/>
    <col min="773" max="773" width="12.7109375" style="523" bestFit="1" customWidth="1"/>
    <col min="774" max="774" width="17.28515625" style="523" customWidth="1"/>
    <col min="775" max="775" width="16.5703125" style="523" customWidth="1"/>
    <col min="776" max="1024" width="9.140625" style="523"/>
    <col min="1025" max="1025" width="4.28515625" style="523" bestFit="1" customWidth="1"/>
    <col min="1026" max="1026" width="32.7109375" style="523" customWidth="1"/>
    <col min="1027" max="1027" width="6.42578125" style="523" bestFit="1" customWidth="1"/>
    <col min="1028" max="1028" width="8.28515625" style="523" bestFit="1" customWidth="1"/>
    <col min="1029" max="1029" width="12.7109375" style="523" bestFit="1" customWidth="1"/>
    <col min="1030" max="1030" width="17.28515625" style="523" customWidth="1"/>
    <col min="1031" max="1031" width="16.5703125" style="523" customWidth="1"/>
    <col min="1032" max="1280" width="9.140625" style="523"/>
    <col min="1281" max="1281" width="4.28515625" style="523" bestFit="1" customWidth="1"/>
    <col min="1282" max="1282" width="32.7109375" style="523" customWidth="1"/>
    <col min="1283" max="1283" width="6.42578125" style="523" bestFit="1" customWidth="1"/>
    <col min="1284" max="1284" width="8.28515625" style="523" bestFit="1" customWidth="1"/>
    <col min="1285" max="1285" width="12.7109375" style="523" bestFit="1" customWidth="1"/>
    <col min="1286" max="1286" width="17.28515625" style="523" customWidth="1"/>
    <col min="1287" max="1287" width="16.5703125" style="523" customWidth="1"/>
    <col min="1288" max="1536" width="9.140625" style="523"/>
    <col min="1537" max="1537" width="4.28515625" style="523" bestFit="1" customWidth="1"/>
    <col min="1538" max="1538" width="32.7109375" style="523" customWidth="1"/>
    <col min="1539" max="1539" width="6.42578125" style="523" bestFit="1" customWidth="1"/>
    <col min="1540" max="1540" width="8.28515625" style="523" bestFit="1" customWidth="1"/>
    <col min="1541" max="1541" width="12.7109375" style="523" bestFit="1" customWidth="1"/>
    <col min="1542" max="1542" width="17.28515625" style="523" customWidth="1"/>
    <col min="1543" max="1543" width="16.5703125" style="523" customWidth="1"/>
    <col min="1544" max="1792" width="9.140625" style="523"/>
    <col min="1793" max="1793" width="4.28515625" style="523" bestFit="1" customWidth="1"/>
    <col min="1794" max="1794" width="32.7109375" style="523" customWidth="1"/>
    <col min="1795" max="1795" width="6.42578125" style="523" bestFit="1" customWidth="1"/>
    <col min="1796" max="1796" width="8.28515625" style="523" bestFit="1" customWidth="1"/>
    <col min="1797" max="1797" width="12.7109375" style="523" bestFit="1" customWidth="1"/>
    <col min="1798" max="1798" width="17.28515625" style="523" customWidth="1"/>
    <col min="1799" max="1799" width="16.5703125" style="523" customWidth="1"/>
    <col min="1800" max="2048" width="9.140625" style="523"/>
    <col min="2049" max="2049" width="4.28515625" style="523" bestFit="1" customWidth="1"/>
    <col min="2050" max="2050" width="32.7109375" style="523" customWidth="1"/>
    <col min="2051" max="2051" width="6.42578125" style="523" bestFit="1" customWidth="1"/>
    <col min="2052" max="2052" width="8.28515625" style="523" bestFit="1" customWidth="1"/>
    <col min="2053" max="2053" width="12.7109375" style="523" bestFit="1" customWidth="1"/>
    <col min="2054" max="2054" width="17.28515625" style="523" customWidth="1"/>
    <col min="2055" max="2055" width="16.5703125" style="523" customWidth="1"/>
    <col min="2056" max="2304" width="9.140625" style="523"/>
    <col min="2305" max="2305" width="4.28515625" style="523" bestFit="1" customWidth="1"/>
    <col min="2306" max="2306" width="32.7109375" style="523" customWidth="1"/>
    <col min="2307" max="2307" width="6.42578125" style="523" bestFit="1" customWidth="1"/>
    <col min="2308" max="2308" width="8.28515625" style="523" bestFit="1" customWidth="1"/>
    <col min="2309" max="2309" width="12.7109375" style="523" bestFit="1" customWidth="1"/>
    <col min="2310" max="2310" width="17.28515625" style="523" customWidth="1"/>
    <col min="2311" max="2311" width="16.5703125" style="523" customWidth="1"/>
    <col min="2312" max="2560" width="9.140625" style="523"/>
    <col min="2561" max="2561" width="4.28515625" style="523" bestFit="1" customWidth="1"/>
    <col min="2562" max="2562" width="32.7109375" style="523" customWidth="1"/>
    <col min="2563" max="2563" width="6.42578125" style="523" bestFit="1" customWidth="1"/>
    <col min="2564" max="2564" width="8.28515625" style="523" bestFit="1" customWidth="1"/>
    <col min="2565" max="2565" width="12.7109375" style="523" bestFit="1" customWidth="1"/>
    <col min="2566" max="2566" width="17.28515625" style="523" customWidth="1"/>
    <col min="2567" max="2567" width="16.5703125" style="523" customWidth="1"/>
    <col min="2568" max="2816" width="9.140625" style="523"/>
    <col min="2817" max="2817" width="4.28515625" style="523" bestFit="1" customWidth="1"/>
    <col min="2818" max="2818" width="32.7109375" style="523" customWidth="1"/>
    <col min="2819" max="2819" width="6.42578125" style="523" bestFit="1" customWidth="1"/>
    <col min="2820" max="2820" width="8.28515625" style="523" bestFit="1" customWidth="1"/>
    <col min="2821" max="2821" width="12.7109375" style="523" bestFit="1" customWidth="1"/>
    <col min="2822" max="2822" width="17.28515625" style="523" customWidth="1"/>
    <col min="2823" max="2823" width="16.5703125" style="523" customWidth="1"/>
    <col min="2824" max="3072" width="9.140625" style="523"/>
    <col min="3073" max="3073" width="4.28515625" style="523" bestFit="1" customWidth="1"/>
    <col min="3074" max="3074" width="32.7109375" style="523" customWidth="1"/>
    <col min="3075" max="3075" width="6.42578125" style="523" bestFit="1" customWidth="1"/>
    <col min="3076" max="3076" width="8.28515625" style="523" bestFit="1" customWidth="1"/>
    <col min="3077" max="3077" width="12.7109375" style="523" bestFit="1" customWidth="1"/>
    <col min="3078" max="3078" width="17.28515625" style="523" customWidth="1"/>
    <col min="3079" max="3079" width="16.5703125" style="523" customWidth="1"/>
    <col min="3080" max="3328" width="9.140625" style="523"/>
    <col min="3329" max="3329" width="4.28515625" style="523" bestFit="1" customWidth="1"/>
    <col min="3330" max="3330" width="32.7109375" style="523" customWidth="1"/>
    <col min="3331" max="3331" width="6.42578125" style="523" bestFit="1" customWidth="1"/>
    <col min="3332" max="3332" width="8.28515625" style="523" bestFit="1" customWidth="1"/>
    <col min="3333" max="3333" width="12.7109375" style="523" bestFit="1" customWidth="1"/>
    <col min="3334" max="3334" width="17.28515625" style="523" customWidth="1"/>
    <col min="3335" max="3335" width="16.5703125" style="523" customWidth="1"/>
    <col min="3336" max="3584" width="9.140625" style="523"/>
    <col min="3585" max="3585" width="4.28515625" style="523" bestFit="1" customWidth="1"/>
    <col min="3586" max="3586" width="32.7109375" style="523" customWidth="1"/>
    <col min="3587" max="3587" width="6.42578125" style="523" bestFit="1" customWidth="1"/>
    <col min="3588" max="3588" width="8.28515625" style="523" bestFit="1" customWidth="1"/>
    <col min="3589" max="3589" width="12.7109375" style="523" bestFit="1" customWidth="1"/>
    <col min="3590" max="3590" width="17.28515625" style="523" customWidth="1"/>
    <col min="3591" max="3591" width="16.5703125" style="523" customWidth="1"/>
    <col min="3592" max="3840" width="9.140625" style="523"/>
    <col min="3841" max="3841" width="4.28515625" style="523" bestFit="1" customWidth="1"/>
    <col min="3842" max="3842" width="32.7109375" style="523" customWidth="1"/>
    <col min="3843" max="3843" width="6.42578125" style="523" bestFit="1" customWidth="1"/>
    <col min="3844" max="3844" width="8.28515625" style="523" bestFit="1" customWidth="1"/>
    <col min="3845" max="3845" width="12.7109375" style="523" bestFit="1" customWidth="1"/>
    <col min="3846" max="3846" width="17.28515625" style="523" customWidth="1"/>
    <col min="3847" max="3847" width="16.5703125" style="523" customWidth="1"/>
    <col min="3848" max="4096" width="9.140625" style="523"/>
    <col min="4097" max="4097" width="4.28515625" style="523" bestFit="1" customWidth="1"/>
    <col min="4098" max="4098" width="32.7109375" style="523" customWidth="1"/>
    <col min="4099" max="4099" width="6.42578125" style="523" bestFit="1" customWidth="1"/>
    <col min="4100" max="4100" width="8.28515625" style="523" bestFit="1" customWidth="1"/>
    <col min="4101" max="4101" width="12.7109375" style="523" bestFit="1" customWidth="1"/>
    <col min="4102" max="4102" width="17.28515625" style="523" customWidth="1"/>
    <col min="4103" max="4103" width="16.5703125" style="523" customWidth="1"/>
    <col min="4104" max="4352" width="9.140625" style="523"/>
    <col min="4353" max="4353" width="4.28515625" style="523" bestFit="1" customWidth="1"/>
    <col min="4354" max="4354" width="32.7109375" style="523" customWidth="1"/>
    <col min="4355" max="4355" width="6.42578125" style="523" bestFit="1" customWidth="1"/>
    <col min="4356" max="4356" width="8.28515625" style="523" bestFit="1" customWidth="1"/>
    <col min="4357" max="4357" width="12.7109375" style="523" bestFit="1" customWidth="1"/>
    <col min="4358" max="4358" width="17.28515625" style="523" customWidth="1"/>
    <col min="4359" max="4359" width="16.5703125" style="523" customWidth="1"/>
    <col min="4360" max="4608" width="9.140625" style="523"/>
    <col min="4609" max="4609" width="4.28515625" style="523" bestFit="1" customWidth="1"/>
    <col min="4610" max="4610" width="32.7109375" style="523" customWidth="1"/>
    <col min="4611" max="4611" width="6.42578125" style="523" bestFit="1" customWidth="1"/>
    <col min="4612" max="4612" width="8.28515625" style="523" bestFit="1" customWidth="1"/>
    <col min="4613" max="4613" width="12.7109375" style="523" bestFit="1" customWidth="1"/>
    <col min="4614" max="4614" width="17.28515625" style="523" customWidth="1"/>
    <col min="4615" max="4615" width="16.5703125" style="523" customWidth="1"/>
    <col min="4616" max="4864" width="9.140625" style="523"/>
    <col min="4865" max="4865" width="4.28515625" style="523" bestFit="1" customWidth="1"/>
    <col min="4866" max="4866" width="32.7109375" style="523" customWidth="1"/>
    <col min="4867" max="4867" width="6.42578125" style="523" bestFit="1" customWidth="1"/>
    <col min="4868" max="4868" width="8.28515625" style="523" bestFit="1" customWidth="1"/>
    <col min="4869" max="4869" width="12.7109375" style="523" bestFit="1" customWidth="1"/>
    <col min="4870" max="4870" width="17.28515625" style="523" customWidth="1"/>
    <col min="4871" max="4871" width="16.5703125" style="523" customWidth="1"/>
    <col min="4872" max="5120" width="9.140625" style="523"/>
    <col min="5121" max="5121" width="4.28515625" style="523" bestFit="1" customWidth="1"/>
    <col min="5122" max="5122" width="32.7109375" style="523" customWidth="1"/>
    <col min="5123" max="5123" width="6.42578125" style="523" bestFit="1" customWidth="1"/>
    <col min="5124" max="5124" width="8.28515625" style="523" bestFit="1" customWidth="1"/>
    <col min="5125" max="5125" width="12.7109375" style="523" bestFit="1" customWidth="1"/>
    <col min="5126" max="5126" width="17.28515625" style="523" customWidth="1"/>
    <col min="5127" max="5127" width="16.5703125" style="523" customWidth="1"/>
    <col min="5128" max="5376" width="9.140625" style="523"/>
    <col min="5377" max="5377" width="4.28515625" style="523" bestFit="1" customWidth="1"/>
    <col min="5378" max="5378" width="32.7109375" style="523" customWidth="1"/>
    <col min="5379" max="5379" width="6.42578125" style="523" bestFit="1" customWidth="1"/>
    <col min="5380" max="5380" width="8.28515625" style="523" bestFit="1" customWidth="1"/>
    <col min="5381" max="5381" width="12.7109375" style="523" bestFit="1" customWidth="1"/>
    <col min="5382" max="5382" width="17.28515625" style="523" customWidth="1"/>
    <col min="5383" max="5383" width="16.5703125" style="523" customWidth="1"/>
    <col min="5384" max="5632" width="9.140625" style="523"/>
    <col min="5633" max="5633" width="4.28515625" style="523" bestFit="1" customWidth="1"/>
    <col min="5634" max="5634" width="32.7109375" style="523" customWidth="1"/>
    <col min="5635" max="5635" width="6.42578125" style="523" bestFit="1" customWidth="1"/>
    <col min="5636" max="5636" width="8.28515625" style="523" bestFit="1" customWidth="1"/>
    <col min="5637" max="5637" width="12.7109375" style="523" bestFit="1" customWidth="1"/>
    <col min="5638" max="5638" width="17.28515625" style="523" customWidth="1"/>
    <col min="5639" max="5639" width="16.5703125" style="523" customWidth="1"/>
    <col min="5640" max="5888" width="9.140625" style="523"/>
    <col min="5889" max="5889" width="4.28515625" style="523" bestFit="1" customWidth="1"/>
    <col min="5890" max="5890" width="32.7109375" style="523" customWidth="1"/>
    <col min="5891" max="5891" width="6.42578125" style="523" bestFit="1" customWidth="1"/>
    <col min="5892" max="5892" width="8.28515625" style="523" bestFit="1" customWidth="1"/>
    <col min="5893" max="5893" width="12.7109375" style="523" bestFit="1" customWidth="1"/>
    <col min="5894" max="5894" width="17.28515625" style="523" customWidth="1"/>
    <col min="5895" max="5895" width="16.5703125" style="523" customWidth="1"/>
    <col min="5896" max="6144" width="9.140625" style="523"/>
    <col min="6145" max="6145" width="4.28515625" style="523" bestFit="1" customWidth="1"/>
    <col min="6146" max="6146" width="32.7109375" style="523" customWidth="1"/>
    <col min="6147" max="6147" width="6.42578125" style="523" bestFit="1" customWidth="1"/>
    <col min="6148" max="6148" width="8.28515625" style="523" bestFit="1" customWidth="1"/>
    <col min="6149" max="6149" width="12.7109375" style="523" bestFit="1" customWidth="1"/>
    <col min="6150" max="6150" width="17.28515625" style="523" customWidth="1"/>
    <col min="6151" max="6151" width="16.5703125" style="523" customWidth="1"/>
    <col min="6152" max="6400" width="9.140625" style="523"/>
    <col min="6401" max="6401" width="4.28515625" style="523" bestFit="1" customWidth="1"/>
    <col min="6402" max="6402" width="32.7109375" style="523" customWidth="1"/>
    <col min="6403" max="6403" width="6.42578125" style="523" bestFit="1" customWidth="1"/>
    <col min="6404" max="6404" width="8.28515625" style="523" bestFit="1" customWidth="1"/>
    <col min="6405" max="6405" width="12.7109375" style="523" bestFit="1" customWidth="1"/>
    <col min="6406" max="6406" width="17.28515625" style="523" customWidth="1"/>
    <col min="6407" max="6407" width="16.5703125" style="523" customWidth="1"/>
    <col min="6408" max="6656" width="9.140625" style="523"/>
    <col min="6657" max="6657" width="4.28515625" style="523" bestFit="1" customWidth="1"/>
    <col min="6658" max="6658" width="32.7109375" style="523" customWidth="1"/>
    <col min="6659" max="6659" width="6.42578125" style="523" bestFit="1" customWidth="1"/>
    <col min="6660" max="6660" width="8.28515625" style="523" bestFit="1" customWidth="1"/>
    <col min="6661" max="6661" width="12.7109375" style="523" bestFit="1" customWidth="1"/>
    <col min="6662" max="6662" width="17.28515625" style="523" customWidth="1"/>
    <col min="6663" max="6663" width="16.5703125" style="523" customWidth="1"/>
    <col min="6664" max="6912" width="9.140625" style="523"/>
    <col min="6913" max="6913" width="4.28515625" style="523" bestFit="1" customWidth="1"/>
    <col min="6914" max="6914" width="32.7109375" style="523" customWidth="1"/>
    <col min="6915" max="6915" width="6.42578125" style="523" bestFit="1" customWidth="1"/>
    <col min="6916" max="6916" width="8.28515625" style="523" bestFit="1" customWidth="1"/>
    <col min="6917" max="6917" width="12.7109375" style="523" bestFit="1" customWidth="1"/>
    <col min="6918" max="6918" width="17.28515625" style="523" customWidth="1"/>
    <col min="6919" max="6919" width="16.5703125" style="523" customWidth="1"/>
    <col min="6920" max="7168" width="9.140625" style="523"/>
    <col min="7169" max="7169" width="4.28515625" style="523" bestFit="1" customWidth="1"/>
    <col min="7170" max="7170" width="32.7109375" style="523" customWidth="1"/>
    <col min="7171" max="7171" width="6.42578125" style="523" bestFit="1" customWidth="1"/>
    <col min="7172" max="7172" width="8.28515625" style="523" bestFit="1" customWidth="1"/>
    <col min="7173" max="7173" width="12.7109375" style="523" bestFit="1" customWidth="1"/>
    <col min="7174" max="7174" width="17.28515625" style="523" customWidth="1"/>
    <col min="7175" max="7175" width="16.5703125" style="523" customWidth="1"/>
    <col min="7176" max="7424" width="9.140625" style="523"/>
    <col min="7425" max="7425" width="4.28515625" style="523" bestFit="1" customWidth="1"/>
    <col min="7426" max="7426" width="32.7109375" style="523" customWidth="1"/>
    <col min="7427" max="7427" width="6.42578125" style="523" bestFit="1" customWidth="1"/>
    <col min="7428" max="7428" width="8.28515625" style="523" bestFit="1" customWidth="1"/>
    <col min="7429" max="7429" width="12.7109375" style="523" bestFit="1" customWidth="1"/>
    <col min="7430" max="7430" width="17.28515625" style="523" customWidth="1"/>
    <col min="7431" max="7431" width="16.5703125" style="523" customWidth="1"/>
    <col min="7432" max="7680" width="9.140625" style="523"/>
    <col min="7681" max="7681" width="4.28515625" style="523" bestFit="1" customWidth="1"/>
    <col min="7682" max="7682" width="32.7109375" style="523" customWidth="1"/>
    <col min="7683" max="7683" width="6.42578125" style="523" bestFit="1" customWidth="1"/>
    <col min="7684" max="7684" width="8.28515625" style="523" bestFit="1" customWidth="1"/>
    <col min="7685" max="7685" width="12.7109375" style="523" bestFit="1" customWidth="1"/>
    <col min="7686" max="7686" width="17.28515625" style="523" customWidth="1"/>
    <col min="7687" max="7687" width="16.5703125" style="523" customWidth="1"/>
    <col min="7688" max="7936" width="9.140625" style="523"/>
    <col min="7937" max="7937" width="4.28515625" style="523" bestFit="1" customWidth="1"/>
    <col min="7938" max="7938" width="32.7109375" style="523" customWidth="1"/>
    <col min="7939" max="7939" width="6.42578125" style="523" bestFit="1" customWidth="1"/>
    <col min="7940" max="7940" width="8.28515625" style="523" bestFit="1" customWidth="1"/>
    <col min="7941" max="7941" width="12.7109375" style="523" bestFit="1" customWidth="1"/>
    <col min="7942" max="7942" width="17.28515625" style="523" customWidth="1"/>
    <col min="7943" max="7943" width="16.5703125" style="523" customWidth="1"/>
    <col min="7944" max="8192" width="9.140625" style="523"/>
    <col min="8193" max="8193" width="4.28515625" style="523" bestFit="1" customWidth="1"/>
    <col min="8194" max="8194" width="32.7109375" style="523" customWidth="1"/>
    <col min="8195" max="8195" width="6.42578125" style="523" bestFit="1" customWidth="1"/>
    <col min="8196" max="8196" width="8.28515625" style="523" bestFit="1" customWidth="1"/>
    <col min="8197" max="8197" width="12.7109375" style="523" bestFit="1" customWidth="1"/>
    <col min="8198" max="8198" width="17.28515625" style="523" customWidth="1"/>
    <col min="8199" max="8199" width="16.5703125" style="523" customWidth="1"/>
    <col min="8200" max="8448" width="9.140625" style="523"/>
    <col min="8449" max="8449" width="4.28515625" style="523" bestFit="1" customWidth="1"/>
    <col min="8450" max="8450" width="32.7109375" style="523" customWidth="1"/>
    <col min="8451" max="8451" width="6.42578125" style="523" bestFit="1" customWidth="1"/>
    <col min="8452" max="8452" width="8.28515625" style="523" bestFit="1" customWidth="1"/>
    <col min="8453" max="8453" width="12.7109375" style="523" bestFit="1" customWidth="1"/>
    <col min="8454" max="8454" width="17.28515625" style="523" customWidth="1"/>
    <col min="8455" max="8455" width="16.5703125" style="523" customWidth="1"/>
    <col min="8456" max="8704" width="9.140625" style="523"/>
    <col min="8705" max="8705" width="4.28515625" style="523" bestFit="1" customWidth="1"/>
    <col min="8706" max="8706" width="32.7109375" style="523" customWidth="1"/>
    <col min="8707" max="8707" width="6.42578125" style="523" bestFit="1" customWidth="1"/>
    <col min="8708" max="8708" width="8.28515625" style="523" bestFit="1" customWidth="1"/>
    <col min="8709" max="8709" width="12.7109375" style="523" bestFit="1" customWidth="1"/>
    <col min="8710" max="8710" width="17.28515625" style="523" customWidth="1"/>
    <col min="8711" max="8711" width="16.5703125" style="523" customWidth="1"/>
    <col min="8712" max="8960" width="9.140625" style="523"/>
    <col min="8961" max="8961" width="4.28515625" style="523" bestFit="1" customWidth="1"/>
    <col min="8962" max="8962" width="32.7109375" style="523" customWidth="1"/>
    <col min="8963" max="8963" width="6.42578125" style="523" bestFit="1" customWidth="1"/>
    <col min="8964" max="8964" width="8.28515625" style="523" bestFit="1" customWidth="1"/>
    <col min="8965" max="8965" width="12.7109375" style="523" bestFit="1" customWidth="1"/>
    <col min="8966" max="8966" width="17.28515625" style="523" customWidth="1"/>
    <col min="8967" max="8967" width="16.5703125" style="523" customWidth="1"/>
    <col min="8968" max="9216" width="9.140625" style="523"/>
    <col min="9217" max="9217" width="4.28515625" style="523" bestFit="1" customWidth="1"/>
    <col min="9218" max="9218" width="32.7109375" style="523" customWidth="1"/>
    <col min="9219" max="9219" width="6.42578125" style="523" bestFit="1" customWidth="1"/>
    <col min="9220" max="9220" width="8.28515625" style="523" bestFit="1" customWidth="1"/>
    <col min="9221" max="9221" width="12.7109375" style="523" bestFit="1" customWidth="1"/>
    <col min="9222" max="9222" width="17.28515625" style="523" customWidth="1"/>
    <col min="9223" max="9223" width="16.5703125" style="523" customWidth="1"/>
    <col min="9224" max="9472" width="9.140625" style="523"/>
    <col min="9473" max="9473" width="4.28515625" style="523" bestFit="1" customWidth="1"/>
    <col min="9474" max="9474" width="32.7109375" style="523" customWidth="1"/>
    <col min="9475" max="9475" width="6.42578125" style="523" bestFit="1" customWidth="1"/>
    <col min="9476" max="9476" width="8.28515625" style="523" bestFit="1" customWidth="1"/>
    <col min="9477" max="9477" width="12.7109375" style="523" bestFit="1" customWidth="1"/>
    <col min="9478" max="9478" width="17.28515625" style="523" customWidth="1"/>
    <col min="9479" max="9479" width="16.5703125" style="523" customWidth="1"/>
    <col min="9480" max="9728" width="9.140625" style="523"/>
    <col min="9729" max="9729" width="4.28515625" style="523" bestFit="1" customWidth="1"/>
    <col min="9730" max="9730" width="32.7109375" style="523" customWidth="1"/>
    <col min="9731" max="9731" width="6.42578125" style="523" bestFit="1" customWidth="1"/>
    <col min="9732" max="9732" width="8.28515625" style="523" bestFit="1" customWidth="1"/>
    <col min="9733" max="9733" width="12.7109375" style="523" bestFit="1" customWidth="1"/>
    <col min="9734" max="9734" width="17.28515625" style="523" customWidth="1"/>
    <col min="9735" max="9735" width="16.5703125" style="523" customWidth="1"/>
    <col min="9736" max="9984" width="9.140625" style="523"/>
    <col min="9985" max="9985" width="4.28515625" style="523" bestFit="1" customWidth="1"/>
    <col min="9986" max="9986" width="32.7109375" style="523" customWidth="1"/>
    <col min="9987" max="9987" width="6.42578125" style="523" bestFit="1" customWidth="1"/>
    <col min="9988" max="9988" width="8.28515625" style="523" bestFit="1" customWidth="1"/>
    <col min="9989" max="9989" width="12.7109375" style="523" bestFit="1" customWidth="1"/>
    <col min="9990" max="9990" width="17.28515625" style="523" customWidth="1"/>
    <col min="9991" max="9991" width="16.5703125" style="523" customWidth="1"/>
    <col min="9992" max="10240" width="9.140625" style="523"/>
    <col min="10241" max="10241" width="4.28515625" style="523" bestFit="1" customWidth="1"/>
    <col min="10242" max="10242" width="32.7109375" style="523" customWidth="1"/>
    <col min="10243" max="10243" width="6.42578125" style="523" bestFit="1" customWidth="1"/>
    <col min="10244" max="10244" width="8.28515625" style="523" bestFit="1" customWidth="1"/>
    <col min="10245" max="10245" width="12.7109375" style="523" bestFit="1" customWidth="1"/>
    <col min="10246" max="10246" width="17.28515625" style="523" customWidth="1"/>
    <col min="10247" max="10247" width="16.5703125" style="523" customWidth="1"/>
    <col min="10248" max="10496" width="9.140625" style="523"/>
    <col min="10497" max="10497" width="4.28515625" style="523" bestFit="1" customWidth="1"/>
    <col min="10498" max="10498" width="32.7109375" style="523" customWidth="1"/>
    <col min="10499" max="10499" width="6.42578125" style="523" bestFit="1" customWidth="1"/>
    <col min="10500" max="10500" width="8.28515625" style="523" bestFit="1" customWidth="1"/>
    <col min="10501" max="10501" width="12.7109375" style="523" bestFit="1" customWidth="1"/>
    <col min="10502" max="10502" width="17.28515625" style="523" customWidth="1"/>
    <col min="10503" max="10503" width="16.5703125" style="523" customWidth="1"/>
    <col min="10504" max="10752" width="9.140625" style="523"/>
    <col min="10753" max="10753" width="4.28515625" style="523" bestFit="1" customWidth="1"/>
    <col min="10754" max="10754" width="32.7109375" style="523" customWidth="1"/>
    <col min="10755" max="10755" width="6.42578125" style="523" bestFit="1" customWidth="1"/>
    <col min="10756" max="10756" width="8.28515625" style="523" bestFit="1" customWidth="1"/>
    <col min="10757" max="10757" width="12.7109375" style="523" bestFit="1" customWidth="1"/>
    <col min="10758" max="10758" width="17.28515625" style="523" customWidth="1"/>
    <col min="10759" max="10759" width="16.5703125" style="523" customWidth="1"/>
    <col min="10760" max="11008" width="9.140625" style="523"/>
    <col min="11009" max="11009" width="4.28515625" style="523" bestFit="1" customWidth="1"/>
    <col min="11010" max="11010" width="32.7109375" style="523" customWidth="1"/>
    <col min="11011" max="11011" width="6.42578125" style="523" bestFit="1" customWidth="1"/>
    <col min="11012" max="11012" width="8.28515625" style="523" bestFit="1" customWidth="1"/>
    <col min="11013" max="11013" width="12.7109375" style="523" bestFit="1" customWidth="1"/>
    <col min="11014" max="11014" width="17.28515625" style="523" customWidth="1"/>
    <col min="11015" max="11015" width="16.5703125" style="523" customWidth="1"/>
    <col min="11016" max="11264" width="9.140625" style="523"/>
    <col min="11265" max="11265" width="4.28515625" style="523" bestFit="1" customWidth="1"/>
    <col min="11266" max="11266" width="32.7109375" style="523" customWidth="1"/>
    <col min="11267" max="11267" width="6.42578125" style="523" bestFit="1" customWidth="1"/>
    <col min="11268" max="11268" width="8.28515625" style="523" bestFit="1" customWidth="1"/>
    <col min="11269" max="11269" width="12.7109375" style="523" bestFit="1" customWidth="1"/>
    <col min="11270" max="11270" width="17.28515625" style="523" customWidth="1"/>
    <col min="11271" max="11271" width="16.5703125" style="523" customWidth="1"/>
    <col min="11272" max="11520" width="9.140625" style="523"/>
    <col min="11521" max="11521" width="4.28515625" style="523" bestFit="1" customWidth="1"/>
    <col min="11522" max="11522" width="32.7109375" style="523" customWidth="1"/>
    <col min="11523" max="11523" width="6.42578125" style="523" bestFit="1" customWidth="1"/>
    <col min="11524" max="11524" width="8.28515625" style="523" bestFit="1" customWidth="1"/>
    <col min="11525" max="11525" width="12.7109375" style="523" bestFit="1" customWidth="1"/>
    <col min="11526" max="11526" width="17.28515625" style="523" customWidth="1"/>
    <col min="11527" max="11527" width="16.5703125" style="523" customWidth="1"/>
    <col min="11528" max="11776" width="9.140625" style="523"/>
    <col min="11777" max="11777" width="4.28515625" style="523" bestFit="1" customWidth="1"/>
    <col min="11778" max="11778" width="32.7109375" style="523" customWidth="1"/>
    <col min="11779" max="11779" width="6.42578125" style="523" bestFit="1" customWidth="1"/>
    <col min="11780" max="11780" width="8.28515625" style="523" bestFit="1" customWidth="1"/>
    <col min="11781" max="11781" width="12.7109375" style="523" bestFit="1" customWidth="1"/>
    <col min="11782" max="11782" width="17.28515625" style="523" customWidth="1"/>
    <col min="11783" max="11783" width="16.5703125" style="523" customWidth="1"/>
    <col min="11784" max="12032" width="9.140625" style="523"/>
    <col min="12033" max="12033" width="4.28515625" style="523" bestFit="1" customWidth="1"/>
    <col min="12034" max="12034" width="32.7109375" style="523" customWidth="1"/>
    <col min="12035" max="12035" width="6.42578125" style="523" bestFit="1" customWidth="1"/>
    <col min="12036" max="12036" width="8.28515625" style="523" bestFit="1" customWidth="1"/>
    <col min="12037" max="12037" width="12.7109375" style="523" bestFit="1" customWidth="1"/>
    <col min="12038" max="12038" width="17.28515625" style="523" customWidth="1"/>
    <col min="12039" max="12039" width="16.5703125" style="523" customWidth="1"/>
    <col min="12040" max="12288" width="9.140625" style="523"/>
    <col min="12289" max="12289" width="4.28515625" style="523" bestFit="1" customWidth="1"/>
    <col min="12290" max="12290" width="32.7109375" style="523" customWidth="1"/>
    <col min="12291" max="12291" width="6.42578125" style="523" bestFit="1" customWidth="1"/>
    <col min="12292" max="12292" width="8.28515625" style="523" bestFit="1" customWidth="1"/>
    <col min="12293" max="12293" width="12.7109375" style="523" bestFit="1" customWidth="1"/>
    <col min="12294" max="12294" width="17.28515625" style="523" customWidth="1"/>
    <col min="12295" max="12295" width="16.5703125" style="523" customWidth="1"/>
    <col min="12296" max="12544" width="9.140625" style="523"/>
    <col min="12545" max="12545" width="4.28515625" style="523" bestFit="1" customWidth="1"/>
    <col min="12546" max="12546" width="32.7109375" style="523" customWidth="1"/>
    <col min="12547" max="12547" width="6.42578125" style="523" bestFit="1" customWidth="1"/>
    <col min="12548" max="12548" width="8.28515625" style="523" bestFit="1" customWidth="1"/>
    <col min="12549" max="12549" width="12.7109375" style="523" bestFit="1" customWidth="1"/>
    <col min="12550" max="12550" width="17.28515625" style="523" customWidth="1"/>
    <col min="12551" max="12551" width="16.5703125" style="523" customWidth="1"/>
    <col min="12552" max="12800" width="9.140625" style="523"/>
    <col min="12801" max="12801" width="4.28515625" style="523" bestFit="1" customWidth="1"/>
    <col min="12802" max="12802" width="32.7109375" style="523" customWidth="1"/>
    <col min="12803" max="12803" width="6.42578125" style="523" bestFit="1" customWidth="1"/>
    <col min="12804" max="12804" width="8.28515625" style="523" bestFit="1" customWidth="1"/>
    <col min="12805" max="12805" width="12.7109375" style="523" bestFit="1" customWidth="1"/>
    <col min="12806" max="12806" width="17.28515625" style="523" customWidth="1"/>
    <col min="12807" max="12807" width="16.5703125" style="523" customWidth="1"/>
    <col min="12808" max="13056" width="9.140625" style="523"/>
    <col min="13057" max="13057" width="4.28515625" style="523" bestFit="1" customWidth="1"/>
    <col min="13058" max="13058" width="32.7109375" style="523" customWidth="1"/>
    <col min="13059" max="13059" width="6.42578125" style="523" bestFit="1" customWidth="1"/>
    <col min="13060" max="13060" width="8.28515625" style="523" bestFit="1" customWidth="1"/>
    <col min="13061" max="13061" width="12.7109375" style="523" bestFit="1" customWidth="1"/>
    <col min="13062" max="13062" width="17.28515625" style="523" customWidth="1"/>
    <col min="13063" max="13063" width="16.5703125" style="523" customWidth="1"/>
    <col min="13064" max="13312" width="9.140625" style="523"/>
    <col min="13313" max="13313" width="4.28515625" style="523" bestFit="1" customWidth="1"/>
    <col min="13314" max="13314" width="32.7109375" style="523" customWidth="1"/>
    <col min="13315" max="13315" width="6.42578125" style="523" bestFit="1" customWidth="1"/>
    <col min="13316" max="13316" width="8.28515625" style="523" bestFit="1" customWidth="1"/>
    <col min="13317" max="13317" width="12.7109375" style="523" bestFit="1" customWidth="1"/>
    <col min="13318" max="13318" width="17.28515625" style="523" customWidth="1"/>
    <col min="13319" max="13319" width="16.5703125" style="523" customWidth="1"/>
    <col min="13320" max="13568" width="9.140625" style="523"/>
    <col min="13569" max="13569" width="4.28515625" style="523" bestFit="1" customWidth="1"/>
    <col min="13570" max="13570" width="32.7109375" style="523" customWidth="1"/>
    <col min="13571" max="13571" width="6.42578125" style="523" bestFit="1" customWidth="1"/>
    <col min="13572" max="13572" width="8.28515625" style="523" bestFit="1" customWidth="1"/>
    <col min="13573" max="13573" width="12.7109375" style="523" bestFit="1" customWidth="1"/>
    <col min="13574" max="13574" width="17.28515625" style="523" customWidth="1"/>
    <col min="13575" max="13575" width="16.5703125" style="523" customWidth="1"/>
    <col min="13576" max="13824" width="9.140625" style="523"/>
    <col min="13825" max="13825" width="4.28515625" style="523" bestFit="1" customWidth="1"/>
    <col min="13826" max="13826" width="32.7109375" style="523" customWidth="1"/>
    <col min="13827" max="13827" width="6.42578125" style="523" bestFit="1" customWidth="1"/>
    <col min="13828" max="13828" width="8.28515625" style="523" bestFit="1" customWidth="1"/>
    <col min="13829" max="13829" width="12.7109375" style="523" bestFit="1" customWidth="1"/>
    <col min="13830" max="13830" width="17.28515625" style="523" customWidth="1"/>
    <col min="13831" max="13831" width="16.5703125" style="523" customWidth="1"/>
    <col min="13832" max="14080" width="9.140625" style="523"/>
    <col min="14081" max="14081" width="4.28515625" style="523" bestFit="1" customWidth="1"/>
    <col min="14082" max="14082" width="32.7109375" style="523" customWidth="1"/>
    <col min="14083" max="14083" width="6.42578125" style="523" bestFit="1" customWidth="1"/>
    <col min="14084" max="14084" width="8.28515625" style="523" bestFit="1" customWidth="1"/>
    <col min="14085" max="14085" width="12.7109375" style="523" bestFit="1" customWidth="1"/>
    <col min="14086" max="14086" width="17.28515625" style="523" customWidth="1"/>
    <col min="14087" max="14087" width="16.5703125" style="523" customWidth="1"/>
    <col min="14088" max="14336" width="9.140625" style="523"/>
    <col min="14337" max="14337" width="4.28515625" style="523" bestFit="1" customWidth="1"/>
    <col min="14338" max="14338" width="32.7109375" style="523" customWidth="1"/>
    <col min="14339" max="14339" width="6.42578125" style="523" bestFit="1" customWidth="1"/>
    <col min="14340" max="14340" width="8.28515625" style="523" bestFit="1" customWidth="1"/>
    <col min="14341" max="14341" width="12.7109375" style="523" bestFit="1" customWidth="1"/>
    <col min="14342" max="14342" width="17.28515625" style="523" customWidth="1"/>
    <col min="14343" max="14343" width="16.5703125" style="523" customWidth="1"/>
    <col min="14344" max="14592" width="9.140625" style="523"/>
    <col min="14593" max="14593" width="4.28515625" style="523" bestFit="1" customWidth="1"/>
    <col min="14594" max="14594" width="32.7109375" style="523" customWidth="1"/>
    <col min="14595" max="14595" width="6.42578125" style="523" bestFit="1" customWidth="1"/>
    <col min="14596" max="14596" width="8.28515625" style="523" bestFit="1" customWidth="1"/>
    <col min="14597" max="14597" width="12.7109375" style="523" bestFit="1" customWidth="1"/>
    <col min="14598" max="14598" width="17.28515625" style="523" customWidth="1"/>
    <col min="14599" max="14599" width="16.5703125" style="523" customWidth="1"/>
    <col min="14600" max="14848" width="9.140625" style="523"/>
    <col min="14849" max="14849" width="4.28515625" style="523" bestFit="1" customWidth="1"/>
    <col min="14850" max="14850" width="32.7109375" style="523" customWidth="1"/>
    <col min="14851" max="14851" width="6.42578125" style="523" bestFit="1" customWidth="1"/>
    <col min="14852" max="14852" width="8.28515625" style="523" bestFit="1" customWidth="1"/>
    <col min="14853" max="14853" width="12.7109375" style="523" bestFit="1" customWidth="1"/>
    <col min="14854" max="14854" width="17.28515625" style="523" customWidth="1"/>
    <col min="14855" max="14855" width="16.5703125" style="523" customWidth="1"/>
    <col min="14856" max="15104" width="9.140625" style="523"/>
    <col min="15105" max="15105" width="4.28515625" style="523" bestFit="1" customWidth="1"/>
    <col min="15106" max="15106" width="32.7109375" style="523" customWidth="1"/>
    <col min="15107" max="15107" width="6.42578125" style="523" bestFit="1" customWidth="1"/>
    <col min="15108" max="15108" width="8.28515625" style="523" bestFit="1" customWidth="1"/>
    <col min="15109" max="15109" width="12.7109375" style="523" bestFit="1" customWidth="1"/>
    <col min="15110" max="15110" width="17.28515625" style="523" customWidth="1"/>
    <col min="15111" max="15111" width="16.5703125" style="523" customWidth="1"/>
    <col min="15112" max="15360" width="9.140625" style="523"/>
    <col min="15361" max="15361" width="4.28515625" style="523" bestFit="1" customWidth="1"/>
    <col min="15362" max="15362" width="32.7109375" style="523" customWidth="1"/>
    <col min="15363" max="15363" width="6.42578125" style="523" bestFit="1" customWidth="1"/>
    <col min="15364" max="15364" width="8.28515625" style="523" bestFit="1" customWidth="1"/>
    <col min="15365" max="15365" width="12.7109375" style="523" bestFit="1" customWidth="1"/>
    <col min="15366" max="15366" width="17.28515625" style="523" customWidth="1"/>
    <col min="15367" max="15367" width="16.5703125" style="523" customWidth="1"/>
    <col min="15368" max="15616" width="9.140625" style="523"/>
    <col min="15617" max="15617" width="4.28515625" style="523" bestFit="1" customWidth="1"/>
    <col min="15618" max="15618" width="32.7109375" style="523" customWidth="1"/>
    <col min="15619" max="15619" width="6.42578125" style="523" bestFit="1" customWidth="1"/>
    <col min="15620" max="15620" width="8.28515625" style="523" bestFit="1" customWidth="1"/>
    <col min="15621" max="15621" width="12.7109375" style="523" bestFit="1" customWidth="1"/>
    <col min="15622" max="15622" width="17.28515625" style="523" customWidth="1"/>
    <col min="15623" max="15623" width="16.5703125" style="523" customWidth="1"/>
    <col min="15624" max="15872" width="9.140625" style="523"/>
    <col min="15873" max="15873" width="4.28515625" style="523" bestFit="1" customWidth="1"/>
    <col min="15874" max="15874" width="32.7109375" style="523" customWidth="1"/>
    <col min="15875" max="15875" width="6.42578125" style="523" bestFit="1" customWidth="1"/>
    <col min="15876" max="15876" width="8.28515625" style="523" bestFit="1" customWidth="1"/>
    <col min="15877" max="15877" width="12.7109375" style="523" bestFit="1" customWidth="1"/>
    <col min="15878" max="15878" width="17.28515625" style="523" customWidth="1"/>
    <col min="15879" max="15879" width="16.5703125" style="523" customWidth="1"/>
    <col min="15880" max="16128" width="9.140625" style="523"/>
    <col min="16129" max="16129" width="4.28515625" style="523" bestFit="1" customWidth="1"/>
    <col min="16130" max="16130" width="32.7109375" style="523" customWidth="1"/>
    <col min="16131" max="16131" width="6.42578125" style="523" bestFit="1" customWidth="1"/>
    <col min="16132" max="16132" width="8.28515625" style="523" bestFit="1" customWidth="1"/>
    <col min="16133" max="16133" width="12.7109375" style="523" bestFit="1" customWidth="1"/>
    <col min="16134" max="16134" width="17.28515625" style="523" customWidth="1"/>
    <col min="16135" max="16135" width="16.5703125" style="523" customWidth="1"/>
    <col min="16136" max="16384" width="9.140625" style="523"/>
  </cols>
  <sheetData>
    <row r="1" spans="1:7">
      <c r="C1" s="523" t="s">
        <v>2547</v>
      </c>
      <c r="G1" s="1383" t="s">
        <v>1020</v>
      </c>
    </row>
    <row r="6" spans="1:7">
      <c r="A6" s="524"/>
      <c r="B6" s="2383" t="s">
        <v>1264</v>
      </c>
      <c r="C6" s="2383"/>
      <c r="D6" s="2383"/>
      <c r="E6" s="2383"/>
      <c r="F6" s="2383"/>
      <c r="G6" s="2383"/>
    </row>
    <row r="7" spans="1:7" ht="17.25" thickBot="1">
      <c r="A7" s="524"/>
      <c r="B7" s="2296"/>
      <c r="C7" s="2296"/>
      <c r="D7" s="2296"/>
      <c r="E7" s="2296"/>
      <c r="F7" s="2296"/>
      <c r="G7" s="1638" t="s">
        <v>1263</v>
      </c>
    </row>
    <row r="8" spans="1:7" ht="33.75" thickTop="1">
      <c r="A8" s="1639" t="s">
        <v>1058</v>
      </c>
      <c r="B8" s="1640" t="s">
        <v>1262</v>
      </c>
      <c r="C8" s="1640" t="s">
        <v>1056</v>
      </c>
      <c r="D8" s="1640" t="s">
        <v>1</v>
      </c>
      <c r="E8" s="1640" t="s">
        <v>1261</v>
      </c>
      <c r="F8" s="1640" t="s">
        <v>1260</v>
      </c>
      <c r="G8" s="947" t="s">
        <v>1259</v>
      </c>
    </row>
    <row r="9" spans="1:7">
      <c r="A9" s="897" t="s">
        <v>109</v>
      </c>
      <c r="B9" s="1641" t="s">
        <v>1258</v>
      </c>
      <c r="C9" s="1642"/>
      <c r="D9" s="1642"/>
      <c r="E9" s="1642"/>
      <c r="F9" s="1642"/>
      <c r="G9" s="1643"/>
    </row>
    <row r="10" spans="1:7">
      <c r="A10" s="1644" t="s">
        <v>480</v>
      </c>
      <c r="B10" s="1645" t="s">
        <v>1257</v>
      </c>
      <c r="C10" s="1646"/>
      <c r="D10" s="1646"/>
      <c r="E10" s="1647"/>
      <c r="F10" s="1647">
        <f>SUM(F11:F14)</f>
        <v>441900000</v>
      </c>
      <c r="G10" s="1648">
        <f t="shared" ref="G10:G55" si="0">F10/5</f>
        <v>88380000</v>
      </c>
    </row>
    <row r="11" spans="1:7">
      <c r="A11" s="1649">
        <v>1</v>
      </c>
      <c r="B11" s="1650" t="s">
        <v>1256</v>
      </c>
      <c r="C11" s="1651" t="s">
        <v>8</v>
      </c>
      <c r="D11" s="1651">
        <v>5</v>
      </c>
      <c r="E11" s="1652">
        <v>74400000</v>
      </c>
      <c r="F11" s="1652">
        <f>E11*D11</f>
        <v>372000000</v>
      </c>
      <c r="G11" s="1648">
        <f t="shared" si="0"/>
        <v>74400000</v>
      </c>
    </row>
    <row r="12" spans="1:7">
      <c r="A12" s="1649">
        <v>2</v>
      </c>
      <c r="B12" s="1650" t="s">
        <v>1255</v>
      </c>
      <c r="C12" s="1651" t="s">
        <v>5</v>
      </c>
      <c r="D12" s="1651">
        <v>50</v>
      </c>
      <c r="E12" s="1652">
        <v>900000</v>
      </c>
      <c r="F12" s="1652">
        <f>D12*E12</f>
        <v>45000000</v>
      </c>
      <c r="G12" s="1648">
        <f t="shared" si="0"/>
        <v>9000000</v>
      </c>
    </row>
    <row r="13" spans="1:7">
      <c r="A13" s="1649">
        <v>3</v>
      </c>
      <c r="B13" s="1650" t="s">
        <v>1254</v>
      </c>
      <c r="C13" s="1651" t="s">
        <v>108</v>
      </c>
      <c r="D13" s="1651">
        <v>1</v>
      </c>
      <c r="E13" s="1652">
        <v>19500000</v>
      </c>
      <c r="F13" s="1652">
        <f>D13*E13</f>
        <v>19500000</v>
      </c>
      <c r="G13" s="1648">
        <f t="shared" si="0"/>
        <v>3900000</v>
      </c>
    </row>
    <row r="14" spans="1:7">
      <c r="A14" s="1649">
        <v>4</v>
      </c>
      <c r="B14" s="1650" t="s">
        <v>1253</v>
      </c>
      <c r="C14" s="1651" t="s">
        <v>108</v>
      </c>
      <c r="D14" s="1653">
        <v>1</v>
      </c>
      <c r="E14" s="1654">
        <v>5400000</v>
      </c>
      <c r="F14" s="1652">
        <f>D14*E14</f>
        <v>5400000</v>
      </c>
      <c r="G14" s="1648">
        <f t="shared" si="0"/>
        <v>1080000</v>
      </c>
    </row>
    <row r="15" spans="1:7">
      <c r="A15" s="1644" t="s">
        <v>485</v>
      </c>
      <c r="B15" s="1645" t="s">
        <v>1252</v>
      </c>
      <c r="C15" s="1646"/>
      <c r="D15" s="1646"/>
      <c r="E15" s="1647"/>
      <c r="F15" s="1647">
        <f>SUM(F16:F17)</f>
        <v>441900000</v>
      </c>
      <c r="G15" s="1648">
        <f t="shared" si="0"/>
        <v>88380000</v>
      </c>
    </row>
    <row r="16" spans="1:7">
      <c r="A16" s="1649">
        <v>1</v>
      </c>
      <c r="B16" s="1650" t="s">
        <v>1251</v>
      </c>
      <c r="C16" s="1651"/>
      <c r="D16" s="1651"/>
      <c r="E16" s="1652"/>
      <c r="F16" s="1652">
        <v>88900000</v>
      </c>
      <c r="G16" s="1655">
        <f t="shared" si="0"/>
        <v>17780000</v>
      </c>
    </row>
    <row r="17" spans="1:7">
      <c r="A17" s="1649">
        <v>2</v>
      </c>
      <c r="B17" s="1650" t="s">
        <v>1250</v>
      </c>
      <c r="C17" s="1651"/>
      <c r="D17" s="1653"/>
      <c r="E17" s="1654"/>
      <c r="F17" s="1652">
        <v>353000000</v>
      </c>
      <c r="G17" s="1655">
        <f t="shared" si="0"/>
        <v>70600000</v>
      </c>
    </row>
    <row r="18" spans="1:7" s="524" customFormat="1">
      <c r="A18" s="1644" t="s">
        <v>301</v>
      </c>
      <c r="B18" s="1656" t="s">
        <v>1249</v>
      </c>
      <c r="C18" s="1646"/>
      <c r="D18" s="1657"/>
      <c r="E18" s="1658"/>
      <c r="F18" s="1647">
        <f>F19+F39</f>
        <v>309458266.66666663</v>
      </c>
      <c r="G18" s="1648">
        <f t="shared" si="0"/>
        <v>61891653.333333328</v>
      </c>
    </row>
    <row r="19" spans="1:7">
      <c r="A19" s="1644" t="s">
        <v>480</v>
      </c>
      <c r="B19" s="1645" t="s">
        <v>1248</v>
      </c>
      <c r="C19" s="1646"/>
      <c r="D19" s="1646"/>
      <c r="E19" s="1647"/>
      <c r="F19" s="1647">
        <f>F20+F24+F27+F28</f>
        <v>197871600</v>
      </c>
      <c r="G19" s="1648">
        <f t="shared" si="0"/>
        <v>39574320</v>
      </c>
    </row>
    <row r="20" spans="1:7">
      <c r="A20" s="1649">
        <v>1</v>
      </c>
      <c r="B20" s="1650" t="s">
        <v>1247</v>
      </c>
      <c r="C20" s="1651"/>
      <c r="D20" s="1651"/>
      <c r="E20" s="1652"/>
      <c r="F20" s="1652">
        <f>SUM(F21:F23)</f>
        <v>137492500</v>
      </c>
      <c r="G20" s="1655">
        <f t="shared" si="0"/>
        <v>27498500</v>
      </c>
    </row>
    <row r="21" spans="1:7">
      <c r="A21" s="1649" t="s">
        <v>1223</v>
      </c>
      <c r="B21" s="1650" t="s">
        <v>1246</v>
      </c>
      <c r="C21" s="1651" t="s">
        <v>11</v>
      </c>
      <c r="D21" s="1653">
        <v>13400</v>
      </c>
      <c r="E21" s="1654">
        <v>8000</v>
      </c>
      <c r="F21" s="1652">
        <f>D21*E21</f>
        <v>107200000</v>
      </c>
      <c r="G21" s="1655">
        <f t="shared" si="0"/>
        <v>21440000</v>
      </c>
    </row>
    <row r="22" spans="1:7">
      <c r="A22" s="1649" t="s">
        <v>1221</v>
      </c>
      <c r="B22" s="1650" t="s">
        <v>1245</v>
      </c>
      <c r="C22" s="1651" t="s">
        <v>11</v>
      </c>
      <c r="D22" s="1653">
        <f>0.025*5*420</f>
        <v>52.5</v>
      </c>
      <c r="E22" s="1654">
        <v>17000</v>
      </c>
      <c r="F22" s="1652">
        <f>D22*E22</f>
        <v>892500</v>
      </c>
      <c r="G22" s="1655">
        <f t="shared" si="0"/>
        <v>178500</v>
      </c>
    </row>
    <row r="23" spans="1:7">
      <c r="A23" s="1649" t="s">
        <v>1219</v>
      </c>
      <c r="B23" s="1650" t="s">
        <v>1244</v>
      </c>
      <c r="C23" s="1651" t="s">
        <v>11</v>
      </c>
      <c r="D23" s="1653">
        <f>40*5*420</f>
        <v>84000</v>
      </c>
      <c r="E23" s="1654">
        <v>350</v>
      </c>
      <c r="F23" s="1652">
        <f>D23*E23</f>
        <v>29400000</v>
      </c>
      <c r="G23" s="1655">
        <f t="shared" si="0"/>
        <v>5880000</v>
      </c>
    </row>
    <row r="24" spans="1:7">
      <c r="A24" s="1649">
        <v>2</v>
      </c>
      <c r="B24" s="1650" t="s">
        <v>1243</v>
      </c>
      <c r="C24" s="1651"/>
      <c r="D24" s="1653" t="s">
        <v>1242</v>
      </c>
      <c r="E24" s="1654"/>
      <c r="F24" s="1652">
        <f>SUM(F25:F26)</f>
        <v>5600000</v>
      </c>
      <c r="G24" s="1655">
        <f t="shared" si="0"/>
        <v>1120000</v>
      </c>
    </row>
    <row r="25" spans="1:7">
      <c r="A25" s="1649" t="s">
        <v>1223</v>
      </c>
      <c r="B25" s="1650" t="s">
        <v>1241</v>
      </c>
      <c r="C25" s="1651" t="s">
        <v>74</v>
      </c>
      <c r="D25" s="1653">
        <v>14</v>
      </c>
      <c r="E25" s="1654">
        <v>100000</v>
      </c>
      <c r="F25" s="1652">
        <f>D25*E25</f>
        <v>1400000</v>
      </c>
      <c r="G25" s="1655">
        <f t="shared" si="0"/>
        <v>280000</v>
      </c>
    </row>
    <row r="26" spans="1:7">
      <c r="A26" s="1649" t="s">
        <v>1221</v>
      </c>
      <c r="B26" s="1650" t="s">
        <v>1240</v>
      </c>
      <c r="C26" s="1651" t="s">
        <v>74</v>
      </c>
      <c r="D26" s="1653">
        <v>14</v>
      </c>
      <c r="E26" s="1654">
        <v>300000</v>
      </c>
      <c r="F26" s="1652">
        <f>300000*14</f>
        <v>4200000</v>
      </c>
      <c r="G26" s="1655">
        <f t="shared" si="0"/>
        <v>840000</v>
      </c>
    </row>
    <row r="27" spans="1:7">
      <c r="A27" s="1649">
        <v>3</v>
      </c>
      <c r="B27" s="1650" t="s">
        <v>1239</v>
      </c>
      <c r="C27" s="1651" t="s">
        <v>74</v>
      </c>
      <c r="D27" s="1653">
        <v>14</v>
      </c>
      <c r="E27" s="1654">
        <v>3500000</v>
      </c>
      <c r="F27" s="1652">
        <f>D27*E27</f>
        <v>49000000</v>
      </c>
      <c r="G27" s="1655">
        <f t="shared" si="0"/>
        <v>9800000</v>
      </c>
    </row>
    <row r="28" spans="1:7">
      <c r="A28" s="1649">
        <v>4</v>
      </c>
      <c r="B28" s="1650" t="s">
        <v>1238</v>
      </c>
      <c r="C28" s="1651"/>
      <c r="D28" s="1653"/>
      <c r="E28" s="1654"/>
      <c r="F28" s="1652">
        <f>F29+F34</f>
        <v>5779100</v>
      </c>
      <c r="G28" s="1655">
        <f t="shared" si="0"/>
        <v>1155820</v>
      </c>
    </row>
    <row r="29" spans="1:7">
      <c r="A29" s="1649" t="s">
        <v>1223</v>
      </c>
      <c r="B29" s="1650" t="s">
        <v>1237</v>
      </c>
      <c r="C29" s="1651"/>
      <c r="D29" s="1653"/>
      <c r="E29" s="1654"/>
      <c r="F29" s="1652">
        <f>SUM(F30:F33)</f>
        <v>1550000</v>
      </c>
      <c r="G29" s="1655">
        <f t="shared" si="0"/>
        <v>310000</v>
      </c>
    </row>
    <row r="30" spans="1:7">
      <c r="A30" s="1649"/>
      <c r="B30" s="1650" t="s">
        <v>1236</v>
      </c>
      <c r="C30" s="1651" t="s">
        <v>1235</v>
      </c>
      <c r="D30" s="1653">
        <f>2*5</f>
        <v>10</v>
      </c>
      <c r="E30" s="1654">
        <v>120000</v>
      </c>
      <c r="F30" s="1652">
        <f>D30*E30</f>
        <v>1200000</v>
      </c>
      <c r="G30" s="1655">
        <f t="shared" si="0"/>
        <v>240000</v>
      </c>
    </row>
    <row r="31" spans="1:7">
      <c r="A31" s="1649"/>
      <c r="B31" s="1650" t="s">
        <v>1234</v>
      </c>
      <c r="C31" s="1651" t="s">
        <v>1233</v>
      </c>
      <c r="D31" s="1653">
        <f>2*5</f>
        <v>10</v>
      </c>
      <c r="E31" s="1654">
        <v>25000</v>
      </c>
      <c r="F31" s="1652">
        <f>D31*E31</f>
        <v>250000</v>
      </c>
      <c r="G31" s="1655">
        <f t="shared" si="0"/>
        <v>50000</v>
      </c>
    </row>
    <row r="32" spans="1:7">
      <c r="A32" s="1649"/>
      <c r="B32" s="1650" t="s">
        <v>1232</v>
      </c>
      <c r="C32" s="1651" t="s">
        <v>108</v>
      </c>
      <c r="D32" s="1653">
        <f>2*5</f>
        <v>10</v>
      </c>
      <c r="E32" s="1654">
        <v>5000</v>
      </c>
      <c r="F32" s="1652">
        <f>D32*E32</f>
        <v>50000</v>
      </c>
      <c r="G32" s="1655">
        <f t="shared" si="0"/>
        <v>10000</v>
      </c>
    </row>
    <row r="33" spans="1:7">
      <c r="A33" s="1649"/>
      <c r="B33" s="1650" t="s">
        <v>1231</v>
      </c>
      <c r="C33" s="1651" t="s">
        <v>108</v>
      </c>
      <c r="D33" s="1653">
        <f>2*5</f>
        <v>10</v>
      </c>
      <c r="E33" s="1654">
        <v>5000</v>
      </c>
      <c r="F33" s="1652">
        <f>D33*E33</f>
        <v>50000</v>
      </c>
      <c r="G33" s="1655">
        <f t="shared" si="0"/>
        <v>10000</v>
      </c>
    </row>
    <row r="34" spans="1:7">
      <c r="A34" s="1649" t="s">
        <v>1221</v>
      </c>
      <c r="B34" s="1650" t="s">
        <v>1230</v>
      </c>
      <c r="C34" s="1651"/>
      <c r="D34" s="1653"/>
      <c r="E34" s="1654"/>
      <c r="F34" s="1652">
        <f>F35+F38</f>
        <v>4229100</v>
      </c>
      <c r="G34" s="1655">
        <f t="shared" si="0"/>
        <v>845820</v>
      </c>
    </row>
    <row r="35" spans="1:7">
      <c r="A35" s="1649"/>
      <c r="B35" s="1650" t="s">
        <v>1229</v>
      </c>
      <c r="C35" s="1651"/>
      <c r="D35" s="1653"/>
      <c r="E35" s="1654"/>
      <c r="F35" s="1652">
        <f>F36+F37</f>
        <v>229100</v>
      </c>
      <c r="G35" s="1655">
        <f t="shared" si="0"/>
        <v>45820</v>
      </c>
    </row>
    <row r="36" spans="1:7">
      <c r="A36" s="1649"/>
      <c r="B36" s="1650" t="s">
        <v>1228</v>
      </c>
      <c r="C36" s="1651" t="s">
        <v>149</v>
      </c>
      <c r="D36" s="1653">
        <f>2*5</f>
        <v>10</v>
      </c>
      <c r="E36" s="1654">
        <f>2750</f>
        <v>2750</v>
      </c>
      <c r="F36" s="1652">
        <f>D36*E36</f>
        <v>27500</v>
      </c>
      <c r="G36" s="1655">
        <f t="shared" si="0"/>
        <v>5500</v>
      </c>
    </row>
    <row r="37" spans="1:7">
      <c r="A37" s="1649"/>
      <c r="B37" s="1650" t="s">
        <v>1227</v>
      </c>
      <c r="C37" s="1651" t="s">
        <v>149</v>
      </c>
      <c r="D37" s="1653">
        <f>2*5</f>
        <v>10</v>
      </c>
      <c r="E37" s="1654">
        <f>20160</f>
        <v>20160</v>
      </c>
      <c r="F37" s="1652">
        <f>D37*E37</f>
        <v>201600</v>
      </c>
      <c r="G37" s="1655">
        <f t="shared" si="0"/>
        <v>40320</v>
      </c>
    </row>
    <row r="38" spans="1:7">
      <c r="A38" s="1649"/>
      <c r="B38" s="1650" t="s">
        <v>1226</v>
      </c>
      <c r="C38" s="1651"/>
      <c r="D38" s="1653"/>
      <c r="E38" s="1654"/>
      <c r="F38" s="1652">
        <f>800000*5</f>
        <v>4000000</v>
      </c>
      <c r="G38" s="1655">
        <f t="shared" si="0"/>
        <v>800000</v>
      </c>
    </row>
    <row r="39" spans="1:7">
      <c r="A39" s="1644" t="s">
        <v>485</v>
      </c>
      <c r="B39" s="1645" t="s">
        <v>1225</v>
      </c>
      <c r="C39" s="1646"/>
      <c r="D39" s="1646"/>
      <c r="E39" s="1647"/>
      <c r="F39" s="1647">
        <f>F40+F45</f>
        <v>111586666.66666666</v>
      </c>
      <c r="G39" s="1648">
        <f t="shared" si="0"/>
        <v>22317333.333333332</v>
      </c>
    </row>
    <row r="40" spans="1:7">
      <c r="A40" s="1649">
        <v>1</v>
      </c>
      <c r="B40" s="1650" t="s">
        <v>1224</v>
      </c>
      <c r="C40" s="1651"/>
      <c r="D40" s="1653"/>
      <c r="E40" s="1654"/>
      <c r="F40" s="1652">
        <f>SUM(F41:F44)</f>
        <v>66285000</v>
      </c>
      <c r="G40" s="1655">
        <f t="shared" si="0"/>
        <v>13257000</v>
      </c>
    </row>
    <row r="41" spans="1:7">
      <c r="A41" s="1649" t="s">
        <v>1223</v>
      </c>
      <c r="B41" s="1650" t="s">
        <v>1222</v>
      </c>
      <c r="C41" s="1651"/>
      <c r="D41" s="1653"/>
      <c r="E41" s="1654"/>
      <c r="F41" s="1652">
        <f>F11*15%</f>
        <v>55800000</v>
      </c>
      <c r="G41" s="1655">
        <f t="shared" si="0"/>
        <v>11160000</v>
      </c>
    </row>
    <row r="42" spans="1:7">
      <c r="A42" s="1649" t="s">
        <v>1221</v>
      </c>
      <c r="B42" s="1650" t="s">
        <v>1220</v>
      </c>
      <c r="C42" s="1651"/>
      <c r="D42" s="1653"/>
      <c r="E42" s="1654"/>
      <c r="F42" s="1652">
        <f>F12*15%</f>
        <v>6750000</v>
      </c>
      <c r="G42" s="1655">
        <f t="shared" si="0"/>
        <v>1350000</v>
      </c>
    </row>
    <row r="43" spans="1:7">
      <c r="A43" s="1649" t="s">
        <v>1219</v>
      </c>
      <c r="B43" s="1650" t="s">
        <v>1218</v>
      </c>
      <c r="C43" s="1651"/>
      <c r="D43" s="1653"/>
      <c r="E43" s="1654"/>
      <c r="F43" s="1652">
        <f>F13*15%</f>
        <v>2925000</v>
      </c>
      <c r="G43" s="1655">
        <f t="shared" si="0"/>
        <v>585000</v>
      </c>
    </row>
    <row r="44" spans="1:7">
      <c r="A44" s="1649" t="s">
        <v>1217</v>
      </c>
      <c r="B44" s="1650" t="s">
        <v>1216</v>
      </c>
      <c r="C44" s="1651"/>
      <c r="D44" s="1653"/>
      <c r="E44" s="1654"/>
      <c r="F44" s="1652">
        <f>F14*15%</f>
        <v>810000</v>
      </c>
      <c r="G44" s="1655">
        <f t="shared" si="0"/>
        <v>162000</v>
      </c>
    </row>
    <row r="45" spans="1:7">
      <c r="A45" s="1649">
        <v>2</v>
      </c>
      <c r="B45" s="1650" t="s">
        <v>1215</v>
      </c>
      <c r="C45" s="1651"/>
      <c r="D45" s="1653"/>
      <c r="E45" s="1654"/>
      <c r="F45" s="1652">
        <f>F17*11%*14/12</f>
        <v>45301666.666666664</v>
      </c>
      <c r="G45" s="1655">
        <f t="shared" si="0"/>
        <v>9060333.3333333321</v>
      </c>
    </row>
    <row r="46" spans="1:7">
      <c r="A46" s="1644" t="s">
        <v>135</v>
      </c>
      <c r="B46" s="1656" t="s">
        <v>1214</v>
      </c>
      <c r="C46" s="1646"/>
      <c r="D46" s="1646"/>
      <c r="E46" s="1647"/>
      <c r="F46" s="1647">
        <f>SUM(F47:F51)</f>
        <v>387200000</v>
      </c>
      <c r="G46" s="1648">
        <f t="shared" si="0"/>
        <v>77440000</v>
      </c>
    </row>
    <row r="47" spans="1:7">
      <c r="A47" s="1649">
        <v>1</v>
      </c>
      <c r="B47" s="1650" t="s">
        <v>1213</v>
      </c>
      <c r="C47" s="1651" t="s">
        <v>11</v>
      </c>
      <c r="D47" s="1653">
        <v>24400</v>
      </c>
      <c r="E47" s="1654">
        <v>13000</v>
      </c>
      <c r="F47" s="1652">
        <f>D47*E47</f>
        <v>317200000</v>
      </c>
      <c r="G47" s="1655">
        <f t="shared" si="0"/>
        <v>63440000</v>
      </c>
    </row>
    <row r="48" spans="1:7">
      <c r="A48" s="1649">
        <v>2</v>
      </c>
      <c r="B48" s="1650" t="s">
        <v>1212</v>
      </c>
      <c r="C48" s="1651" t="s">
        <v>8</v>
      </c>
      <c r="D48" s="1659">
        <v>2.5</v>
      </c>
      <c r="E48" s="1654">
        <v>12000000</v>
      </c>
      <c r="F48" s="1652">
        <f>D48*E48</f>
        <v>30000000</v>
      </c>
      <c r="G48" s="1655">
        <f t="shared" si="0"/>
        <v>6000000</v>
      </c>
    </row>
    <row r="49" spans="1:7">
      <c r="A49" s="1649">
        <v>3</v>
      </c>
      <c r="B49" s="1650" t="s">
        <v>1211</v>
      </c>
      <c r="C49" s="1651" t="s">
        <v>8</v>
      </c>
      <c r="D49" s="1659">
        <v>2.5</v>
      </c>
      <c r="E49" s="1654">
        <v>1200000</v>
      </c>
      <c r="F49" s="1652">
        <f>D49*E49</f>
        <v>3000000</v>
      </c>
      <c r="G49" s="1655">
        <f t="shared" si="0"/>
        <v>600000</v>
      </c>
    </row>
    <row r="50" spans="1:7">
      <c r="A50" s="1649">
        <v>4</v>
      </c>
      <c r="B50" s="1650" t="s">
        <v>1210</v>
      </c>
      <c r="C50" s="1651" t="s">
        <v>74</v>
      </c>
      <c r="D50" s="1653">
        <v>14</v>
      </c>
      <c r="E50" s="1654">
        <f>5*500000</f>
        <v>2500000</v>
      </c>
      <c r="F50" s="1652">
        <f>D50*E50</f>
        <v>35000000</v>
      </c>
      <c r="G50" s="1655">
        <f t="shared" si="0"/>
        <v>7000000</v>
      </c>
    </row>
    <row r="51" spans="1:7">
      <c r="A51" s="1649">
        <v>5</v>
      </c>
      <c r="B51" s="1650" t="s">
        <v>1209</v>
      </c>
      <c r="C51" s="1651" t="s">
        <v>1208</v>
      </c>
      <c r="D51" s="1653">
        <v>1</v>
      </c>
      <c r="E51" s="1654">
        <f>14000000/7</f>
        <v>2000000</v>
      </c>
      <c r="F51" s="1652">
        <f>D51*E51</f>
        <v>2000000</v>
      </c>
      <c r="G51" s="1655">
        <f t="shared" si="0"/>
        <v>400000</v>
      </c>
    </row>
    <row r="52" spans="1:7">
      <c r="A52" s="1644" t="s">
        <v>645</v>
      </c>
      <c r="B52" s="1656" t="s">
        <v>1207</v>
      </c>
      <c r="C52" s="1646"/>
      <c r="D52" s="1646"/>
      <c r="E52" s="1647"/>
      <c r="F52" s="1647">
        <f>F46-F18</f>
        <v>77741733.333333373</v>
      </c>
      <c r="G52" s="1648">
        <f t="shared" si="0"/>
        <v>15548346.666666675</v>
      </c>
    </row>
    <row r="53" spans="1:7">
      <c r="A53" s="1649">
        <v>1</v>
      </c>
      <c r="B53" s="1650" t="s">
        <v>1206</v>
      </c>
      <c r="C53" s="1651"/>
      <c r="D53" s="1653"/>
      <c r="E53" s="1654"/>
      <c r="F53" s="1652">
        <f>F52/5</f>
        <v>15548346.666666675</v>
      </c>
      <c r="G53" s="1655">
        <f t="shared" si="0"/>
        <v>3109669.3333333349</v>
      </c>
    </row>
    <row r="54" spans="1:7">
      <c r="A54" s="1649">
        <v>2</v>
      </c>
      <c r="B54" s="1650" t="s">
        <v>1206</v>
      </c>
      <c r="C54" s="1651"/>
      <c r="D54" s="1653"/>
      <c r="E54" s="1654"/>
      <c r="F54" s="1652">
        <f>F53/14</f>
        <v>1110596.190476191</v>
      </c>
      <c r="G54" s="1655">
        <f t="shared" si="0"/>
        <v>222119.23809523819</v>
      </c>
    </row>
    <row r="55" spans="1:7" s="524" customFormat="1" ht="17.25" thickBot="1">
      <c r="A55" s="789" t="s">
        <v>1205</v>
      </c>
      <c r="B55" s="1660" t="s">
        <v>1204</v>
      </c>
      <c r="C55" s="908"/>
      <c r="D55" s="908"/>
      <c r="E55" s="908"/>
      <c r="F55" s="899">
        <f>F52*3</f>
        <v>233225200.00000012</v>
      </c>
      <c r="G55" s="1661">
        <f t="shared" si="0"/>
        <v>46645040.000000022</v>
      </c>
    </row>
    <row r="56" spans="1:7" ht="17.25" thickTop="1"/>
    <row r="57" spans="1:7" s="524" customFormat="1">
      <c r="A57" s="524" t="s">
        <v>1203</v>
      </c>
    </row>
    <row r="58" spans="1:7" s="524" customFormat="1">
      <c r="A58" s="524" t="s">
        <v>1202</v>
      </c>
    </row>
    <row r="59" spans="1:7" s="524" customFormat="1"/>
  </sheetData>
  <mergeCells count="1">
    <mergeCell ref="B6:G6"/>
  </mergeCells>
  <pageMargins left="1" right="0.28000000000000003" top="0.75" bottom="0.75" header="0.5" footer="0.4"/>
  <pageSetup scale="95" orientation="portrait" r:id="rId1"/>
  <headerFooter alignWithMargins="0">
    <oddFooter>&amp;CTrang</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K43"/>
  <sheetViews>
    <sheetView workbookViewId="0">
      <selection activeCell="D12" sqref="D12"/>
    </sheetView>
  </sheetViews>
  <sheetFormatPr defaultColWidth="9" defaultRowHeight="16.5"/>
  <cols>
    <col min="1" max="1" width="5.7109375" style="151" customWidth="1"/>
    <col min="2" max="2" width="43" style="151" customWidth="1"/>
    <col min="3" max="3" width="6" style="151" bestFit="1" customWidth="1"/>
    <col min="4" max="4" width="11.5703125" style="151" customWidth="1"/>
    <col min="5" max="5" width="14.7109375" style="151" customWidth="1"/>
    <col min="6" max="6" width="16.28515625" style="151" customWidth="1"/>
    <col min="7" max="7" width="8" style="151" customWidth="1"/>
    <col min="8" max="8" width="20" style="151" customWidth="1"/>
    <col min="9" max="9" width="16.7109375" style="151" customWidth="1"/>
    <col min="10" max="10" width="14" style="151" customWidth="1"/>
    <col min="11" max="11" width="12.28515625" style="151" bestFit="1" customWidth="1"/>
    <col min="12" max="256" width="9" style="151"/>
    <col min="257" max="257" width="5.7109375" style="151" customWidth="1"/>
    <col min="258" max="258" width="38.28515625" style="151" customWidth="1"/>
    <col min="259" max="259" width="6" style="151" bestFit="1" customWidth="1"/>
    <col min="260" max="260" width="9.28515625" style="151" customWidth="1"/>
    <col min="261" max="261" width="14" style="151" customWidth="1"/>
    <col min="262" max="262" width="14.28515625" style="151" customWidth="1"/>
    <col min="263" max="263" width="8" style="151" customWidth="1"/>
    <col min="264" max="264" width="12" style="151" bestFit="1" customWidth="1"/>
    <col min="265" max="266" width="9" style="151"/>
    <col min="267" max="267" width="12.28515625" style="151" bestFit="1" customWidth="1"/>
    <col min="268" max="512" width="9" style="151"/>
    <col min="513" max="513" width="5.7109375" style="151" customWidth="1"/>
    <col min="514" max="514" width="38.28515625" style="151" customWidth="1"/>
    <col min="515" max="515" width="6" style="151" bestFit="1" customWidth="1"/>
    <col min="516" max="516" width="9.28515625" style="151" customWidth="1"/>
    <col min="517" max="517" width="14" style="151" customWidth="1"/>
    <col min="518" max="518" width="14.28515625" style="151" customWidth="1"/>
    <col min="519" max="519" width="8" style="151" customWidth="1"/>
    <col min="520" max="520" width="12" style="151" bestFit="1" customWidth="1"/>
    <col min="521" max="522" width="9" style="151"/>
    <col min="523" max="523" width="12.28515625" style="151" bestFit="1" customWidth="1"/>
    <col min="524" max="768" width="9" style="151"/>
    <col min="769" max="769" width="5.7109375" style="151" customWidth="1"/>
    <col min="770" max="770" width="38.28515625" style="151" customWidth="1"/>
    <col min="771" max="771" width="6" style="151" bestFit="1" customWidth="1"/>
    <col min="772" max="772" width="9.28515625" style="151" customWidth="1"/>
    <col min="773" max="773" width="14" style="151" customWidth="1"/>
    <col min="774" max="774" width="14.28515625" style="151" customWidth="1"/>
    <col min="775" max="775" width="8" style="151" customWidth="1"/>
    <col min="776" max="776" width="12" style="151" bestFit="1" customWidth="1"/>
    <col min="777" max="778" width="9" style="151"/>
    <col min="779" max="779" width="12.28515625" style="151" bestFit="1" customWidth="1"/>
    <col min="780" max="1024" width="9" style="151"/>
    <col min="1025" max="1025" width="5.7109375" style="151" customWidth="1"/>
    <col min="1026" max="1026" width="38.28515625" style="151" customWidth="1"/>
    <col min="1027" max="1027" width="6" style="151" bestFit="1" customWidth="1"/>
    <col min="1028" max="1028" width="9.28515625" style="151" customWidth="1"/>
    <col min="1029" max="1029" width="14" style="151" customWidth="1"/>
    <col min="1030" max="1030" width="14.28515625" style="151" customWidth="1"/>
    <col min="1031" max="1031" width="8" style="151" customWidth="1"/>
    <col min="1032" max="1032" width="12" style="151" bestFit="1" customWidth="1"/>
    <col min="1033" max="1034" width="9" style="151"/>
    <col min="1035" max="1035" width="12.28515625" style="151" bestFit="1" customWidth="1"/>
    <col min="1036" max="1280" width="9" style="151"/>
    <col min="1281" max="1281" width="5.7109375" style="151" customWidth="1"/>
    <col min="1282" max="1282" width="38.28515625" style="151" customWidth="1"/>
    <col min="1283" max="1283" width="6" style="151" bestFit="1" customWidth="1"/>
    <col min="1284" max="1284" width="9.28515625" style="151" customWidth="1"/>
    <col min="1285" max="1285" width="14" style="151" customWidth="1"/>
    <col min="1286" max="1286" width="14.28515625" style="151" customWidth="1"/>
    <col min="1287" max="1287" width="8" style="151" customWidth="1"/>
    <col min="1288" max="1288" width="12" style="151" bestFit="1" customWidth="1"/>
    <col min="1289" max="1290" width="9" style="151"/>
    <col min="1291" max="1291" width="12.28515625" style="151" bestFit="1" customWidth="1"/>
    <col min="1292" max="1536" width="9" style="151"/>
    <col min="1537" max="1537" width="5.7109375" style="151" customWidth="1"/>
    <col min="1538" max="1538" width="38.28515625" style="151" customWidth="1"/>
    <col min="1539" max="1539" width="6" style="151" bestFit="1" customWidth="1"/>
    <col min="1540" max="1540" width="9.28515625" style="151" customWidth="1"/>
    <col min="1541" max="1541" width="14" style="151" customWidth="1"/>
    <col min="1542" max="1542" width="14.28515625" style="151" customWidth="1"/>
    <col min="1543" max="1543" width="8" style="151" customWidth="1"/>
    <col min="1544" max="1544" width="12" style="151" bestFit="1" customWidth="1"/>
    <col min="1545" max="1546" width="9" style="151"/>
    <col min="1547" max="1547" width="12.28515625" style="151" bestFit="1" customWidth="1"/>
    <col min="1548" max="1792" width="9" style="151"/>
    <col min="1793" max="1793" width="5.7109375" style="151" customWidth="1"/>
    <col min="1794" max="1794" width="38.28515625" style="151" customWidth="1"/>
    <col min="1795" max="1795" width="6" style="151" bestFit="1" customWidth="1"/>
    <col min="1796" max="1796" width="9.28515625" style="151" customWidth="1"/>
    <col min="1797" max="1797" width="14" style="151" customWidth="1"/>
    <col min="1798" max="1798" width="14.28515625" style="151" customWidth="1"/>
    <col min="1799" max="1799" width="8" style="151" customWidth="1"/>
    <col min="1800" max="1800" width="12" style="151" bestFit="1" customWidth="1"/>
    <col min="1801" max="1802" width="9" style="151"/>
    <col min="1803" max="1803" width="12.28515625" style="151" bestFit="1" customWidth="1"/>
    <col min="1804" max="2048" width="9" style="151"/>
    <col min="2049" max="2049" width="5.7109375" style="151" customWidth="1"/>
    <col min="2050" max="2050" width="38.28515625" style="151" customWidth="1"/>
    <col min="2051" max="2051" width="6" style="151" bestFit="1" customWidth="1"/>
    <col min="2052" max="2052" width="9.28515625" style="151" customWidth="1"/>
    <col min="2053" max="2053" width="14" style="151" customWidth="1"/>
    <col min="2054" max="2054" width="14.28515625" style="151" customWidth="1"/>
    <col min="2055" max="2055" width="8" style="151" customWidth="1"/>
    <col min="2056" max="2056" width="12" style="151" bestFit="1" customWidth="1"/>
    <col min="2057" max="2058" width="9" style="151"/>
    <col min="2059" max="2059" width="12.28515625" style="151" bestFit="1" customWidth="1"/>
    <col min="2060" max="2304" width="9" style="151"/>
    <col min="2305" max="2305" width="5.7109375" style="151" customWidth="1"/>
    <col min="2306" max="2306" width="38.28515625" style="151" customWidth="1"/>
    <col min="2307" max="2307" width="6" style="151" bestFit="1" customWidth="1"/>
    <col min="2308" max="2308" width="9.28515625" style="151" customWidth="1"/>
    <col min="2309" max="2309" width="14" style="151" customWidth="1"/>
    <col min="2310" max="2310" width="14.28515625" style="151" customWidth="1"/>
    <col min="2311" max="2311" width="8" style="151" customWidth="1"/>
    <col min="2312" max="2312" width="12" style="151" bestFit="1" customWidth="1"/>
    <col min="2313" max="2314" width="9" style="151"/>
    <col min="2315" max="2315" width="12.28515625" style="151" bestFit="1" customWidth="1"/>
    <col min="2316" max="2560" width="9" style="151"/>
    <col min="2561" max="2561" width="5.7109375" style="151" customWidth="1"/>
    <col min="2562" max="2562" width="38.28515625" style="151" customWidth="1"/>
    <col min="2563" max="2563" width="6" style="151" bestFit="1" customWidth="1"/>
    <col min="2564" max="2564" width="9.28515625" style="151" customWidth="1"/>
    <col min="2565" max="2565" width="14" style="151" customWidth="1"/>
    <col min="2566" max="2566" width="14.28515625" style="151" customWidth="1"/>
    <col min="2567" max="2567" width="8" style="151" customWidth="1"/>
    <col min="2568" max="2568" width="12" style="151" bestFit="1" customWidth="1"/>
    <col min="2569" max="2570" width="9" style="151"/>
    <col min="2571" max="2571" width="12.28515625" style="151" bestFit="1" customWidth="1"/>
    <col min="2572" max="2816" width="9" style="151"/>
    <col min="2817" max="2817" width="5.7109375" style="151" customWidth="1"/>
    <col min="2818" max="2818" width="38.28515625" style="151" customWidth="1"/>
    <col min="2819" max="2819" width="6" style="151" bestFit="1" customWidth="1"/>
    <col min="2820" max="2820" width="9.28515625" style="151" customWidth="1"/>
    <col min="2821" max="2821" width="14" style="151" customWidth="1"/>
    <col min="2822" max="2822" width="14.28515625" style="151" customWidth="1"/>
    <col min="2823" max="2823" width="8" style="151" customWidth="1"/>
    <col min="2824" max="2824" width="12" style="151" bestFit="1" customWidth="1"/>
    <col min="2825" max="2826" width="9" style="151"/>
    <col min="2827" max="2827" width="12.28515625" style="151" bestFit="1" customWidth="1"/>
    <col min="2828" max="3072" width="9" style="151"/>
    <col min="3073" max="3073" width="5.7109375" style="151" customWidth="1"/>
    <col min="3074" max="3074" width="38.28515625" style="151" customWidth="1"/>
    <col min="3075" max="3075" width="6" style="151" bestFit="1" customWidth="1"/>
    <col min="3076" max="3076" width="9.28515625" style="151" customWidth="1"/>
    <col min="3077" max="3077" width="14" style="151" customWidth="1"/>
    <col min="3078" max="3078" width="14.28515625" style="151" customWidth="1"/>
    <col min="3079" max="3079" width="8" style="151" customWidth="1"/>
    <col min="3080" max="3080" width="12" style="151" bestFit="1" customWidth="1"/>
    <col min="3081" max="3082" width="9" style="151"/>
    <col min="3083" max="3083" width="12.28515625" style="151" bestFit="1" customWidth="1"/>
    <col min="3084" max="3328" width="9" style="151"/>
    <col min="3329" max="3329" width="5.7109375" style="151" customWidth="1"/>
    <col min="3330" max="3330" width="38.28515625" style="151" customWidth="1"/>
    <col min="3331" max="3331" width="6" style="151" bestFit="1" customWidth="1"/>
    <col min="3332" max="3332" width="9.28515625" style="151" customWidth="1"/>
    <col min="3333" max="3333" width="14" style="151" customWidth="1"/>
    <col min="3334" max="3334" width="14.28515625" style="151" customWidth="1"/>
    <col min="3335" max="3335" width="8" style="151" customWidth="1"/>
    <col min="3336" max="3336" width="12" style="151" bestFit="1" customWidth="1"/>
    <col min="3337" max="3338" width="9" style="151"/>
    <col min="3339" max="3339" width="12.28515625" style="151" bestFit="1" customWidth="1"/>
    <col min="3340" max="3584" width="9" style="151"/>
    <col min="3585" max="3585" width="5.7109375" style="151" customWidth="1"/>
    <col min="3586" max="3586" width="38.28515625" style="151" customWidth="1"/>
    <col min="3587" max="3587" width="6" style="151" bestFit="1" customWidth="1"/>
    <col min="3588" max="3588" width="9.28515625" style="151" customWidth="1"/>
    <col min="3589" max="3589" width="14" style="151" customWidth="1"/>
    <col min="3590" max="3590" width="14.28515625" style="151" customWidth="1"/>
    <col min="3591" max="3591" width="8" style="151" customWidth="1"/>
    <col min="3592" max="3592" width="12" style="151" bestFit="1" customWidth="1"/>
    <col min="3593" max="3594" width="9" style="151"/>
    <col min="3595" max="3595" width="12.28515625" style="151" bestFit="1" customWidth="1"/>
    <col min="3596" max="3840" width="9" style="151"/>
    <col min="3841" max="3841" width="5.7109375" style="151" customWidth="1"/>
    <col min="3842" max="3842" width="38.28515625" style="151" customWidth="1"/>
    <col min="3843" max="3843" width="6" style="151" bestFit="1" customWidth="1"/>
    <col min="3844" max="3844" width="9.28515625" style="151" customWidth="1"/>
    <col min="3845" max="3845" width="14" style="151" customWidth="1"/>
    <col min="3846" max="3846" width="14.28515625" style="151" customWidth="1"/>
    <col min="3847" max="3847" width="8" style="151" customWidth="1"/>
    <col min="3848" max="3848" width="12" style="151" bestFit="1" customWidth="1"/>
    <col min="3849" max="3850" width="9" style="151"/>
    <col min="3851" max="3851" width="12.28515625" style="151" bestFit="1" customWidth="1"/>
    <col min="3852" max="4096" width="9" style="151"/>
    <col min="4097" max="4097" width="5.7109375" style="151" customWidth="1"/>
    <col min="4098" max="4098" width="38.28515625" style="151" customWidth="1"/>
    <col min="4099" max="4099" width="6" style="151" bestFit="1" customWidth="1"/>
    <col min="4100" max="4100" width="9.28515625" style="151" customWidth="1"/>
    <col min="4101" max="4101" width="14" style="151" customWidth="1"/>
    <col min="4102" max="4102" width="14.28515625" style="151" customWidth="1"/>
    <col min="4103" max="4103" width="8" style="151" customWidth="1"/>
    <col min="4104" max="4104" width="12" style="151" bestFit="1" customWidth="1"/>
    <col min="4105" max="4106" width="9" style="151"/>
    <col min="4107" max="4107" width="12.28515625" style="151" bestFit="1" customWidth="1"/>
    <col min="4108" max="4352" width="9" style="151"/>
    <col min="4353" max="4353" width="5.7109375" style="151" customWidth="1"/>
    <col min="4354" max="4354" width="38.28515625" style="151" customWidth="1"/>
    <col min="4355" max="4355" width="6" style="151" bestFit="1" customWidth="1"/>
    <col min="4356" max="4356" width="9.28515625" style="151" customWidth="1"/>
    <col min="4357" max="4357" width="14" style="151" customWidth="1"/>
    <col min="4358" max="4358" width="14.28515625" style="151" customWidth="1"/>
    <col min="4359" max="4359" width="8" style="151" customWidth="1"/>
    <col min="4360" max="4360" width="12" style="151" bestFit="1" customWidth="1"/>
    <col min="4361" max="4362" width="9" style="151"/>
    <col min="4363" max="4363" width="12.28515625" style="151" bestFit="1" customWidth="1"/>
    <col min="4364" max="4608" width="9" style="151"/>
    <col min="4609" max="4609" width="5.7109375" style="151" customWidth="1"/>
    <col min="4610" max="4610" width="38.28515625" style="151" customWidth="1"/>
    <col min="4611" max="4611" width="6" style="151" bestFit="1" customWidth="1"/>
    <col min="4612" max="4612" width="9.28515625" style="151" customWidth="1"/>
    <col min="4613" max="4613" width="14" style="151" customWidth="1"/>
    <col min="4614" max="4614" width="14.28515625" style="151" customWidth="1"/>
    <col min="4615" max="4615" width="8" style="151" customWidth="1"/>
    <col min="4616" max="4616" width="12" style="151" bestFit="1" customWidth="1"/>
    <col min="4617" max="4618" width="9" style="151"/>
    <col min="4619" max="4619" width="12.28515625" style="151" bestFit="1" customWidth="1"/>
    <col min="4620" max="4864" width="9" style="151"/>
    <col min="4865" max="4865" width="5.7109375" style="151" customWidth="1"/>
    <col min="4866" max="4866" width="38.28515625" style="151" customWidth="1"/>
    <col min="4867" max="4867" width="6" style="151" bestFit="1" customWidth="1"/>
    <col min="4868" max="4868" width="9.28515625" style="151" customWidth="1"/>
    <col min="4869" max="4869" width="14" style="151" customWidth="1"/>
    <col min="4870" max="4870" width="14.28515625" style="151" customWidth="1"/>
    <col min="4871" max="4871" width="8" style="151" customWidth="1"/>
    <col min="4872" max="4872" width="12" style="151" bestFit="1" customWidth="1"/>
    <col min="4873" max="4874" width="9" style="151"/>
    <col min="4875" max="4875" width="12.28515625" style="151" bestFit="1" customWidth="1"/>
    <col min="4876" max="5120" width="9" style="151"/>
    <col min="5121" max="5121" width="5.7109375" style="151" customWidth="1"/>
    <col min="5122" max="5122" width="38.28515625" style="151" customWidth="1"/>
    <col min="5123" max="5123" width="6" style="151" bestFit="1" customWidth="1"/>
    <col min="5124" max="5124" width="9.28515625" style="151" customWidth="1"/>
    <col min="5125" max="5125" width="14" style="151" customWidth="1"/>
    <col min="5126" max="5126" width="14.28515625" style="151" customWidth="1"/>
    <col min="5127" max="5127" width="8" style="151" customWidth="1"/>
    <col min="5128" max="5128" width="12" style="151" bestFit="1" customWidth="1"/>
    <col min="5129" max="5130" width="9" style="151"/>
    <col min="5131" max="5131" width="12.28515625" style="151" bestFit="1" customWidth="1"/>
    <col min="5132" max="5376" width="9" style="151"/>
    <col min="5377" max="5377" width="5.7109375" style="151" customWidth="1"/>
    <col min="5378" max="5378" width="38.28515625" style="151" customWidth="1"/>
    <col min="5379" max="5379" width="6" style="151" bestFit="1" customWidth="1"/>
    <col min="5380" max="5380" width="9.28515625" style="151" customWidth="1"/>
    <col min="5381" max="5381" width="14" style="151" customWidth="1"/>
    <col min="5382" max="5382" width="14.28515625" style="151" customWidth="1"/>
    <col min="5383" max="5383" width="8" style="151" customWidth="1"/>
    <col min="5384" max="5384" width="12" style="151" bestFit="1" customWidth="1"/>
    <col min="5385" max="5386" width="9" style="151"/>
    <col min="5387" max="5387" width="12.28515625" style="151" bestFit="1" customWidth="1"/>
    <col min="5388" max="5632" width="9" style="151"/>
    <col min="5633" max="5633" width="5.7109375" style="151" customWidth="1"/>
    <col min="5634" max="5634" width="38.28515625" style="151" customWidth="1"/>
    <col min="5635" max="5635" width="6" style="151" bestFit="1" customWidth="1"/>
    <col min="5636" max="5636" width="9.28515625" style="151" customWidth="1"/>
    <col min="5637" max="5637" width="14" style="151" customWidth="1"/>
    <col min="5638" max="5638" width="14.28515625" style="151" customWidth="1"/>
    <col min="5639" max="5639" width="8" style="151" customWidth="1"/>
    <col min="5640" max="5640" width="12" style="151" bestFit="1" customWidth="1"/>
    <col min="5641" max="5642" width="9" style="151"/>
    <col min="5643" max="5643" width="12.28515625" style="151" bestFit="1" customWidth="1"/>
    <col min="5644" max="5888" width="9" style="151"/>
    <col min="5889" max="5889" width="5.7109375" style="151" customWidth="1"/>
    <col min="5890" max="5890" width="38.28515625" style="151" customWidth="1"/>
    <col min="5891" max="5891" width="6" style="151" bestFit="1" customWidth="1"/>
    <col min="5892" max="5892" width="9.28515625" style="151" customWidth="1"/>
    <col min="5893" max="5893" width="14" style="151" customWidth="1"/>
    <col min="5894" max="5894" width="14.28515625" style="151" customWidth="1"/>
    <col min="5895" max="5895" width="8" style="151" customWidth="1"/>
    <col min="5896" max="5896" width="12" style="151" bestFit="1" customWidth="1"/>
    <col min="5897" max="5898" width="9" style="151"/>
    <col min="5899" max="5899" width="12.28515625" style="151" bestFit="1" customWidth="1"/>
    <col min="5900" max="6144" width="9" style="151"/>
    <col min="6145" max="6145" width="5.7109375" style="151" customWidth="1"/>
    <col min="6146" max="6146" width="38.28515625" style="151" customWidth="1"/>
    <col min="6147" max="6147" width="6" style="151" bestFit="1" customWidth="1"/>
    <col min="6148" max="6148" width="9.28515625" style="151" customWidth="1"/>
    <col min="6149" max="6149" width="14" style="151" customWidth="1"/>
    <col min="6150" max="6150" width="14.28515625" style="151" customWidth="1"/>
    <col min="6151" max="6151" width="8" style="151" customWidth="1"/>
    <col min="6152" max="6152" width="12" style="151" bestFit="1" customWidth="1"/>
    <col min="6153" max="6154" width="9" style="151"/>
    <col min="6155" max="6155" width="12.28515625" style="151" bestFit="1" customWidth="1"/>
    <col min="6156" max="6400" width="9" style="151"/>
    <col min="6401" max="6401" width="5.7109375" style="151" customWidth="1"/>
    <col min="6402" max="6402" width="38.28515625" style="151" customWidth="1"/>
    <col min="6403" max="6403" width="6" style="151" bestFit="1" customWidth="1"/>
    <col min="6404" max="6404" width="9.28515625" style="151" customWidth="1"/>
    <col min="6405" max="6405" width="14" style="151" customWidth="1"/>
    <col min="6406" max="6406" width="14.28515625" style="151" customWidth="1"/>
    <col min="6407" max="6407" width="8" style="151" customWidth="1"/>
    <col min="6408" max="6408" width="12" style="151" bestFit="1" customWidth="1"/>
    <col min="6409" max="6410" width="9" style="151"/>
    <col min="6411" max="6411" width="12.28515625" style="151" bestFit="1" customWidth="1"/>
    <col min="6412" max="6656" width="9" style="151"/>
    <col min="6657" max="6657" width="5.7109375" style="151" customWidth="1"/>
    <col min="6658" max="6658" width="38.28515625" style="151" customWidth="1"/>
    <col min="6659" max="6659" width="6" style="151" bestFit="1" customWidth="1"/>
    <col min="6660" max="6660" width="9.28515625" style="151" customWidth="1"/>
    <col min="6661" max="6661" width="14" style="151" customWidth="1"/>
    <col min="6662" max="6662" width="14.28515625" style="151" customWidth="1"/>
    <col min="6663" max="6663" width="8" style="151" customWidth="1"/>
    <col min="6664" max="6664" width="12" style="151" bestFit="1" customWidth="1"/>
    <col min="6665" max="6666" width="9" style="151"/>
    <col min="6667" max="6667" width="12.28515625" style="151" bestFit="1" customWidth="1"/>
    <col min="6668" max="6912" width="9" style="151"/>
    <col min="6913" max="6913" width="5.7109375" style="151" customWidth="1"/>
    <col min="6914" max="6914" width="38.28515625" style="151" customWidth="1"/>
    <col min="6915" max="6915" width="6" style="151" bestFit="1" customWidth="1"/>
    <col min="6916" max="6916" width="9.28515625" style="151" customWidth="1"/>
    <col min="6917" max="6917" width="14" style="151" customWidth="1"/>
    <col min="6918" max="6918" width="14.28515625" style="151" customWidth="1"/>
    <col min="6919" max="6919" width="8" style="151" customWidth="1"/>
    <col min="6920" max="6920" width="12" style="151" bestFit="1" customWidth="1"/>
    <col min="6921" max="6922" width="9" style="151"/>
    <col min="6923" max="6923" width="12.28515625" style="151" bestFit="1" customWidth="1"/>
    <col min="6924" max="7168" width="9" style="151"/>
    <col min="7169" max="7169" width="5.7109375" style="151" customWidth="1"/>
    <col min="7170" max="7170" width="38.28515625" style="151" customWidth="1"/>
    <col min="7171" max="7171" width="6" style="151" bestFit="1" customWidth="1"/>
    <col min="7172" max="7172" width="9.28515625" style="151" customWidth="1"/>
    <col min="7173" max="7173" width="14" style="151" customWidth="1"/>
    <col min="7174" max="7174" width="14.28515625" style="151" customWidth="1"/>
    <col min="7175" max="7175" width="8" style="151" customWidth="1"/>
    <col min="7176" max="7176" width="12" style="151" bestFit="1" customWidth="1"/>
    <col min="7177" max="7178" width="9" style="151"/>
    <col min="7179" max="7179" width="12.28515625" style="151" bestFit="1" customWidth="1"/>
    <col min="7180" max="7424" width="9" style="151"/>
    <col min="7425" max="7425" width="5.7109375" style="151" customWidth="1"/>
    <col min="7426" max="7426" width="38.28515625" style="151" customWidth="1"/>
    <col min="7427" max="7427" width="6" style="151" bestFit="1" customWidth="1"/>
    <col min="7428" max="7428" width="9.28515625" style="151" customWidth="1"/>
    <col min="7429" max="7429" width="14" style="151" customWidth="1"/>
    <col min="7430" max="7430" width="14.28515625" style="151" customWidth="1"/>
    <col min="7431" max="7431" width="8" style="151" customWidth="1"/>
    <col min="7432" max="7432" width="12" style="151" bestFit="1" customWidth="1"/>
    <col min="7433" max="7434" width="9" style="151"/>
    <col min="7435" max="7435" width="12.28515625" style="151" bestFit="1" customWidth="1"/>
    <col min="7436" max="7680" width="9" style="151"/>
    <col min="7681" max="7681" width="5.7109375" style="151" customWidth="1"/>
    <col min="7682" max="7682" width="38.28515625" style="151" customWidth="1"/>
    <col min="7683" max="7683" width="6" style="151" bestFit="1" customWidth="1"/>
    <col min="7684" max="7684" width="9.28515625" style="151" customWidth="1"/>
    <col min="7685" max="7685" width="14" style="151" customWidth="1"/>
    <col min="7686" max="7686" width="14.28515625" style="151" customWidth="1"/>
    <col min="7687" max="7687" width="8" style="151" customWidth="1"/>
    <col min="7688" max="7688" width="12" style="151" bestFit="1" customWidth="1"/>
    <col min="7689" max="7690" width="9" style="151"/>
    <col min="7691" max="7691" width="12.28515625" style="151" bestFit="1" customWidth="1"/>
    <col min="7692" max="7936" width="9" style="151"/>
    <col min="7937" max="7937" width="5.7109375" style="151" customWidth="1"/>
    <col min="7938" max="7938" width="38.28515625" style="151" customWidth="1"/>
    <col min="7939" max="7939" width="6" style="151" bestFit="1" customWidth="1"/>
    <col min="7940" max="7940" width="9.28515625" style="151" customWidth="1"/>
    <col min="7941" max="7941" width="14" style="151" customWidth="1"/>
    <col min="7942" max="7942" width="14.28515625" style="151" customWidth="1"/>
    <col min="7943" max="7943" width="8" style="151" customWidth="1"/>
    <col min="7944" max="7944" width="12" style="151" bestFit="1" customWidth="1"/>
    <col min="7945" max="7946" width="9" style="151"/>
    <col min="7947" max="7947" width="12.28515625" style="151" bestFit="1" customWidth="1"/>
    <col min="7948" max="8192" width="9" style="151"/>
    <col min="8193" max="8193" width="5.7109375" style="151" customWidth="1"/>
    <col min="8194" max="8194" width="38.28515625" style="151" customWidth="1"/>
    <col min="8195" max="8195" width="6" style="151" bestFit="1" customWidth="1"/>
    <col min="8196" max="8196" width="9.28515625" style="151" customWidth="1"/>
    <col min="8197" max="8197" width="14" style="151" customWidth="1"/>
    <col min="8198" max="8198" width="14.28515625" style="151" customWidth="1"/>
    <col min="8199" max="8199" width="8" style="151" customWidth="1"/>
    <col min="8200" max="8200" width="12" style="151" bestFit="1" customWidth="1"/>
    <col min="8201" max="8202" width="9" style="151"/>
    <col min="8203" max="8203" width="12.28515625" style="151" bestFit="1" customWidth="1"/>
    <col min="8204" max="8448" width="9" style="151"/>
    <col min="8449" max="8449" width="5.7109375" style="151" customWidth="1"/>
    <col min="8450" max="8450" width="38.28515625" style="151" customWidth="1"/>
    <col min="8451" max="8451" width="6" style="151" bestFit="1" customWidth="1"/>
    <col min="8452" max="8452" width="9.28515625" style="151" customWidth="1"/>
    <col min="8453" max="8453" width="14" style="151" customWidth="1"/>
    <col min="8454" max="8454" width="14.28515625" style="151" customWidth="1"/>
    <col min="8455" max="8455" width="8" style="151" customWidth="1"/>
    <col min="8456" max="8456" width="12" style="151" bestFit="1" customWidth="1"/>
    <col min="8457" max="8458" width="9" style="151"/>
    <col min="8459" max="8459" width="12.28515625" style="151" bestFit="1" customWidth="1"/>
    <col min="8460" max="8704" width="9" style="151"/>
    <col min="8705" max="8705" width="5.7109375" style="151" customWidth="1"/>
    <col min="8706" max="8706" width="38.28515625" style="151" customWidth="1"/>
    <col min="8707" max="8707" width="6" style="151" bestFit="1" customWidth="1"/>
    <col min="8708" max="8708" width="9.28515625" style="151" customWidth="1"/>
    <col min="8709" max="8709" width="14" style="151" customWidth="1"/>
    <col min="8710" max="8710" width="14.28515625" style="151" customWidth="1"/>
    <col min="8711" max="8711" width="8" style="151" customWidth="1"/>
    <col min="8712" max="8712" width="12" style="151" bestFit="1" customWidth="1"/>
    <col min="8713" max="8714" width="9" style="151"/>
    <col min="8715" max="8715" width="12.28515625" style="151" bestFit="1" customWidth="1"/>
    <col min="8716" max="8960" width="9" style="151"/>
    <col min="8961" max="8961" width="5.7109375" style="151" customWidth="1"/>
    <col min="8962" max="8962" width="38.28515625" style="151" customWidth="1"/>
    <col min="8963" max="8963" width="6" style="151" bestFit="1" customWidth="1"/>
    <col min="8964" max="8964" width="9.28515625" style="151" customWidth="1"/>
    <col min="8965" max="8965" width="14" style="151" customWidth="1"/>
    <col min="8966" max="8966" width="14.28515625" style="151" customWidth="1"/>
    <col min="8967" max="8967" width="8" style="151" customWidth="1"/>
    <col min="8968" max="8968" width="12" style="151" bestFit="1" customWidth="1"/>
    <col min="8969" max="8970" width="9" style="151"/>
    <col min="8971" max="8971" width="12.28515625" style="151" bestFit="1" customWidth="1"/>
    <col min="8972" max="9216" width="9" style="151"/>
    <col min="9217" max="9217" width="5.7109375" style="151" customWidth="1"/>
    <col min="9218" max="9218" width="38.28515625" style="151" customWidth="1"/>
    <col min="9219" max="9219" width="6" style="151" bestFit="1" customWidth="1"/>
    <col min="9220" max="9220" width="9.28515625" style="151" customWidth="1"/>
    <col min="9221" max="9221" width="14" style="151" customWidth="1"/>
    <col min="9222" max="9222" width="14.28515625" style="151" customWidth="1"/>
    <col min="9223" max="9223" width="8" style="151" customWidth="1"/>
    <col min="9224" max="9224" width="12" style="151" bestFit="1" customWidth="1"/>
    <col min="9225" max="9226" width="9" style="151"/>
    <col min="9227" max="9227" width="12.28515625" style="151" bestFit="1" customWidth="1"/>
    <col min="9228" max="9472" width="9" style="151"/>
    <col min="9473" max="9473" width="5.7109375" style="151" customWidth="1"/>
    <col min="9474" max="9474" width="38.28515625" style="151" customWidth="1"/>
    <col min="9475" max="9475" width="6" style="151" bestFit="1" customWidth="1"/>
    <col min="9476" max="9476" width="9.28515625" style="151" customWidth="1"/>
    <col min="9477" max="9477" width="14" style="151" customWidth="1"/>
    <col min="9478" max="9478" width="14.28515625" style="151" customWidth="1"/>
    <col min="9479" max="9479" width="8" style="151" customWidth="1"/>
    <col min="9480" max="9480" width="12" style="151" bestFit="1" customWidth="1"/>
    <col min="9481" max="9482" width="9" style="151"/>
    <col min="9483" max="9483" width="12.28515625" style="151" bestFit="1" customWidth="1"/>
    <col min="9484" max="9728" width="9" style="151"/>
    <col min="9729" max="9729" width="5.7109375" style="151" customWidth="1"/>
    <col min="9730" max="9730" width="38.28515625" style="151" customWidth="1"/>
    <col min="9731" max="9731" width="6" style="151" bestFit="1" customWidth="1"/>
    <col min="9732" max="9732" width="9.28515625" style="151" customWidth="1"/>
    <col min="9733" max="9733" width="14" style="151" customWidth="1"/>
    <col min="9734" max="9734" width="14.28515625" style="151" customWidth="1"/>
    <col min="9735" max="9735" width="8" style="151" customWidth="1"/>
    <col min="9736" max="9736" width="12" style="151" bestFit="1" customWidth="1"/>
    <col min="9737" max="9738" width="9" style="151"/>
    <col min="9739" max="9739" width="12.28515625" style="151" bestFit="1" customWidth="1"/>
    <col min="9740" max="9984" width="9" style="151"/>
    <col min="9985" max="9985" width="5.7109375" style="151" customWidth="1"/>
    <col min="9986" max="9986" width="38.28515625" style="151" customWidth="1"/>
    <col min="9987" max="9987" width="6" style="151" bestFit="1" customWidth="1"/>
    <col min="9988" max="9988" width="9.28515625" style="151" customWidth="1"/>
    <col min="9989" max="9989" width="14" style="151" customWidth="1"/>
    <col min="9990" max="9990" width="14.28515625" style="151" customWidth="1"/>
    <col min="9991" max="9991" width="8" style="151" customWidth="1"/>
    <col min="9992" max="9992" width="12" style="151" bestFit="1" customWidth="1"/>
    <col min="9993" max="9994" width="9" style="151"/>
    <col min="9995" max="9995" width="12.28515625" style="151" bestFit="1" customWidth="1"/>
    <col min="9996" max="10240" width="9" style="151"/>
    <col min="10241" max="10241" width="5.7109375" style="151" customWidth="1"/>
    <col min="10242" max="10242" width="38.28515625" style="151" customWidth="1"/>
    <col min="10243" max="10243" width="6" style="151" bestFit="1" customWidth="1"/>
    <col min="10244" max="10244" width="9.28515625" style="151" customWidth="1"/>
    <col min="10245" max="10245" width="14" style="151" customWidth="1"/>
    <col min="10246" max="10246" width="14.28515625" style="151" customWidth="1"/>
    <col min="10247" max="10247" width="8" style="151" customWidth="1"/>
    <col min="10248" max="10248" width="12" style="151" bestFit="1" customWidth="1"/>
    <col min="10249" max="10250" width="9" style="151"/>
    <col min="10251" max="10251" width="12.28515625" style="151" bestFit="1" customWidth="1"/>
    <col min="10252" max="10496" width="9" style="151"/>
    <col min="10497" max="10497" width="5.7109375" style="151" customWidth="1"/>
    <col min="10498" max="10498" width="38.28515625" style="151" customWidth="1"/>
    <col min="10499" max="10499" width="6" style="151" bestFit="1" customWidth="1"/>
    <col min="10500" max="10500" width="9.28515625" style="151" customWidth="1"/>
    <col min="10501" max="10501" width="14" style="151" customWidth="1"/>
    <col min="10502" max="10502" width="14.28515625" style="151" customWidth="1"/>
    <col min="10503" max="10503" width="8" style="151" customWidth="1"/>
    <col min="10504" max="10504" width="12" style="151" bestFit="1" customWidth="1"/>
    <col min="10505" max="10506" width="9" style="151"/>
    <col min="10507" max="10507" width="12.28515625" style="151" bestFit="1" customWidth="1"/>
    <col min="10508" max="10752" width="9" style="151"/>
    <col min="10753" max="10753" width="5.7109375" style="151" customWidth="1"/>
    <col min="10754" max="10754" width="38.28515625" style="151" customWidth="1"/>
    <col min="10755" max="10755" width="6" style="151" bestFit="1" customWidth="1"/>
    <col min="10756" max="10756" width="9.28515625" style="151" customWidth="1"/>
    <col min="10757" max="10757" width="14" style="151" customWidth="1"/>
    <col min="10758" max="10758" width="14.28515625" style="151" customWidth="1"/>
    <col min="10759" max="10759" width="8" style="151" customWidth="1"/>
    <col min="10760" max="10760" width="12" style="151" bestFit="1" customWidth="1"/>
    <col min="10761" max="10762" width="9" style="151"/>
    <col min="10763" max="10763" width="12.28515625" style="151" bestFit="1" customWidth="1"/>
    <col min="10764" max="11008" width="9" style="151"/>
    <col min="11009" max="11009" width="5.7109375" style="151" customWidth="1"/>
    <col min="11010" max="11010" width="38.28515625" style="151" customWidth="1"/>
    <col min="11011" max="11011" width="6" style="151" bestFit="1" customWidth="1"/>
    <col min="11012" max="11012" width="9.28515625" style="151" customWidth="1"/>
    <col min="11013" max="11013" width="14" style="151" customWidth="1"/>
    <col min="11014" max="11014" width="14.28515625" style="151" customWidth="1"/>
    <col min="11015" max="11015" width="8" style="151" customWidth="1"/>
    <col min="11016" max="11016" width="12" style="151" bestFit="1" customWidth="1"/>
    <col min="11017" max="11018" width="9" style="151"/>
    <col min="11019" max="11019" width="12.28515625" style="151" bestFit="1" customWidth="1"/>
    <col min="11020" max="11264" width="9" style="151"/>
    <col min="11265" max="11265" width="5.7109375" style="151" customWidth="1"/>
    <col min="11266" max="11266" width="38.28515625" style="151" customWidth="1"/>
    <col min="11267" max="11267" width="6" style="151" bestFit="1" customWidth="1"/>
    <col min="11268" max="11268" width="9.28515625" style="151" customWidth="1"/>
    <col min="11269" max="11269" width="14" style="151" customWidth="1"/>
    <col min="11270" max="11270" width="14.28515625" style="151" customWidth="1"/>
    <col min="11271" max="11271" width="8" style="151" customWidth="1"/>
    <col min="11272" max="11272" width="12" style="151" bestFit="1" customWidth="1"/>
    <col min="11273" max="11274" width="9" style="151"/>
    <col min="11275" max="11275" width="12.28515625" style="151" bestFit="1" customWidth="1"/>
    <col min="11276" max="11520" width="9" style="151"/>
    <col min="11521" max="11521" width="5.7109375" style="151" customWidth="1"/>
    <col min="11522" max="11522" width="38.28515625" style="151" customWidth="1"/>
    <col min="11523" max="11523" width="6" style="151" bestFit="1" customWidth="1"/>
    <col min="11524" max="11524" width="9.28515625" style="151" customWidth="1"/>
    <col min="11525" max="11525" width="14" style="151" customWidth="1"/>
    <col min="11526" max="11526" width="14.28515625" style="151" customWidth="1"/>
    <col min="11527" max="11527" width="8" style="151" customWidth="1"/>
    <col min="11528" max="11528" width="12" style="151" bestFit="1" customWidth="1"/>
    <col min="11529" max="11530" width="9" style="151"/>
    <col min="11531" max="11531" width="12.28515625" style="151" bestFit="1" customWidth="1"/>
    <col min="11532" max="11776" width="9" style="151"/>
    <col min="11777" max="11777" width="5.7109375" style="151" customWidth="1"/>
    <col min="11778" max="11778" width="38.28515625" style="151" customWidth="1"/>
    <col min="11779" max="11779" width="6" style="151" bestFit="1" customWidth="1"/>
    <col min="11780" max="11780" width="9.28515625" style="151" customWidth="1"/>
    <col min="11781" max="11781" width="14" style="151" customWidth="1"/>
    <col min="11782" max="11782" width="14.28515625" style="151" customWidth="1"/>
    <col min="11783" max="11783" width="8" style="151" customWidth="1"/>
    <col min="11784" max="11784" width="12" style="151" bestFit="1" customWidth="1"/>
    <col min="11785" max="11786" width="9" style="151"/>
    <col min="11787" max="11787" width="12.28515625" style="151" bestFit="1" customWidth="1"/>
    <col min="11788" max="12032" width="9" style="151"/>
    <col min="12033" max="12033" width="5.7109375" style="151" customWidth="1"/>
    <col min="12034" max="12034" width="38.28515625" style="151" customWidth="1"/>
    <col min="12035" max="12035" width="6" style="151" bestFit="1" customWidth="1"/>
    <col min="12036" max="12036" width="9.28515625" style="151" customWidth="1"/>
    <col min="12037" max="12037" width="14" style="151" customWidth="1"/>
    <col min="12038" max="12038" width="14.28515625" style="151" customWidth="1"/>
    <col min="12039" max="12039" width="8" style="151" customWidth="1"/>
    <col min="12040" max="12040" width="12" style="151" bestFit="1" customWidth="1"/>
    <col min="12041" max="12042" width="9" style="151"/>
    <col min="12043" max="12043" width="12.28515625" style="151" bestFit="1" customWidth="1"/>
    <col min="12044" max="12288" width="9" style="151"/>
    <col min="12289" max="12289" width="5.7109375" style="151" customWidth="1"/>
    <col min="12290" max="12290" width="38.28515625" style="151" customWidth="1"/>
    <col min="12291" max="12291" width="6" style="151" bestFit="1" customWidth="1"/>
    <col min="12292" max="12292" width="9.28515625" style="151" customWidth="1"/>
    <col min="12293" max="12293" width="14" style="151" customWidth="1"/>
    <col min="12294" max="12294" width="14.28515625" style="151" customWidth="1"/>
    <col min="12295" max="12295" width="8" style="151" customWidth="1"/>
    <col min="12296" max="12296" width="12" style="151" bestFit="1" customWidth="1"/>
    <col min="12297" max="12298" width="9" style="151"/>
    <col min="12299" max="12299" width="12.28515625" style="151" bestFit="1" customWidth="1"/>
    <col min="12300" max="12544" width="9" style="151"/>
    <col min="12545" max="12545" width="5.7109375" style="151" customWidth="1"/>
    <col min="12546" max="12546" width="38.28515625" style="151" customWidth="1"/>
    <col min="12547" max="12547" width="6" style="151" bestFit="1" customWidth="1"/>
    <col min="12548" max="12548" width="9.28515625" style="151" customWidth="1"/>
    <col min="12549" max="12549" width="14" style="151" customWidth="1"/>
    <col min="12550" max="12550" width="14.28515625" style="151" customWidth="1"/>
    <col min="12551" max="12551" width="8" style="151" customWidth="1"/>
    <col min="12552" max="12552" width="12" style="151" bestFit="1" customWidth="1"/>
    <col min="12553" max="12554" width="9" style="151"/>
    <col min="12555" max="12555" width="12.28515625" style="151" bestFit="1" customWidth="1"/>
    <col min="12556" max="12800" width="9" style="151"/>
    <col min="12801" max="12801" width="5.7109375" style="151" customWidth="1"/>
    <col min="12802" max="12802" width="38.28515625" style="151" customWidth="1"/>
    <col min="12803" max="12803" width="6" style="151" bestFit="1" customWidth="1"/>
    <col min="12804" max="12804" width="9.28515625" style="151" customWidth="1"/>
    <col min="12805" max="12805" width="14" style="151" customWidth="1"/>
    <col min="12806" max="12806" width="14.28515625" style="151" customWidth="1"/>
    <col min="12807" max="12807" width="8" style="151" customWidth="1"/>
    <col min="12808" max="12808" width="12" style="151" bestFit="1" customWidth="1"/>
    <col min="12809" max="12810" width="9" style="151"/>
    <col min="12811" max="12811" width="12.28515625" style="151" bestFit="1" customWidth="1"/>
    <col min="12812" max="13056" width="9" style="151"/>
    <col min="13057" max="13057" width="5.7109375" style="151" customWidth="1"/>
    <col min="13058" max="13058" width="38.28515625" style="151" customWidth="1"/>
    <col min="13059" max="13059" width="6" style="151" bestFit="1" customWidth="1"/>
    <col min="13060" max="13060" width="9.28515625" style="151" customWidth="1"/>
    <col min="13061" max="13061" width="14" style="151" customWidth="1"/>
    <col min="13062" max="13062" width="14.28515625" style="151" customWidth="1"/>
    <col min="13063" max="13063" width="8" style="151" customWidth="1"/>
    <col min="13064" max="13064" width="12" style="151" bestFit="1" customWidth="1"/>
    <col min="13065" max="13066" width="9" style="151"/>
    <col min="13067" max="13067" width="12.28515625" style="151" bestFit="1" customWidth="1"/>
    <col min="13068" max="13312" width="9" style="151"/>
    <col min="13313" max="13313" width="5.7109375" style="151" customWidth="1"/>
    <col min="13314" max="13314" width="38.28515625" style="151" customWidth="1"/>
    <col min="13315" max="13315" width="6" style="151" bestFit="1" customWidth="1"/>
    <col min="13316" max="13316" width="9.28515625" style="151" customWidth="1"/>
    <col min="13317" max="13317" width="14" style="151" customWidth="1"/>
    <col min="13318" max="13318" width="14.28515625" style="151" customWidth="1"/>
    <col min="13319" max="13319" width="8" style="151" customWidth="1"/>
    <col min="13320" max="13320" width="12" style="151" bestFit="1" customWidth="1"/>
    <col min="13321" max="13322" width="9" style="151"/>
    <col min="13323" max="13323" width="12.28515625" style="151" bestFit="1" customWidth="1"/>
    <col min="13324" max="13568" width="9" style="151"/>
    <col min="13569" max="13569" width="5.7109375" style="151" customWidth="1"/>
    <col min="13570" max="13570" width="38.28515625" style="151" customWidth="1"/>
    <col min="13571" max="13571" width="6" style="151" bestFit="1" customWidth="1"/>
    <col min="13572" max="13572" width="9.28515625" style="151" customWidth="1"/>
    <col min="13573" max="13573" width="14" style="151" customWidth="1"/>
    <col min="13574" max="13574" width="14.28515625" style="151" customWidth="1"/>
    <col min="13575" max="13575" width="8" style="151" customWidth="1"/>
    <col min="13576" max="13576" width="12" style="151" bestFit="1" customWidth="1"/>
    <col min="13577" max="13578" width="9" style="151"/>
    <col min="13579" max="13579" width="12.28515625" style="151" bestFit="1" customWidth="1"/>
    <col min="13580" max="13824" width="9" style="151"/>
    <col min="13825" max="13825" width="5.7109375" style="151" customWidth="1"/>
    <col min="13826" max="13826" width="38.28515625" style="151" customWidth="1"/>
    <col min="13827" max="13827" width="6" style="151" bestFit="1" customWidth="1"/>
    <col min="13828" max="13828" width="9.28515625" style="151" customWidth="1"/>
    <col min="13829" max="13829" width="14" style="151" customWidth="1"/>
    <col min="13830" max="13830" width="14.28515625" style="151" customWidth="1"/>
    <col min="13831" max="13831" width="8" style="151" customWidth="1"/>
    <col min="13832" max="13832" width="12" style="151" bestFit="1" customWidth="1"/>
    <col min="13833" max="13834" width="9" style="151"/>
    <col min="13835" max="13835" width="12.28515625" style="151" bestFit="1" customWidth="1"/>
    <col min="13836" max="14080" width="9" style="151"/>
    <col min="14081" max="14081" width="5.7109375" style="151" customWidth="1"/>
    <col min="14082" max="14082" width="38.28515625" style="151" customWidth="1"/>
    <col min="14083" max="14083" width="6" style="151" bestFit="1" customWidth="1"/>
    <col min="14084" max="14084" width="9.28515625" style="151" customWidth="1"/>
    <col min="14085" max="14085" width="14" style="151" customWidth="1"/>
    <col min="14086" max="14086" width="14.28515625" style="151" customWidth="1"/>
    <col min="14087" max="14087" width="8" style="151" customWidth="1"/>
    <col min="14088" max="14088" width="12" style="151" bestFit="1" customWidth="1"/>
    <col min="14089" max="14090" width="9" style="151"/>
    <col min="14091" max="14091" width="12.28515625" style="151" bestFit="1" customWidth="1"/>
    <col min="14092" max="14336" width="9" style="151"/>
    <col min="14337" max="14337" width="5.7109375" style="151" customWidth="1"/>
    <col min="14338" max="14338" width="38.28515625" style="151" customWidth="1"/>
    <col min="14339" max="14339" width="6" style="151" bestFit="1" customWidth="1"/>
    <col min="14340" max="14340" width="9.28515625" style="151" customWidth="1"/>
    <col min="14341" max="14341" width="14" style="151" customWidth="1"/>
    <col min="14342" max="14342" width="14.28515625" style="151" customWidth="1"/>
    <col min="14343" max="14343" width="8" style="151" customWidth="1"/>
    <col min="14344" max="14344" width="12" style="151" bestFit="1" customWidth="1"/>
    <col min="14345" max="14346" width="9" style="151"/>
    <col min="14347" max="14347" width="12.28515625" style="151" bestFit="1" customWidth="1"/>
    <col min="14348" max="14592" width="9" style="151"/>
    <col min="14593" max="14593" width="5.7109375" style="151" customWidth="1"/>
    <col min="14594" max="14594" width="38.28515625" style="151" customWidth="1"/>
    <col min="14595" max="14595" width="6" style="151" bestFit="1" customWidth="1"/>
    <col min="14596" max="14596" width="9.28515625" style="151" customWidth="1"/>
    <col min="14597" max="14597" width="14" style="151" customWidth="1"/>
    <col min="14598" max="14598" width="14.28515625" style="151" customWidth="1"/>
    <col min="14599" max="14599" width="8" style="151" customWidth="1"/>
    <col min="14600" max="14600" width="12" style="151" bestFit="1" customWidth="1"/>
    <col min="14601" max="14602" width="9" style="151"/>
    <col min="14603" max="14603" width="12.28515625" style="151" bestFit="1" customWidth="1"/>
    <col min="14604" max="14848" width="9" style="151"/>
    <col min="14849" max="14849" width="5.7109375" style="151" customWidth="1"/>
    <col min="14850" max="14850" width="38.28515625" style="151" customWidth="1"/>
    <col min="14851" max="14851" width="6" style="151" bestFit="1" customWidth="1"/>
    <col min="14852" max="14852" width="9.28515625" style="151" customWidth="1"/>
    <col min="14853" max="14853" width="14" style="151" customWidth="1"/>
    <col min="14854" max="14854" width="14.28515625" style="151" customWidth="1"/>
    <col min="14855" max="14855" width="8" style="151" customWidth="1"/>
    <col min="14856" max="14856" width="12" style="151" bestFit="1" customWidth="1"/>
    <col min="14857" max="14858" width="9" style="151"/>
    <col min="14859" max="14859" width="12.28515625" style="151" bestFit="1" customWidth="1"/>
    <col min="14860" max="15104" width="9" style="151"/>
    <col min="15105" max="15105" width="5.7109375" style="151" customWidth="1"/>
    <col min="15106" max="15106" width="38.28515625" style="151" customWidth="1"/>
    <col min="15107" max="15107" width="6" style="151" bestFit="1" customWidth="1"/>
    <col min="15108" max="15108" width="9.28515625" style="151" customWidth="1"/>
    <col min="15109" max="15109" width="14" style="151" customWidth="1"/>
    <col min="15110" max="15110" width="14.28515625" style="151" customWidth="1"/>
    <col min="15111" max="15111" width="8" style="151" customWidth="1"/>
    <col min="15112" max="15112" width="12" style="151" bestFit="1" customWidth="1"/>
    <col min="15113" max="15114" width="9" style="151"/>
    <col min="15115" max="15115" width="12.28515625" style="151" bestFit="1" customWidth="1"/>
    <col min="15116" max="15360" width="9" style="151"/>
    <col min="15361" max="15361" width="5.7109375" style="151" customWidth="1"/>
    <col min="15362" max="15362" width="38.28515625" style="151" customWidth="1"/>
    <col min="15363" max="15363" width="6" style="151" bestFit="1" customWidth="1"/>
    <col min="15364" max="15364" width="9.28515625" style="151" customWidth="1"/>
    <col min="15365" max="15365" width="14" style="151" customWidth="1"/>
    <col min="15366" max="15366" width="14.28515625" style="151" customWidth="1"/>
    <col min="15367" max="15367" width="8" style="151" customWidth="1"/>
    <col min="15368" max="15368" width="12" style="151" bestFit="1" customWidth="1"/>
    <col min="15369" max="15370" width="9" style="151"/>
    <col min="15371" max="15371" width="12.28515625" style="151" bestFit="1" customWidth="1"/>
    <col min="15372" max="15616" width="9" style="151"/>
    <col min="15617" max="15617" width="5.7109375" style="151" customWidth="1"/>
    <col min="15618" max="15618" width="38.28515625" style="151" customWidth="1"/>
    <col min="15619" max="15619" width="6" style="151" bestFit="1" customWidth="1"/>
    <col min="15620" max="15620" width="9.28515625" style="151" customWidth="1"/>
    <col min="15621" max="15621" width="14" style="151" customWidth="1"/>
    <col min="15622" max="15622" width="14.28515625" style="151" customWidth="1"/>
    <col min="15623" max="15623" width="8" style="151" customWidth="1"/>
    <col min="15624" max="15624" width="12" style="151" bestFit="1" customWidth="1"/>
    <col min="15625" max="15626" width="9" style="151"/>
    <col min="15627" max="15627" width="12.28515625" style="151" bestFit="1" customWidth="1"/>
    <col min="15628" max="15872" width="9" style="151"/>
    <col min="15873" max="15873" width="5.7109375" style="151" customWidth="1"/>
    <col min="15874" max="15874" width="38.28515625" style="151" customWidth="1"/>
    <col min="15875" max="15875" width="6" style="151" bestFit="1" customWidth="1"/>
    <col min="15876" max="15876" width="9.28515625" style="151" customWidth="1"/>
    <col min="15877" max="15877" width="14" style="151" customWidth="1"/>
    <col min="15878" max="15878" width="14.28515625" style="151" customWidth="1"/>
    <col min="15879" max="15879" width="8" style="151" customWidth="1"/>
    <col min="15880" max="15880" width="12" style="151" bestFit="1" customWidth="1"/>
    <col min="15881" max="15882" width="9" style="151"/>
    <col min="15883" max="15883" width="12.28515625" style="151" bestFit="1" customWidth="1"/>
    <col min="15884" max="16128" width="9" style="151"/>
    <col min="16129" max="16129" width="5.7109375" style="151" customWidth="1"/>
    <col min="16130" max="16130" width="38.28515625" style="151" customWidth="1"/>
    <col min="16131" max="16131" width="6" style="151" bestFit="1" customWidth="1"/>
    <col min="16132" max="16132" width="9.28515625" style="151" customWidth="1"/>
    <col min="16133" max="16133" width="14" style="151" customWidth="1"/>
    <col min="16134" max="16134" width="14.28515625" style="151" customWidth="1"/>
    <col min="16135" max="16135" width="8" style="151" customWidth="1"/>
    <col min="16136" max="16136" width="12" style="151" bestFit="1" customWidth="1"/>
    <col min="16137" max="16138" width="9" style="151"/>
    <col min="16139" max="16139" width="12.28515625" style="151" bestFit="1" customWidth="1"/>
    <col min="16140" max="16384" width="9" style="151"/>
  </cols>
  <sheetData>
    <row r="1" spans="1:9">
      <c r="C1" s="151" t="s">
        <v>1074</v>
      </c>
      <c r="G1" s="309" t="s">
        <v>1020</v>
      </c>
    </row>
    <row r="4" spans="1:9">
      <c r="A4" s="156"/>
      <c r="F4" s="2354" t="s">
        <v>1141</v>
      </c>
    </row>
    <row r="5" spans="1:9">
      <c r="A5" s="2333" t="s">
        <v>97</v>
      </c>
      <c r="B5" s="2333" t="s">
        <v>1140</v>
      </c>
      <c r="C5" s="2333" t="s">
        <v>100</v>
      </c>
      <c r="D5" s="2333" t="s">
        <v>1</v>
      </c>
      <c r="E5" s="2333" t="s">
        <v>3</v>
      </c>
      <c r="F5" s="2333" t="s">
        <v>1139</v>
      </c>
    </row>
    <row r="6" spans="1:9">
      <c r="A6" s="522" t="s">
        <v>480</v>
      </c>
      <c r="B6" s="520" t="s">
        <v>1138</v>
      </c>
      <c r="C6" s="521"/>
      <c r="D6" s="519"/>
      <c r="E6" s="520"/>
      <c r="F6" s="519">
        <f>SUM(F7:F15)</f>
        <v>716920000</v>
      </c>
      <c r="G6" s="156"/>
      <c r="H6" s="496">
        <f>F6+F22</f>
        <v>770470000</v>
      </c>
      <c r="I6" s="309" t="s">
        <v>22</v>
      </c>
    </row>
    <row r="7" spans="1:9">
      <c r="A7" s="506">
        <v>1</v>
      </c>
      <c r="B7" s="514" t="s">
        <v>1137</v>
      </c>
      <c r="C7" s="506" t="s">
        <v>1136</v>
      </c>
      <c r="D7" s="517">
        <v>100</v>
      </c>
      <c r="E7" s="518"/>
      <c r="F7" s="513">
        <v>10000000</v>
      </c>
    </row>
    <row r="8" spans="1:9">
      <c r="A8" s="506">
        <v>2</v>
      </c>
      <c r="B8" s="514" t="s">
        <v>1135</v>
      </c>
      <c r="C8" s="506" t="s">
        <v>523</v>
      </c>
      <c r="D8" s="517">
        <f>I8</f>
        <v>32</v>
      </c>
      <c r="E8" s="505">
        <v>20000000</v>
      </c>
      <c r="F8" s="513">
        <f>D8*E8</f>
        <v>640000000</v>
      </c>
      <c r="H8" s="493" t="s">
        <v>1134</v>
      </c>
      <c r="I8" s="493">
        <v>32</v>
      </c>
    </row>
    <row r="9" spans="1:9">
      <c r="A9" s="506">
        <v>3</v>
      </c>
      <c r="B9" s="514" t="s">
        <v>1133</v>
      </c>
      <c r="C9" s="506" t="s">
        <v>829</v>
      </c>
      <c r="D9" s="511">
        <f>D8*60</f>
        <v>1920</v>
      </c>
      <c r="E9" s="510">
        <v>9000</v>
      </c>
      <c r="F9" s="513">
        <f>D9*E9</f>
        <v>17280000</v>
      </c>
    </row>
    <row r="10" spans="1:9">
      <c r="A10" s="506"/>
      <c r="B10" s="514" t="str">
        <f>"(B/Q 60kg/con/năm x "&amp;D8&amp;" con x 9ngđ/kg)"</f>
        <v>(B/Q 60kg/con/năm x 32 con x 9ngđ/kg)</v>
      </c>
      <c r="C10" s="506"/>
      <c r="D10" s="511"/>
      <c r="E10" s="510"/>
      <c r="F10" s="513"/>
    </row>
    <row r="11" spans="1:9">
      <c r="A11" s="506">
        <v>4</v>
      </c>
      <c r="B11" s="514" t="str">
        <f>"Muối (30kg/con/năm x "&amp;D8&amp;" con x 4ngđ/kg)"</f>
        <v>Muối (30kg/con/năm x 32 con x 4ngđ/kg)</v>
      </c>
      <c r="C11" s="506" t="s">
        <v>829</v>
      </c>
      <c r="D11" s="511">
        <f>D8*30</f>
        <v>960</v>
      </c>
      <c r="E11" s="510">
        <v>4000</v>
      </c>
      <c r="F11" s="513">
        <f>D11*E11</f>
        <v>3840000</v>
      </c>
    </row>
    <row r="12" spans="1:9">
      <c r="A12" s="506">
        <v>5</v>
      </c>
      <c r="B12" s="514" t="s">
        <v>1132</v>
      </c>
      <c r="C12" s="506" t="s">
        <v>523</v>
      </c>
      <c r="D12" s="511">
        <f>D8</f>
        <v>32</v>
      </c>
      <c r="E12" s="510">
        <v>150000</v>
      </c>
      <c r="F12" s="513">
        <f>D12*E12</f>
        <v>4800000</v>
      </c>
      <c r="H12" s="516">
        <f>F9+F11+F12+F15</f>
        <v>30920000</v>
      </c>
    </row>
    <row r="13" spans="1:9">
      <c r="A13" s="506">
        <v>6</v>
      </c>
      <c r="B13" s="514" t="s">
        <v>1131</v>
      </c>
      <c r="C13" s="506" t="s">
        <v>358</v>
      </c>
      <c r="D13" s="511">
        <v>12</v>
      </c>
      <c r="E13" s="510">
        <v>3000000</v>
      </c>
      <c r="F13" s="513">
        <f>D13*E13</f>
        <v>36000000</v>
      </c>
    </row>
    <row r="14" spans="1:9">
      <c r="A14" s="506"/>
      <c r="B14" s="514" t="s">
        <v>1130</v>
      </c>
      <c r="C14" s="506"/>
      <c r="D14" s="511"/>
      <c r="E14" s="510"/>
      <c r="F14" s="513" t="s">
        <v>869</v>
      </c>
    </row>
    <row r="15" spans="1:9">
      <c r="A15" s="506">
        <v>7</v>
      </c>
      <c r="B15" s="514" t="s">
        <v>21</v>
      </c>
      <c r="C15" s="506"/>
      <c r="D15" s="511"/>
      <c r="E15" s="510"/>
      <c r="F15" s="513">
        <v>5000000</v>
      </c>
    </row>
    <row r="16" spans="1:9">
      <c r="A16" s="509" t="s">
        <v>485</v>
      </c>
      <c r="B16" s="508" t="s">
        <v>1129</v>
      </c>
      <c r="C16" s="509"/>
      <c r="D16" s="512"/>
      <c r="E16" s="515"/>
      <c r="F16" s="504">
        <f>SUM(F17:F19)</f>
        <v>913600000</v>
      </c>
      <c r="G16" s="156"/>
      <c r="H16" s="496">
        <f>F16</f>
        <v>913600000</v>
      </c>
      <c r="I16" s="309" t="s">
        <v>242</v>
      </c>
    </row>
    <row r="17" spans="1:11">
      <c r="A17" s="506">
        <v>1</v>
      </c>
      <c r="B17" s="514" t="s">
        <v>1128</v>
      </c>
      <c r="C17" s="506" t="s">
        <v>523</v>
      </c>
      <c r="D17" s="511">
        <f>D8</f>
        <v>32</v>
      </c>
      <c r="E17" s="510">
        <f>E8*130%</f>
        <v>26000000</v>
      </c>
      <c r="F17" s="513">
        <f>D17*E17</f>
        <v>832000000</v>
      </c>
    </row>
    <row r="18" spans="1:11">
      <c r="A18" s="506"/>
      <c r="B18" s="514" t="s">
        <v>1127</v>
      </c>
      <c r="C18" s="506"/>
      <c r="D18" s="511"/>
      <c r="E18" s="510"/>
      <c r="F18" s="513"/>
    </row>
    <row r="19" spans="1:11">
      <c r="A19" s="506">
        <v>2</v>
      </c>
      <c r="B19" s="514" t="s">
        <v>1126</v>
      </c>
      <c r="C19" s="506" t="s">
        <v>1125</v>
      </c>
      <c r="D19" s="511">
        <f>3*D17</f>
        <v>96</v>
      </c>
      <c r="E19" s="510">
        <v>850000</v>
      </c>
      <c r="F19" s="513">
        <f>E19*D19</f>
        <v>81600000</v>
      </c>
    </row>
    <row r="20" spans="1:11">
      <c r="A20" s="506"/>
      <c r="B20" s="514" t="str">
        <f>"(B/Q 3 m3/con x "&amp;D8&amp;" con x 850ngđ/m3)"</f>
        <v>(B/Q 3 m3/con x 32 con x 850ngđ/m3)</v>
      </c>
      <c r="C20" s="506"/>
      <c r="D20" s="511"/>
      <c r="E20" s="510"/>
      <c r="F20" s="513"/>
    </row>
    <row r="21" spans="1:11">
      <c r="A21" s="509" t="s">
        <v>489</v>
      </c>
      <c r="B21" s="508" t="s">
        <v>1124</v>
      </c>
      <c r="C21" s="512"/>
      <c r="D21" s="511"/>
      <c r="E21" s="510"/>
      <c r="F21" s="504">
        <f>F16-F6</f>
        <v>196680000</v>
      </c>
      <c r="G21" s="156"/>
    </row>
    <row r="22" spans="1:11">
      <c r="A22" s="509" t="s">
        <v>547</v>
      </c>
      <c r="B22" s="508" t="s">
        <v>1123</v>
      </c>
      <c r="C22" s="507" t="s">
        <v>45</v>
      </c>
      <c r="D22" s="506">
        <v>1</v>
      </c>
      <c r="E22" s="505">
        <f>C28*8.5%</f>
        <v>53550000.000000007</v>
      </c>
      <c r="F22" s="504">
        <f>E22*D22</f>
        <v>53550000.000000007</v>
      </c>
      <c r="G22" s="2384" t="s">
        <v>1122</v>
      </c>
      <c r="H22" s="2385"/>
      <c r="I22" s="2385"/>
      <c r="J22" s="2385"/>
    </row>
    <row r="23" spans="1:11">
      <c r="A23" s="503" t="s">
        <v>582</v>
      </c>
      <c r="B23" s="502" t="s">
        <v>1121</v>
      </c>
      <c r="C23" s="501"/>
      <c r="D23" s="500"/>
      <c r="E23" s="499"/>
      <c r="F23" s="498">
        <f>F21-F22</f>
        <v>143130000</v>
      </c>
      <c r="G23" s="156"/>
      <c r="H23" s="496"/>
      <c r="I23" s="309"/>
    </row>
    <row r="24" spans="1:11">
      <c r="A24" s="497" t="s">
        <v>1120</v>
      </c>
      <c r="B24" s="156"/>
      <c r="C24" s="156"/>
      <c r="F24" s="152"/>
      <c r="H24" s="496"/>
    </row>
    <row r="25" spans="1:11">
      <c r="A25" s="156">
        <v>1</v>
      </c>
      <c r="B25" s="151" t="s">
        <v>1119</v>
      </c>
      <c r="C25" s="2386"/>
      <c r="D25" s="2386"/>
    </row>
    <row r="26" spans="1:11">
      <c r="A26" s="156"/>
      <c r="B26" s="2354" t="s">
        <v>1118</v>
      </c>
      <c r="C26" s="2387">
        <f>F6</f>
        <v>716920000</v>
      </c>
      <c r="D26" s="2387"/>
      <c r="E26" s="151" t="s">
        <v>202</v>
      </c>
      <c r="I26" s="495"/>
      <c r="J26" s="309"/>
      <c r="K26" s="494"/>
    </row>
    <row r="27" spans="1:11">
      <c r="B27" s="2354" t="s">
        <v>1117</v>
      </c>
      <c r="C27" s="2387">
        <f>C26-C28</f>
        <v>86920000</v>
      </c>
      <c r="D27" s="2387"/>
      <c r="E27" s="151" t="s">
        <v>202</v>
      </c>
    </row>
    <row r="28" spans="1:11">
      <c r="B28" s="2354" t="s">
        <v>1116</v>
      </c>
      <c r="C28" s="2388">
        <v>630000000</v>
      </c>
      <c r="D28" s="2388"/>
      <c r="E28" s="151" t="s">
        <v>202</v>
      </c>
      <c r="F28" s="493" t="s">
        <v>1115</v>
      </c>
    </row>
    <row r="29" spans="1:11">
      <c r="A29" s="151" t="s">
        <v>1114</v>
      </c>
      <c r="H29" s="158" t="s">
        <v>1113</v>
      </c>
      <c r="I29" s="488">
        <f>C26</f>
        <v>716920000</v>
      </c>
      <c r="J29" s="487"/>
    </row>
    <row r="30" spans="1:11">
      <c r="H30" s="158" t="s">
        <v>559</v>
      </c>
      <c r="I30" s="488">
        <f>C27</f>
        <v>86920000</v>
      </c>
      <c r="J30" s="487"/>
    </row>
    <row r="31" spans="1:11">
      <c r="H31" s="158" t="s">
        <v>560</v>
      </c>
      <c r="I31" s="492">
        <f>C27/C26*100</f>
        <v>12.124086369469397</v>
      </c>
      <c r="J31" s="487"/>
    </row>
    <row r="32" spans="1:11">
      <c r="H32" s="158" t="s">
        <v>1112</v>
      </c>
      <c r="I32" s="488">
        <f>I30-I33</f>
        <v>45920000</v>
      </c>
      <c r="J32" s="491"/>
    </row>
    <row r="33" spans="1:10">
      <c r="H33" s="158" t="s">
        <v>1111</v>
      </c>
      <c r="I33" s="490">
        <v>41000000</v>
      </c>
      <c r="J33" s="489">
        <f>I30-I32</f>
        <v>41000000</v>
      </c>
    </row>
    <row r="34" spans="1:10">
      <c r="H34" s="158" t="s">
        <v>23</v>
      </c>
      <c r="I34" s="488">
        <f>F16</f>
        <v>913600000</v>
      </c>
      <c r="J34" s="487"/>
    </row>
    <row r="35" spans="1:10">
      <c r="H35" s="158" t="s">
        <v>22</v>
      </c>
      <c r="I35" s="488">
        <f>F6+F22</f>
        <v>770470000</v>
      </c>
      <c r="J35" s="487"/>
    </row>
    <row r="36" spans="1:10">
      <c r="H36" s="158" t="s">
        <v>24</v>
      </c>
      <c r="I36" s="488">
        <f>I34-I35</f>
        <v>143130000</v>
      </c>
      <c r="J36" s="487"/>
    </row>
    <row r="42" spans="1:10">
      <c r="A42" s="151" t="s">
        <v>1110</v>
      </c>
    </row>
    <row r="43" spans="1:10">
      <c r="A43" s="151" t="s">
        <v>869</v>
      </c>
    </row>
  </sheetData>
  <mergeCells count="5">
    <mergeCell ref="G22:J22"/>
    <mergeCell ref="C25:D25"/>
    <mergeCell ref="C26:D26"/>
    <mergeCell ref="C27:D27"/>
    <mergeCell ref="C28:D28"/>
  </mergeCells>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H40"/>
  <sheetViews>
    <sheetView zoomScaleNormal="100" workbookViewId="0">
      <selection activeCell="B21" sqref="B21"/>
    </sheetView>
  </sheetViews>
  <sheetFormatPr defaultColWidth="11.5703125" defaultRowHeight="18" customHeight="1"/>
  <cols>
    <col min="1" max="1" width="5" style="1574" customWidth="1"/>
    <col min="2" max="2" width="37.85546875" style="1575" customWidth="1"/>
    <col min="3" max="3" width="8" style="1575" customWidth="1"/>
    <col min="4" max="4" width="16.28515625" style="1575" customWidth="1"/>
    <col min="5" max="5" width="17.28515625" style="1575" customWidth="1"/>
    <col min="6" max="6" width="26.140625" style="1575" customWidth="1"/>
    <col min="7" max="7" width="17.85546875" style="1608" bestFit="1" customWidth="1"/>
    <col min="8" max="8" width="7.28515625" style="1574" customWidth="1"/>
    <col min="9" max="255" width="11.5703125" style="1575"/>
    <col min="256" max="256" width="5" style="1575" customWidth="1"/>
    <col min="257" max="257" width="37.85546875" style="1575" customWidth="1"/>
    <col min="258" max="258" width="8" style="1575" customWidth="1"/>
    <col min="259" max="259" width="16.28515625" style="1575" customWidth="1"/>
    <col min="260" max="260" width="17.28515625" style="1575" customWidth="1"/>
    <col min="261" max="261" width="26.140625" style="1575" customWidth="1"/>
    <col min="262" max="262" width="17.85546875" style="1575" bestFit="1" customWidth="1"/>
    <col min="263" max="263" width="7.28515625" style="1575" customWidth="1"/>
    <col min="264" max="264" width="17.5703125" style="1575" customWidth="1"/>
    <col min="265" max="511" width="11.5703125" style="1575"/>
    <col min="512" max="512" width="5" style="1575" customWidth="1"/>
    <col min="513" max="513" width="37.85546875" style="1575" customWidth="1"/>
    <col min="514" max="514" width="8" style="1575" customWidth="1"/>
    <col min="515" max="515" width="16.28515625" style="1575" customWidth="1"/>
    <col min="516" max="516" width="17.28515625" style="1575" customWidth="1"/>
    <col min="517" max="517" width="26.140625" style="1575" customWidth="1"/>
    <col min="518" max="518" width="17.85546875" style="1575" bestFit="1" customWidth="1"/>
    <col min="519" max="519" width="7.28515625" style="1575" customWidth="1"/>
    <col min="520" max="520" width="17.5703125" style="1575" customWidth="1"/>
    <col min="521" max="767" width="11.5703125" style="1575"/>
    <col min="768" max="768" width="5" style="1575" customWidth="1"/>
    <col min="769" max="769" width="37.85546875" style="1575" customWidth="1"/>
    <col min="770" max="770" width="8" style="1575" customWidth="1"/>
    <col min="771" max="771" width="16.28515625" style="1575" customWidth="1"/>
    <col min="772" max="772" width="17.28515625" style="1575" customWidth="1"/>
    <col min="773" max="773" width="26.140625" style="1575" customWidth="1"/>
    <col min="774" max="774" width="17.85546875" style="1575" bestFit="1" customWidth="1"/>
    <col min="775" max="775" width="7.28515625" style="1575" customWidth="1"/>
    <col min="776" max="776" width="17.5703125" style="1575" customWidth="1"/>
    <col min="777" max="1023" width="11.5703125" style="1575"/>
    <col min="1024" max="1024" width="5" style="1575" customWidth="1"/>
    <col min="1025" max="1025" width="37.85546875" style="1575" customWidth="1"/>
    <col min="1026" max="1026" width="8" style="1575" customWidth="1"/>
    <col min="1027" max="1027" width="16.28515625" style="1575" customWidth="1"/>
    <col min="1028" max="1028" width="17.28515625" style="1575" customWidth="1"/>
    <col min="1029" max="1029" width="26.140625" style="1575" customWidth="1"/>
    <col min="1030" max="1030" width="17.85546875" style="1575" bestFit="1" customWidth="1"/>
    <col min="1031" max="1031" width="7.28515625" style="1575" customWidth="1"/>
    <col min="1032" max="1032" width="17.5703125" style="1575" customWidth="1"/>
    <col min="1033" max="1279" width="11.5703125" style="1575"/>
    <col min="1280" max="1280" width="5" style="1575" customWidth="1"/>
    <col min="1281" max="1281" width="37.85546875" style="1575" customWidth="1"/>
    <col min="1282" max="1282" width="8" style="1575" customWidth="1"/>
    <col min="1283" max="1283" width="16.28515625" style="1575" customWidth="1"/>
    <col min="1284" max="1284" width="17.28515625" style="1575" customWidth="1"/>
    <col min="1285" max="1285" width="26.140625" style="1575" customWidth="1"/>
    <col min="1286" max="1286" width="17.85546875" style="1575" bestFit="1" customWidth="1"/>
    <col min="1287" max="1287" width="7.28515625" style="1575" customWidth="1"/>
    <col min="1288" max="1288" width="17.5703125" style="1575" customWidth="1"/>
    <col min="1289" max="1535" width="11.5703125" style="1575"/>
    <col min="1536" max="1536" width="5" style="1575" customWidth="1"/>
    <col min="1537" max="1537" width="37.85546875" style="1575" customWidth="1"/>
    <col min="1538" max="1538" width="8" style="1575" customWidth="1"/>
    <col min="1539" max="1539" width="16.28515625" style="1575" customWidth="1"/>
    <col min="1540" max="1540" width="17.28515625" style="1575" customWidth="1"/>
    <col min="1541" max="1541" width="26.140625" style="1575" customWidth="1"/>
    <col min="1542" max="1542" width="17.85546875" style="1575" bestFit="1" customWidth="1"/>
    <col min="1543" max="1543" width="7.28515625" style="1575" customWidth="1"/>
    <col min="1544" max="1544" width="17.5703125" style="1575" customWidth="1"/>
    <col min="1545" max="1791" width="11.5703125" style="1575"/>
    <col min="1792" max="1792" width="5" style="1575" customWidth="1"/>
    <col min="1793" max="1793" width="37.85546875" style="1575" customWidth="1"/>
    <col min="1794" max="1794" width="8" style="1575" customWidth="1"/>
    <col min="1795" max="1795" width="16.28515625" style="1575" customWidth="1"/>
    <col min="1796" max="1796" width="17.28515625" style="1575" customWidth="1"/>
    <col min="1797" max="1797" width="26.140625" style="1575" customWidth="1"/>
    <col min="1798" max="1798" width="17.85546875" style="1575" bestFit="1" customWidth="1"/>
    <col min="1799" max="1799" width="7.28515625" style="1575" customWidth="1"/>
    <col min="1800" max="1800" width="17.5703125" style="1575" customWidth="1"/>
    <col min="1801" max="2047" width="11.5703125" style="1575"/>
    <col min="2048" max="2048" width="5" style="1575" customWidth="1"/>
    <col min="2049" max="2049" width="37.85546875" style="1575" customWidth="1"/>
    <col min="2050" max="2050" width="8" style="1575" customWidth="1"/>
    <col min="2051" max="2051" width="16.28515625" style="1575" customWidth="1"/>
    <col min="2052" max="2052" width="17.28515625" style="1575" customWidth="1"/>
    <col min="2053" max="2053" width="26.140625" style="1575" customWidth="1"/>
    <col min="2054" max="2054" width="17.85546875" style="1575" bestFit="1" customWidth="1"/>
    <col min="2055" max="2055" width="7.28515625" style="1575" customWidth="1"/>
    <col min="2056" max="2056" width="17.5703125" style="1575" customWidth="1"/>
    <col min="2057" max="2303" width="11.5703125" style="1575"/>
    <col min="2304" max="2304" width="5" style="1575" customWidth="1"/>
    <col min="2305" max="2305" width="37.85546875" style="1575" customWidth="1"/>
    <col min="2306" max="2306" width="8" style="1575" customWidth="1"/>
    <col min="2307" max="2307" width="16.28515625" style="1575" customWidth="1"/>
    <col min="2308" max="2308" width="17.28515625" style="1575" customWidth="1"/>
    <col min="2309" max="2309" width="26.140625" style="1575" customWidth="1"/>
    <col min="2310" max="2310" width="17.85546875" style="1575" bestFit="1" customWidth="1"/>
    <col min="2311" max="2311" width="7.28515625" style="1575" customWidth="1"/>
    <col min="2312" max="2312" width="17.5703125" style="1575" customWidth="1"/>
    <col min="2313" max="2559" width="11.5703125" style="1575"/>
    <col min="2560" max="2560" width="5" style="1575" customWidth="1"/>
    <col min="2561" max="2561" width="37.85546875" style="1575" customWidth="1"/>
    <col min="2562" max="2562" width="8" style="1575" customWidth="1"/>
    <col min="2563" max="2563" width="16.28515625" style="1575" customWidth="1"/>
    <col min="2564" max="2564" width="17.28515625" style="1575" customWidth="1"/>
    <col min="2565" max="2565" width="26.140625" style="1575" customWidth="1"/>
    <col min="2566" max="2566" width="17.85546875" style="1575" bestFit="1" customWidth="1"/>
    <col min="2567" max="2567" width="7.28515625" style="1575" customWidth="1"/>
    <col min="2568" max="2568" width="17.5703125" style="1575" customWidth="1"/>
    <col min="2569" max="2815" width="11.5703125" style="1575"/>
    <col min="2816" max="2816" width="5" style="1575" customWidth="1"/>
    <col min="2817" max="2817" width="37.85546875" style="1575" customWidth="1"/>
    <col min="2818" max="2818" width="8" style="1575" customWidth="1"/>
    <col min="2819" max="2819" width="16.28515625" style="1575" customWidth="1"/>
    <col min="2820" max="2820" width="17.28515625" style="1575" customWidth="1"/>
    <col min="2821" max="2821" width="26.140625" style="1575" customWidth="1"/>
    <col min="2822" max="2822" width="17.85546875" style="1575" bestFit="1" customWidth="1"/>
    <col min="2823" max="2823" width="7.28515625" style="1575" customWidth="1"/>
    <col min="2824" max="2824" width="17.5703125" style="1575" customWidth="1"/>
    <col min="2825" max="3071" width="11.5703125" style="1575"/>
    <col min="3072" max="3072" width="5" style="1575" customWidth="1"/>
    <col min="3073" max="3073" width="37.85546875" style="1575" customWidth="1"/>
    <col min="3074" max="3074" width="8" style="1575" customWidth="1"/>
    <col min="3075" max="3075" width="16.28515625" style="1575" customWidth="1"/>
    <col min="3076" max="3076" width="17.28515625" style="1575" customWidth="1"/>
    <col min="3077" max="3077" width="26.140625" style="1575" customWidth="1"/>
    <col min="3078" max="3078" width="17.85546875" style="1575" bestFit="1" customWidth="1"/>
    <col min="3079" max="3079" width="7.28515625" style="1575" customWidth="1"/>
    <col min="3080" max="3080" width="17.5703125" style="1575" customWidth="1"/>
    <col min="3081" max="3327" width="11.5703125" style="1575"/>
    <col min="3328" max="3328" width="5" style="1575" customWidth="1"/>
    <col min="3329" max="3329" width="37.85546875" style="1575" customWidth="1"/>
    <col min="3330" max="3330" width="8" style="1575" customWidth="1"/>
    <col min="3331" max="3331" width="16.28515625" style="1575" customWidth="1"/>
    <col min="3332" max="3332" width="17.28515625" style="1575" customWidth="1"/>
    <col min="3333" max="3333" width="26.140625" style="1575" customWidth="1"/>
    <col min="3334" max="3334" width="17.85546875" style="1575" bestFit="1" customWidth="1"/>
    <col min="3335" max="3335" width="7.28515625" style="1575" customWidth="1"/>
    <col min="3336" max="3336" width="17.5703125" style="1575" customWidth="1"/>
    <col min="3337" max="3583" width="11.5703125" style="1575"/>
    <col min="3584" max="3584" width="5" style="1575" customWidth="1"/>
    <col min="3585" max="3585" width="37.85546875" style="1575" customWidth="1"/>
    <col min="3586" max="3586" width="8" style="1575" customWidth="1"/>
    <col min="3587" max="3587" width="16.28515625" style="1575" customWidth="1"/>
    <col min="3588" max="3588" width="17.28515625" style="1575" customWidth="1"/>
    <col min="3589" max="3589" width="26.140625" style="1575" customWidth="1"/>
    <col min="3590" max="3590" width="17.85546875" style="1575" bestFit="1" customWidth="1"/>
    <col min="3591" max="3591" width="7.28515625" style="1575" customWidth="1"/>
    <col min="3592" max="3592" width="17.5703125" style="1575" customWidth="1"/>
    <col min="3593" max="3839" width="11.5703125" style="1575"/>
    <col min="3840" max="3840" width="5" style="1575" customWidth="1"/>
    <col min="3841" max="3841" width="37.85546875" style="1575" customWidth="1"/>
    <col min="3842" max="3842" width="8" style="1575" customWidth="1"/>
    <col min="3843" max="3843" width="16.28515625" style="1575" customWidth="1"/>
    <col min="3844" max="3844" width="17.28515625" style="1575" customWidth="1"/>
    <col min="3845" max="3845" width="26.140625" style="1575" customWidth="1"/>
    <col min="3846" max="3846" width="17.85546875" style="1575" bestFit="1" customWidth="1"/>
    <col min="3847" max="3847" width="7.28515625" style="1575" customWidth="1"/>
    <col min="3848" max="3848" width="17.5703125" style="1575" customWidth="1"/>
    <col min="3849" max="4095" width="11.5703125" style="1575"/>
    <col min="4096" max="4096" width="5" style="1575" customWidth="1"/>
    <col min="4097" max="4097" width="37.85546875" style="1575" customWidth="1"/>
    <col min="4098" max="4098" width="8" style="1575" customWidth="1"/>
    <col min="4099" max="4099" width="16.28515625" style="1575" customWidth="1"/>
    <col min="4100" max="4100" width="17.28515625" style="1575" customWidth="1"/>
    <col min="4101" max="4101" width="26.140625" style="1575" customWidth="1"/>
    <col min="4102" max="4102" width="17.85546875" style="1575" bestFit="1" customWidth="1"/>
    <col min="4103" max="4103" width="7.28515625" style="1575" customWidth="1"/>
    <col min="4104" max="4104" width="17.5703125" style="1575" customWidth="1"/>
    <col min="4105" max="4351" width="11.5703125" style="1575"/>
    <col min="4352" max="4352" width="5" style="1575" customWidth="1"/>
    <col min="4353" max="4353" width="37.85546875" style="1575" customWidth="1"/>
    <col min="4354" max="4354" width="8" style="1575" customWidth="1"/>
    <col min="4355" max="4355" width="16.28515625" style="1575" customWidth="1"/>
    <col min="4356" max="4356" width="17.28515625" style="1575" customWidth="1"/>
    <col min="4357" max="4357" width="26.140625" style="1575" customWidth="1"/>
    <col min="4358" max="4358" width="17.85546875" style="1575" bestFit="1" customWidth="1"/>
    <col min="4359" max="4359" width="7.28515625" style="1575" customWidth="1"/>
    <col min="4360" max="4360" width="17.5703125" style="1575" customWidth="1"/>
    <col min="4361" max="4607" width="11.5703125" style="1575"/>
    <col min="4608" max="4608" width="5" style="1575" customWidth="1"/>
    <col min="4609" max="4609" width="37.85546875" style="1575" customWidth="1"/>
    <col min="4610" max="4610" width="8" style="1575" customWidth="1"/>
    <col min="4611" max="4611" width="16.28515625" style="1575" customWidth="1"/>
    <col min="4612" max="4612" width="17.28515625" style="1575" customWidth="1"/>
    <col min="4613" max="4613" width="26.140625" style="1575" customWidth="1"/>
    <col min="4614" max="4614" width="17.85546875" style="1575" bestFit="1" customWidth="1"/>
    <col min="4615" max="4615" width="7.28515625" style="1575" customWidth="1"/>
    <col min="4616" max="4616" width="17.5703125" style="1575" customWidth="1"/>
    <col min="4617" max="4863" width="11.5703125" style="1575"/>
    <col min="4864" max="4864" width="5" style="1575" customWidth="1"/>
    <col min="4865" max="4865" width="37.85546875" style="1575" customWidth="1"/>
    <col min="4866" max="4866" width="8" style="1575" customWidth="1"/>
    <col min="4867" max="4867" width="16.28515625" style="1575" customWidth="1"/>
    <col min="4868" max="4868" width="17.28515625" style="1575" customWidth="1"/>
    <col min="4869" max="4869" width="26.140625" style="1575" customWidth="1"/>
    <col min="4870" max="4870" width="17.85546875" style="1575" bestFit="1" customWidth="1"/>
    <col min="4871" max="4871" width="7.28515625" style="1575" customWidth="1"/>
    <col min="4872" max="4872" width="17.5703125" style="1575" customWidth="1"/>
    <col min="4873" max="5119" width="11.5703125" style="1575"/>
    <col min="5120" max="5120" width="5" style="1575" customWidth="1"/>
    <col min="5121" max="5121" width="37.85546875" style="1575" customWidth="1"/>
    <col min="5122" max="5122" width="8" style="1575" customWidth="1"/>
    <col min="5123" max="5123" width="16.28515625" style="1575" customWidth="1"/>
    <col min="5124" max="5124" width="17.28515625" style="1575" customWidth="1"/>
    <col min="5125" max="5125" width="26.140625" style="1575" customWidth="1"/>
    <col min="5126" max="5126" width="17.85546875" style="1575" bestFit="1" customWidth="1"/>
    <col min="5127" max="5127" width="7.28515625" style="1575" customWidth="1"/>
    <col min="5128" max="5128" width="17.5703125" style="1575" customWidth="1"/>
    <col min="5129" max="5375" width="11.5703125" style="1575"/>
    <col min="5376" max="5376" width="5" style="1575" customWidth="1"/>
    <col min="5377" max="5377" width="37.85546875" style="1575" customWidth="1"/>
    <col min="5378" max="5378" width="8" style="1575" customWidth="1"/>
    <col min="5379" max="5379" width="16.28515625" style="1575" customWidth="1"/>
    <col min="5380" max="5380" width="17.28515625" style="1575" customWidth="1"/>
    <col min="5381" max="5381" width="26.140625" style="1575" customWidth="1"/>
    <col min="5382" max="5382" width="17.85546875" style="1575" bestFit="1" customWidth="1"/>
    <col min="5383" max="5383" width="7.28515625" style="1575" customWidth="1"/>
    <col min="5384" max="5384" width="17.5703125" style="1575" customWidth="1"/>
    <col min="5385" max="5631" width="11.5703125" style="1575"/>
    <col min="5632" max="5632" width="5" style="1575" customWidth="1"/>
    <col min="5633" max="5633" width="37.85546875" style="1575" customWidth="1"/>
    <col min="5634" max="5634" width="8" style="1575" customWidth="1"/>
    <col min="5635" max="5635" width="16.28515625" style="1575" customWidth="1"/>
    <col min="5636" max="5636" width="17.28515625" style="1575" customWidth="1"/>
    <col min="5637" max="5637" width="26.140625" style="1575" customWidth="1"/>
    <col min="5638" max="5638" width="17.85546875" style="1575" bestFit="1" customWidth="1"/>
    <col min="5639" max="5639" width="7.28515625" style="1575" customWidth="1"/>
    <col min="5640" max="5640" width="17.5703125" style="1575" customWidth="1"/>
    <col min="5641" max="5887" width="11.5703125" style="1575"/>
    <col min="5888" max="5888" width="5" style="1575" customWidth="1"/>
    <col min="5889" max="5889" width="37.85546875" style="1575" customWidth="1"/>
    <col min="5890" max="5890" width="8" style="1575" customWidth="1"/>
    <col min="5891" max="5891" width="16.28515625" style="1575" customWidth="1"/>
    <col min="5892" max="5892" width="17.28515625" style="1575" customWidth="1"/>
    <col min="5893" max="5893" width="26.140625" style="1575" customWidth="1"/>
    <col min="5894" max="5894" width="17.85546875" style="1575" bestFit="1" customWidth="1"/>
    <col min="5895" max="5895" width="7.28515625" style="1575" customWidth="1"/>
    <col min="5896" max="5896" width="17.5703125" style="1575" customWidth="1"/>
    <col min="5897" max="6143" width="11.5703125" style="1575"/>
    <col min="6144" max="6144" width="5" style="1575" customWidth="1"/>
    <col min="6145" max="6145" width="37.85546875" style="1575" customWidth="1"/>
    <col min="6146" max="6146" width="8" style="1575" customWidth="1"/>
    <col min="6147" max="6147" width="16.28515625" style="1575" customWidth="1"/>
    <col min="6148" max="6148" width="17.28515625" style="1575" customWidth="1"/>
    <col min="6149" max="6149" width="26.140625" style="1575" customWidth="1"/>
    <col min="6150" max="6150" width="17.85546875" style="1575" bestFit="1" customWidth="1"/>
    <col min="6151" max="6151" width="7.28515625" style="1575" customWidth="1"/>
    <col min="6152" max="6152" width="17.5703125" style="1575" customWidth="1"/>
    <col min="6153" max="6399" width="11.5703125" style="1575"/>
    <col min="6400" max="6400" width="5" style="1575" customWidth="1"/>
    <col min="6401" max="6401" width="37.85546875" style="1575" customWidth="1"/>
    <col min="6402" max="6402" width="8" style="1575" customWidth="1"/>
    <col min="6403" max="6403" width="16.28515625" style="1575" customWidth="1"/>
    <col min="6404" max="6404" width="17.28515625" style="1575" customWidth="1"/>
    <col min="6405" max="6405" width="26.140625" style="1575" customWidth="1"/>
    <col min="6406" max="6406" width="17.85546875" style="1575" bestFit="1" customWidth="1"/>
    <col min="6407" max="6407" width="7.28515625" style="1575" customWidth="1"/>
    <col min="6408" max="6408" width="17.5703125" style="1575" customWidth="1"/>
    <col min="6409" max="6655" width="11.5703125" style="1575"/>
    <col min="6656" max="6656" width="5" style="1575" customWidth="1"/>
    <col min="6657" max="6657" width="37.85546875" style="1575" customWidth="1"/>
    <col min="6658" max="6658" width="8" style="1575" customWidth="1"/>
    <col min="6659" max="6659" width="16.28515625" style="1575" customWidth="1"/>
    <col min="6660" max="6660" width="17.28515625" style="1575" customWidth="1"/>
    <col min="6661" max="6661" width="26.140625" style="1575" customWidth="1"/>
    <col min="6662" max="6662" width="17.85546875" style="1575" bestFit="1" customWidth="1"/>
    <col min="6663" max="6663" width="7.28515625" style="1575" customWidth="1"/>
    <col min="6664" max="6664" width="17.5703125" style="1575" customWidth="1"/>
    <col min="6665" max="6911" width="11.5703125" style="1575"/>
    <col min="6912" max="6912" width="5" style="1575" customWidth="1"/>
    <col min="6913" max="6913" width="37.85546875" style="1575" customWidth="1"/>
    <col min="6914" max="6914" width="8" style="1575" customWidth="1"/>
    <col min="6915" max="6915" width="16.28515625" style="1575" customWidth="1"/>
    <col min="6916" max="6916" width="17.28515625" style="1575" customWidth="1"/>
    <col min="6917" max="6917" width="26.140625" style="1575" customWidth="1"/>
    <col min="6918" max="6918" width="17.85546875" style="1575" bestFit="1" customWidth="1"/>
    <col min="6919" max="6919" width="7.28515625" style="1575" customWidth="1"/>
    <col min="6920" max="6920" width="17.5703125" style="1575" customWidth="1"/>
    <col min="6921" max="7167" width="11.5703125" style="1575"/>
    <col min="7168" max="7168" width="5" style="1575" customWidth="1"/>
    <col min="7169" max="7169" width="37.85546875" style="1575" customWidth="1"/>
    <col min="7170" max="7170" width="8" style="1575" customWidth="1"/>
    <col min="7171" max="7171" width="16.28515625" style="1575" customWidth="1"/>
    <col min="7172" max="7172" width="17.28515625" style="1575" customWidth="1"/>
    <col min="7173" max="7173" width="26.140625" style="1575" customWidth="1"/>
    <col min="7174" max="7174" width="17.85546875" style="1575" bestFit="1" customWidth="1"/>
    <col min="7175" max="7175" width="7.28515625" style="1575" customWidth="1"/>
    <col min="7176" max="7176" width="17.5703125" style="1575" customWidth="1"/>
    <col min="7177" max="7423" width="11.5703125" style="1575"/>
    <col min="7424" max="7424" width="5" style="1575" customWidth="1"/>
    <col min="7425" max="7425" width="37.85546875" style="1575" customWidth="1"/>
    <col min="7426" max="7426" width="8" style="1575" customWidth="1"/>
    <col min="7427" max="7427" width="16.28515625" style="1575" customWidth="1"/>
    <col min="7428" max="7428" width="17.28515625" style="1575" customWidth="1"/>
    <col min="7429" max="7429" width="26.140625" style="1575" customWidth="1"/>
    <col min="7430" max="7430" width="17.85546875" style="1575" bestFit="1" customWidth="1"/>
    <col min="7431" max="7431" width="7.28515625" style="1575" customWidth="1"/>
    <col min="7432" max="7432" width="17.5703125" style="1575" customWidth="1"/>
    <col min="7433" max="7679" width="11.5703125" style="1575"/>
    <col min="7680" max="7680" width="5" style="1575" customWidth="1"/>
    <col min="7681" max="7681" width="37.85546875" style="1575" customWidth="1"/>
    <col min="7682" max="7682" width="8" style="1575" customWidth="1"/>
    <col min="7683" max="7683" width="16.28515625" style="1575" customWidth="1"/>
    <col min="7684" max="7684" width="17.28515625" style="1575" customWidth="1"/>
    <col min="7685" max="7685" width="26.140625" style="1575" customWidth="1"/>
    <col min="7686" max="7686" width="17.85546875" style="1575" bestFit="1" customWidth="1"/>
    <col min="7687" max="7687" width="7.28515625" style="1575" customWidth="1"/>
    <col min="7688" max="7688" width="17.5703125" style="1575" customWidth="1"/>
    <col min="7689" max="7935" width="11.5703125" style="1575"/>
    <col min="7936" max="7936" width="5" style="1575" customWidth="1"/>
    <col min="7937" max="7937" width="37.85546875" style="1575" customWidth="1"/>
    <col min="7938" max="7938" width="8" style="1575" customWidth="1"/>
    <col min="7939" max="7939" width="16.28515625" style="1575" customWidth="1"/>
    <col min="7940" max="7940" width="17.28515625" style="1575" customWidth="1"/>
    <col min="7941" max="7941" width="26.140625" style="1575" customWidth="1"/>
    <col min="7942" max="7942" width="17.85546875" style="1575" bestFit="1" customWidth="1"/>
    <col min="7943" max="7943" width="7.28515625" style="1575" customWidth="1"/>
    <col min="7944" max="7944" width="17.5703125" style="1575" customWidth="1"/>
    <col min="7945" max="8191" width="11.5703125" style="1575"/>
    <col min="8192" max="8192" width="5" style="1575" customWidth="1"/>
    <col min="8193" max="8193" width="37.85546875" style="1575" customWidth="1"/>
    <col min="8194" max="8194" width="8" style="1575" customWidth="1"/>
    <col min="8195" max="8195" width="16.28515625" style="1575" customWidth="1"/>
    <col min="8196" max="8196" width="17.28515625" style="1575" customWidth="1"/>
    <col min="8197" max="8197" width="26.140625" style="1575" customWidth="1"/>
    <col min="8198" max="8198" width="17.85546875" style="1575" bestFit="1" customWidth="1"/>
    <col min="8199" max="8199" width="7.28515625" style="1575" customWidth="1"/>
    <col min="8200" max="8200" width="17.5703125" style="1575" customWidth="1"/>
    <col min="8201" max="8447" width="11.5703125" style="1575"/>
    <col min="8448" max="8448" width="5" style="1575" customWidth="1"/>
    <col min="8449" max="8449" width="37.85546875" style="1575" customWidth="1"/>
    <col min="8450" max="8450" width="8" style="1575" customWidth="1"/>
    <col min="8451" max="8451" width="16.28515625" style="1575" customWidth="1"/>
    <col min="8452" max="8452" width="17.28515625" style="1575" customWidth="1"/>
    <col min="8453" max="8453" width="26.140625" style="1575" customWidth="1"/>
    <col min="8454" max="8454" width="17.85546875" style="1575" bestFit="1" customWidth="1"/>
    <col min="8455" max="8455" width="7.28515625" style="1575" customWidth="1"/>
    <col min="8456" max="8456" width="17.5703125" style="1575" customWidth="1"/>
    <col min="8457" max="8703" width="11.5703125" style="1575"/>
    <col min="8704" max="8704" width="5" style="1575" customWidth="1"/>
    <col min="8705" max="8705" width="37.85546875" style="1575" customWidth="1"/>
    <col min="8706" max="8706" width="8" style="1575" customWidth="1"/>
    <col min="8707" max="8707" width="16.28515625" style="1575" customWidth="1"/>
    <col min="8708" max="8708" width="17.28515625" style="1575" customWidth="1"/>
    <col min="8709" max="8709" width="26.140625" style="1575" customWidth="1"/>
    <col min="8710" max="8710" width="17.85546875" style="1575" bestFit="1" customWidth="1"/>
    <col min="8711" max="8711" width="7.28515625" style="1575" customWidth="1"/>
    <col min="8712" max="8712" width="17.5703125" style="1575" customWidth="1"/>
    <col min="8713" max="8959" width="11.5703125" style="1575"/>
    <col min="8960" max="8960" width="5" style="1575" customWidth="1"/>
    <col min="8961" max="8961" width="37.85546875" style="1575" customWidth="1"/>
    <col min="8962" max="8962" width="8" style="1575" customWidth="1"/>
    <col min="8963" max="8963" width="16.28515625" style="1575" customWidth="1"/>
    <col min="8964" max="8964" width="17.28515625" style="1575" customWidth="1"/>
    <col min="8965" max="8965" width="26.140625" style="1575" customWidth="1"/>
    <col min="8966" max="8966" width="17.85546875" style="1575" bestFit="1" customWidth="1"/>
    <col min="8967" max="8967" width="7.28515625" style="1575" customWidth="1"/>
    <col min="8968" max="8968" width="17.5703125" style="1575" customWidth="1"/>
    <col min="8969" max="9215" width="11.5703125" style="1575"/>
    <col min="9216" max="9216" width="5" style="1575" customWidth="1"/>
    <col min="9217" max="9217" width="37.85546875" style="1575" customWidth="1"/>
    <col min="9218" max="9218" width="8" style="1575" customWidth="1"/>
    <col min="9219" max="9219" width="16.28515625" style="1575" customWidth="1"/>
    <col min="9220" max="9220" width="17.28515625" style="1575" customWidth="1"/>
    <col min="9221" max="9221" width="26.140625" style="1575" customWidth="1"/>
    <col min="9222" max="9222" width="17.85546875" style="1575" bestFit="1" customWidth="1"/>
    <col min="9223" max="9223" width="7.28515625" style="1575" customWidth="1"/>
    <col min="9224" max="9224" width="17.5703125" style="1575" customWidth="1"/>
    <col min="9225" max="9471" width="11.5703125" style="1575"/>
    <col min="9472" max="9472" width="5" style="1575" customWidth="1"/>
    <col min="9473" max="9473" width="37.85546875" style="1575" customWidth="1"/>
    <col min="9474" max="9474" width="8" style="1575" customWidth="1"/>
    <col min="9475" max="9475" width="16.28515625" style="1575" customWidth="1"/>
    <col min="9476" max="9476" width="17.28515625" style="1575" customWidth="1"/>
    <col min="9477" max="9477" width="26.140625" style="1575" customWidth="1"/>
    <col min="9478" max="9478" width="17.85546875" style="1575" bestFit="1" customWidth="1"/>
    <col min="9479" max="9479" width="7.28515625" style="1575" customWidth="1"/>
    <col min="9480" max="9480" width="17.5703125" style="1575" customWidth="1"/>
    <col min="9481" max="9727" width="11.5703125" style="1575"/>
    <col min="9728" max="9728" width="5" style="1575" customWidth="1"/>
    <col min="9729" max="9729" width="37.85546875" style="1575" customWidth="1"/>
    <col min="9730" max="9730" width="8" style="1575" customWidth="1"/>
    <col min="9731" max="9731" width="16.28515625" style="1575" customWidth="1"/>
    <col min="9732" max="9732" width="17.28515625" style="1575" customWidth="1"/>
    <col min="9733" max="9733" width="26.140625" style="1575" customWidth="1"/>
    <col min="9734" max="9734" width="17.85546875" style="1575" bestFit="1" customWidth="1"/>
    <col min="9735" max="9735" width="7.28515625" style="1575" customWidth="1"/>
    <col min="9736" max="9736" width="17.5703125" style="1575" customWidth="1"/>
    <col min="9737" max="9983" width="11.5703125" style="1575"/>
    <col min="9984" max="9984" width="5" style="1575" customWidth="1"/>
    <col min="9985" max="9985" width="37.85546875" style="1575" customWidth="1"/>
    <col min="9986" max="9986" width="8" style="1575" customWidth="1"/>
    <col min="9987" max="9987" width="16.28515625" style="1575" customWidth="1"/>
    <col min="9988" max="9988" width="17.28515625" style="1575" customWidth="1"/>
    <col min="9989" max="9989" width="26.140625" style="1575" customWidth="1"/>
    <col min="9990" max="9990" width="17.85546875" style="1575" bestFit="1" customWidth="1"/>
    <col min="9991" max="9991" width="7.28515625" style="1575" customWidth="1"/>
    <col min="9992" max="9992" width="17.5703125" style="1575" customWidth="1"/>
    <col min="9993" max="10239" width="11.5703125" style="1575"/>
    <col min="10240" max="10240" width="5" style="1575" customWidth="1"/>
    <col min="10241" max="10241" width="37.85546875" style="1575" customWidth="1"/>
    <col min="10242" max="10242" width="8" style="1575" customWidth="1"/>
    <col min="10243" max="10243" width="16.28515625" style="1575" customWidth="1"/>
    <col min="10244" max="10244" width="17.28515625" style="1575" customWidth="1"/>
    <col min="10245" max="10245" width="26.140625" style="1575" customWidth="1"/>
    <col min="10246" max="10246" width="17.85546875" style="1575" bestFit="1" customWidth="1"/>
    <col min="10247" max="10247" width="7.28515625" style="1575" customWidth="1"/>
    <col min="10248" max="10248" width="17.5703125" style="1575" customWidth="1"/>
    <col min="10249" max="10495" width="11.5703125" style="1575"/>
    <col min="10496" max="10496" width="5" style="1575" customWidth="1"/>
    <col min="10497" max="10497" width="37.85546875" style="1575" customWidth="1"/>
    <col min="10498" max="10498" width="8" style="1575" customWidth="1"/>
    <col min="10499" max="10499" width="16.28515625" style="1575" customWidth="1"/>
    <col min="10500" max="10500" width="17.28515625" style="1575" customWidth="1"/>
    <col min="10501" max="10501" width="26.140625" style="1575" customWidth="1"/>
    <col min="10502" max="10502" width="17.85546875" style="1575" bestFit="1" customWidth="1"/>
    <col min="10503" max="10503" width="7.28515625" style="1575" customWidth="1"/>
    <col min="10504" max="10504" width="17.5703125" style="1575" customWidth="1"/>
    <col min="10505" max="10751" width="11.5703125" style="1575"/>
    <col min="10752" max="10752" width="5" style="1575" customWidth="1"/>
    <col min="10753" max="10753" width="37.85546875" style="1575" customWidth="1"/>
    <col min="10754" max="10754" width="8" style="1575" customWidth="1"/>
    <col min="10755" max="10755" width="16.28515625" style="1575" customWidth="1"/>
    <col min="10756" max="10756" width="17.28515625" style="1575" customWidth="1"/>
    <col min="10757" max="10757" width="26.140625" style="1575" customWidth="1"/>
    <col min="10758" max="10758" width="17.85546875" style="1575" bestFit="1" customWidth="1"/>
    <col min="10759" max="10759" width="7.28515625" style="1575" customWidth="1"/>
    <col min="10760" max="10760" width="17.5703125" style="1575" customWidth="1"/>
    <col min="10761" max="11007" width="11.5703125" style="1575"/>
    <col min="11008" max="11008" width="5" style="1575" customWidth="1"/>
    <col min="11009" max="11009" width="37.85546875" style="1575" customWidth="1"/>
    <col min="11010" max="11010" width="8" style="1575" customWidth="1"/>
    <col min="11011" max="11011" width="16.28515625" style="1575" customWidth="1"/>
    <col min="11012" max="11012" width="17.28515625" style="1575" customWidth="1"/>
    <col min="11013" max="11013" width="26.140625" style="1575" customWidth="1"/>
    <col min="11014" max="11014" width="17.85546875" style="1575" bestFit="1" customWidth="1"/>
    <col min="11015" max="11015" width="7.28515625" style="1575" customWidth="1"/>
    <col min="11016" max="11016" width="17.5703125" style="1575" customWidth="1"/>
    <col min="11017" max="11263" width="11.5703125" style="1575"/>
    <col min="11264" max="11264" width="5" style="1575" customWidth="1"/>
    <col min="11265" max="11265" width="37.85546875" style="1575" customWidth="1"/>
    <col min="11266" max="11266" width="8" style="1575" customWidth="1"/>
    <col min="11267" max="11267" width="16.28515625" style="1575" customWidth="1"/>
    <col min="11268" max="11268" width="17.28515625" style="1575" customWidth="1"/>
    <col min="11269" max="11269" width="26.140625" style="1575" customWidth="1"/>
    <col min="11270" max="11270" width="17.85546875" style="1575" bestFit="1" customWidth="1"/>
    <col min="11271" max="11271" width="7.28515625" style="1575" customWidth="1"/>
    <col min="11272" max="11272" width="17.5703125" style="1575" customWidth="1"/>
    <col min="11273" max="11519" width="11.5703125" style="1575"/>
    <col min="11520" max="11520" width="5" style="1575" customWidth="1"/>
    <col min="11521" max="11521" width="37.85546875" style="1575" customWidth="1"/>
    <col min="11522" max="11522" width="8" style="1575" customWidth="1"/>
    <col min="11523" max="11523" width="16.28515625" style="1575" customWidth="1"/>
    <col min="11524" max="11524" width="17.28515625" style="1575" customWidth="1"/>
    <col min="11525" max="11525" width="26.140625" style="1575" customWidth="1"/>
    <col min="11526" max="11526" width="17.85546875" style="1575" bestFit="1" customWidth="1"/>
    <col min="11527" max="11527" width="7.28515625" style="1575" customWidth="1"/>
    <col min="11528" max="11528" width="17.5703125" style="1575" customWidth="1"/>
    <col min="11529" max="11775" width="11.5703125" style="1575"/>
    <col min="11776" max="11776" width="5" style="1575" customWidth="1"/>
    <col min="11777" max="11777" width="37.85546875" style="1575" customWidth="1"/>
    <col min="11778" max="11778" width="8" style="1575" customWidth="1"/>
    <col min="11779" max="11779" width="16.28515625" style="1575" customWidth="1"/>
    <col min="11780" max="11780" width="17.28515625" style="1575" customWidth="1"/>
    <col min="11781" max="11781" width="26.140625" style="1575" customWidth="1"/>
    <col min="11782" max="11782" width="17.85546875" style="1575" bestFit="1" customWidth="1"/>
    <col min="11783" max="11783" width="7.28515625" style="1575" customWidth="1"/>
    <col min="11784" max="11784" width="17.5703125" style="1575" customWidth="1"/>
    <col min="11785" max="12031" width="11.5703125" style="1575"/>
    <col min="12032" max="12032" width="5" style="1575" customWidth="1"/>
    <col min="12033" max="12033" width="37.85546875" style="1575" customWidth="1"/>
    <col min="12034" max="12034" width="8" style="1575" customWidth="1"/>
    <col min="12035" max="12035" width="16.28515625" style="1575" customWidth="1"/>
    <col min="12036" max="12036" width="17.28515625" style="1575" customWidth="1"/>
    <col min="12037" max="12037" width="26.140625" style="1575" customWidth="1"/>
    <col min="12038" max="12038" width="17.85546875" style="1575" bestFit="1" customWidth="1"/>
    <col min="12039" max="12039" width="7.28515625" style="1575" customWidth="1"/>
    <col min="12040" max="12040" width="17.5703125" style="1575" customWidth="1"/>
    <col min="12041" max="12287" width="11.5703125" style="1575"/>
    <col min="12288" max="12288" width="5" style="1575" customWidth="1"/>
    <col min="12289" max="12289" width="37.85546875" style="1575" customWidth="1"/>
    <col min="12290" max="12290" width="8" style="1575" customWidth="1"/>
    <col min="12291" max="12291" width="16.28515625" style="1575" customWidth="1"/>
    <col min="12292" max="12292" width="17.28515625" style="1575" customWidth="1"/>
    <col min="12293" max="12293" width="26.140625" style="1575" customWidth="1"/>
    <col min="12294" max="12294" width="17.85546875" style="1575" bestFit="1" customWidth="1"/>
    <col min="12295" max="12295" width="7.28515625" style="1575" customWidth="1"/>
    <col min="12296" max="12296" width="17.5703125" style="1575" customWidth="1"/>
    <col min="12297" max="12543" width="11.5703125" style="1575"/>
    <col min="12544" max="12544" width="5" style="1575" customWidth="1"/>
    <col min="12545" max="12545" width="37.85546875" style="1575" customWidth="1"/>
    <col min="12546" max="12546" width="8" style="1575" customWidth="1"/>
    <col min="12547" max="12547" width="16.28515625" style="1575" customWidth="1"/>
    <col min="12548" max="12548" width="17.28515625" style="1575" customWidth="1"/>
    <col min="12549" max="12549" width="26.140625" style="1575" customWidth="1"/>
    <col min="12550" max="12550" width="17.85546875" style="1575" bestFit="1" customWidth="1"/>
    <col min="12551" max="12551" width="7.28515625" style="1575" customWidth="1"/>
    <col min="12552" max="12552" width="17.5703125" style="1575" customWidth="1"/>
    <col min="12553" max="12799" width="11.5703125" style="1575"/>
    <col min="12800" max="12800" width="5" style="1575" customWidth="1"/>
    <col min="12801" max="12801" width="37.85546875" style="1575" customWidth="1"/>
    <col min="12802" max="12802" width="8" style="1575" customWidth="1"/>
    <col min="12803" max="12803" width="16.28515625" style="1575" customWidth="1"/>
    <col min="12804" max="12804" width="17.28515625" style="1575" customWidth="1"/>
    <col min="12805" max="12805" width="26.140625" style="1575" customWidth="1"/>
    <col min="12806" max="12806" width="17.85546875" style="1575" bestFit="1" customWidth="1"/>
    <col min="12807" max="12807" width="7.28515625" style="1575" customWidth="1"/>
    <col min="12808" max="12808" width="17.5703125" style="1575" customWidth="1"/>
    <col min="12809" max="13055" width="11.5703125" style="1575"/>
    <col min="13056" max="13056" width="5" style="1575" customWidth="1"/>
    <col min="13057" max="13057" width="37.85546875" style="1575" customWidth="1"/>
    <col min="13058" max="13058" width="8" style="1575" customWidth="1"/>
    <col min="13059" max="13059" width="16.28515625" style="1575" customWidth="1"/>
    <col min="13060" max="13060" width="17.28515625" style="1575" customWidth="1"/>
    <col min="13061" max="13061" width="26.140625" style="1575" customWidth="1"/>
    <col min="13062" max="13062" width="17.85546875" style="1575" bestFit="1" customWidth="1"/>
    <col min="13063" max="13063" width="7.28515625" style="1575" customWidth="1"/>
    <col min="13064" max="13064" width="17.5703125" style="1575" customWidth="1"/>
    <col min="13065" max="13311" width="11.5703125" style="1575"/>
    <col min="13312" max="13312" width="5" style="1575" customWidth="1"/>
    <col min="13313" max="13313" width="37.85546875" style="1575" customWidth="1"/>
    <col min="13314" max="13314" width="8" style="1575" customWidth="1"/>
    <col min="13315" max="13315" width="16.28515625" style="1575" customWidth="1"/>
    <col min="13316" max="13316" width="17.28515625" style="1575" customWidth="1"/>
    <col min="13317" max="13317" width="26.140625" style="1575" customWidth="1"/>
    <col min="13318" max="13318" width="17.85546875" style="1575" bestFit="1" customWidth="1"/>
    <col min="13319" max="13319" width="7.28515625" style="1575" customWidth="1"/>
    <col min="13320" max="13320" width="17.5703125" style="1575" customWidth="1"/>
    <col min="13321" max="13567" width="11.5703125" style="1575"/>
    <col min="13568" max="13568" width="5" style="1575" customWidth="1"/>
    <col min="13569" max="13569" width="37.85546875" style="1575" customWidth="1"/>
    <col min="13570" max="13570" width="8" style="1575" customWidth="1"/>
    <col min="13571" max="13571" width="16.28515625" style="1575" customWidth="1"/>
    <col min="13572" max="13572" width="17.28515625" style="1575" customWidth="1"/>
    <col min="13573" max="13573" width="26.140625" style="1575" customWidth="1"/>
    <col min="13574" max="13574" width="17.85546875" style="1575" bestFit="1" customWidth="1"/>
    <col min="13575" max="13575" width="7.28515625" style="1575" customWidth="1"/>
    <col min="13576" max="13576" width="17.5703125" style="1575" customWidth="1"/>
    <col min="13577" max="13823" width="11.5703125" style="1575"/>
    <col min="13824" max="13824" width="5" style="1575" customWidth="1"/>
    <col min="13825" max="13825" width="37.85546875" style="1575" customWidth="1"/>
    <col min="13826" max="13826" width="8" style="1575" customWidth="1"/>
    <col min="13827" max="13827" width="16.28515625" style="1575" customWidth="1"/>
    <col min="13828" max="13828" width="17.28515625" style="1575" customWidth="1"/>
    <col min="13829" max="13829" width="26.140625" style="1575" customWidth="1"/>
    <col min="13830" max="13830" width="17.85546875" style="1575" bestFit="1" customWidth="1"/>
    <col min="13831" max="13831" width="7.28515625" style="1575" customWidth="1"/>
    <col min="13832" max="13832" width="17.5703125" style="1575" customWidth="1"/>
    <col min="13833" max="14079" width="11.5703125" style="1575"/>
    <col min="14080" max="14080" width="5" style="1575" customWidth="1"/>
    <col min="14081" max="14081" width="37.85546875" style="1575" customWidth="1"/>
    <col min="14082" max="14082" width="8" style="1575" customWidth="1"/>
    <col min="14083" max="14083" width="16.28515625" style="1575" customWidth="1"/>
    <col min="14084" max="14084" width="17.28515625" style="1575" customWidth="1"/>
    <col min="14085" max="14085" width="26.140625" style="1575" customWidth="1"/>
    <col min="14086" max="14086" width="17.85546875" style="1575" bestFit="1" customWidth="1"/>
    <col min="14087" max="14087" width="7.28515625" style="1575" customWidth="1"/>
    <col min="14088" max="14088" width="17.5703125" style="1575" customWidth="1"/>
    <col min="14089" max="14335" width="11.5703125" style="1575"/>
    <col min="14336" max="14336" width="5" style="1575" customWidth="1"/>
    <col min="14337" max="14337" width="37.85546875" style="1575" customWidth="1"/>
    <col min="14338" max="14338" width="8" style="1575" customWidth="1"/>
    <col min="14339" max="14339" width="16.28515625" style="1575" customWidth="1"/>
    <col min="14340" max="14340" width="17.28515625" style="1575" customWidth="1"/>
    <col min="14341" max="14341" width="26.140625" style="1575" customWidth="1"/>
    <col min="14342" max="14342" width="17.85546875" style="1575" bestFit="1" customWidth="1"/>
    <col min="14343" max="14343" width="7.28515625" style="1575" customWidth="1"/>
    <col min="14344" max="14344" width="17.5703125" style="1575" customWidth="1"/>
    <col min="14345" max="14591" width="11.5703125" style="1575"/>
    <col min="14592" max="14592" width="5" style="1575" customWidth="1"/>
    <col min="14593" max="14593" width="37.85546875" style="1575" customWidth="1"/>
    <col min="14594" max="14594" width="8" style="1575" customWidth="1"/>
    <col min="14595" max="14595" width="16.28515625" style="1575" customWidth="1"/>
    <col min="14596" max="14596" width="17.28515625" style="1575" customWidth="1"/>
    <col min="14597" max="14597" width="26.140625" style="1575" customWidth="1"/>
    <col min="14598" max="14598" width="17.85546875" style="1575" bestFit="1" customWidth="1"/>
    <col min="14599" max="14599" width="7.28515625" style="1575" customWidth="1"/>
    <col min="14600" max="14600" width="17.5703125" style="1575" customWidth="1"/>
    <col min="14601" max="14847" width="11.5703125" style="1575"/>
    <col min="14848" max="14848" width="5" style="1575" customWidth="1"/>
    <col min="14849" max="14849" width="37.85546875" style="1575" customWidth="1"/>
    <col min="14850" max="14850" width="8" style="1575" customWidth="1"/>
    <col min="14851" max="14851" width="16.28515625" style="1575" customWidth="1"/>
    <col min="14852" max="14852" width="17.28515625" style="1575" customWidth="1"/>
    <col min="14853" max="14853" width="26.140625" style="1575" customWidth="1"/>
    <col min="14854" max="14854" width="17.85546875" style="1575" bestFit="1" customWidth="1"/>
    <col min="14855" max="14855" width="7.28515625" style="1575" customWidth="1"/>
    <col min="14856" max="14856" width="17.5703125" style="1575" customWidth="1"/>
    <col min="14857" max="15103" width="11.5703125" style="1575"/>
    <col min="15104" max="15104" width="5" style="1575" customWidth="1"/>
    <col min="15105" max="15105" width="37.85546875" style="1575" customWidth="1"/>
    <col min="15106" max="15106" width="8" style="1575" customWidth="1"/>
    <col min="15107" max="15107" width="16.28515625" style="1575" customWidth="1"/>
    <col min="15108" max="15108" width="17.28515625" style="1575" customWidth="1"/>
    <col min="15109" max="15109" width="26.140625" style="1575" customWidth="1"/>
    <col min="15110" max="15110" width="17.85546875" style="1575" bestFit="1" customWidth="1"/>
    <col min="15111" max="15111" width="7.28515625" style="1575" customWidth="1"/>
    <col min="15112" max="15112" width="17.5703125" style="1575" customWidth="1"/>
    <col min="15113" max="15359" width="11.5703125" style="1575"/>
    <col min="15360" max="15360" width="5" style="1575" customWidth="1"/>
    <col min="15361" max="15361" width="37.85546875" style="1575" customWidth="1"/>
    <col min="15362" max="15362" width="8" style="1575" customWidth="1"/>
    <col min="15363" max="15363" width="16.28515625" style="1575" customWidth="1"/>
    <col min="15364" max="15364" width="17.28515625" style="1575" customWidth="1"/>
    <col min="15365" max="15365" width="26.140625" style="1575" customWidth="1"/>
    <col min="15366" max="15366" width="17.85546875" style="1575" bestFit="1" customWidth="1"/>
    <col min="15367" max="15367" width="7.28515625" style="1575" customWidth="1"/>
    <col min="15368" max="15368" width="17.5703125" style="1575" customWidth="1"/>
    <col min="15369" max="15615" width="11.5703125" style="1575"/>
    <col min="15616" max="15616" width="5" style="1575" customWidth="1"/>
    <col min="15617" max="15617" width="37.85546875" style="1575" customWidth="1"/>
    <col min="15618" max="15618" width="8" style="1575" customWidth="1"/>
    <col min="15619" max="15619" width="16.28515625" style="1575" customWidth="1"/>
    <col min="15620" max="15620" width="17.28515625" style="1575" customWidth="1"/>
    <col min="15621" max="15621" width="26.140625" style="1575" customWidth="1"/>
    <col min="15622" max="15622" width="17.85546875" style="1575" bestFit="1" customWidth="1"/>
    <col min="15623" max="15623" width="7.28515625" style="1575" customWidth="1"/>
    <col min="15624" max="15624" width="17.5703125" style="1575" customWidth="1"/>
    <col min="15625" max="15871" width="11.5703125" style="1575"/>
    <col min="15872" max="15872" width="5" style="1575" customWidth="1"/>
    <col min="15873" max="15873" width="37.85546875" style="1575" customWidth="1"/>
    <col min="15874" max="15874" width="8" style="1575" customWidth="1"/>
    <col min="15875" max="15875" width="16.28515625" style="1575" customWidth="1"/>
    <col min="15876" max="15876" width="17.28515625" style="1575" customWidth="1"/>
    <col min="15877" max="15877" width="26.140625" style="1575" customWidth="1"/>
    <col min="15878" max="15878" width="17.85546875" style="1575" bestFit="1" customWidth="1"/>
    <col min="15879" max="15879" width="7.28515625" style="1575" customWidth="1"/>
    <col min="15880" max="15880" width="17.5703125" style="1575" customWidth="1"/>
    <col min="15881" max="16127" width="11.5703125" style="1575"/>
    <col min="16128" max="16128" width="5" style="1575" customWidth="1"/>
    <col min="16129" max="16129" width="37.85546875" style="1575" customWidth="1"/>
    <col min="16130" max="16130" width="8" style="1575" customWidth="1"/>
    <col min="16131" max="16131" width="16.28515625" style="1575" customWidth="1"/>
    <col min="16132" max="16132" width="17.28515625" style="1575" customWidth="1"/>
    <col min="16133" max="16133" width="26.140625" style="1575" customWidth="1"/>
    <col min="16134" max="16134" width="17.85546875" style="1575" bestFit="1" customWidth="1"/>
    <col min="16135" max="16135" width="7.28515625" style="1575" customWidth="1"/>
    <col min="16136" max="16136" width="17.5703125" style="1575" customWidth="1"/>
    <col min="16137" max="16384" width="11.5703125" style="1575"/>
  </cols>
  <sheetData>
    <row r="1" spans="1:8" ht="18" customHeight="1">
      <c r="C1" s="1575" t="s">
        <v>1173</v>
      </c>
      <c r="G1" s="1576" t="s">
        <v>1020</v>
      </c>
    </row>
    <row r="4" spans="1:8" s="1578" customFormat="1" ht="15.75" customHeight="1">
      <c r="A4" s="1577" t="s">
        <v>480</v>
      </c>
      <c r="B4" s="1578" t="s">
        <v>1078</v>
      </c>
      <c r="G4" s="1579">
        <f>+G10</f>
        <v>205950000</v>
      </c>
      <c r="H4" s="1577" t="s">
        <v>202</v>
      </c>
    </row>
    <row r="5" spans="1:8" s="1578" customFormat="1" ht="15.75" customHeight="1">
      <c r="A5" s="1580"/>
      <c r="B5" s="1581" t="s">
        <v>1077</v>
      </c>
      <c r="G5" s="1579"/>
      <c r="H5" s="1577"/>
    </row>
    <row r="6" spans="1:8" s="1578" customFormat="1" ht="15.75" customHeight="1">
      <c r="A6" s="1580" t="s">
        <v>30</v>
      </c>
      <c r="B6" s="1582" t="s">
        <v>154</v>
      </c>
      <c r="G6" s="1583">
        <f>G4-G8</f>
        <v>55950000</v>
      </c>
      <c r="H6" s="1580" t="s">
        <v>202</v>
      </c>
    </row>
    <row r="7" spans="1:8" s="1578" customFormat="1" ht="15.75" customHeight="1">
      <c r="A7" s="1580" t="s">
        <v>30</v>
      </c>
      <c r="B7" s="1582" t="s">
        <v>28</v>
      </c>
      <c r="G7" s="1586">
        <f>G6/G4</f>
        <v>0.27166788055353241</v>
      </c>
      <c r="H7" s="1580"/>
    </row>
    <row r="8" spans="1:8" s="1578" customFormat="1" ht="15.75" customHeight="1">
      <c r="A8" s="1577" t="s">
        <v>30</v>
      </c>
      <c r="B8" s="1578" t="s">
        <v>1075</v>
      </c>
      <c r="G8" s="1579">
        <v>150000000</v>
      </c>
      <c r="H8" s="1577" t="s">
        <v>202</v>
      </c>
    </row>
    <row r="9" spans="1:8" s="1578" customFormat="1" ht="15.75" customHeight="1">
      <c r="A9" s="1577" t="s">
        <v>485</v>
      </c>
      <c r="B9" s="1578" t="s">
        <v>1072</v>
      </c>
      <c r="F9" s="1587"/>
      <c r="G9" s="1579">
        <f>G11+G23</f>
        <v>248850000</v>
      </c>
      <c r="H9" s="1577" t="s">
        <v>202</v>
      </c>
    </row>
    <row r="10" spans="1:8" s="1589" customFormat="1" ht="15.75" customHeight="1">
      <c r="A10" s="1588">
        <v>1.1000000000000001</v>
      </c>
      <c r="B10" s="1589" t="s">
        <v>1172</v>
      </c>
      <c r="F10" s="1590"/>
      <c r="G10" s="1591">
        <f>G11</f>
        <v>205950000</v>
      </c>
      <c r="H10" s="1588" t="s">
        <v>202</v>
      </c>
    </row>
    <row r="11" spans="1:8" s="1589" customFormat="1" ht="17.25">
      <c r="A11" s="1588" t="s">
        <v>1171</v>
      </c>
      <c r="B11" s="2401" t="s">
        <v>1170</v>
      </c>
      <c r="C11" s="2401"/>
      <c r="D11" s="2401"/>
      <c r="E11" s="2401"/>
      <c r="F11" s="2401"/>
      <c r="G11" s="1591">
        <f>+G15+G13+G14</f>
        <v>205950000</v>
      </c>
      <c r="H11" s="1588"/>
    </row>
    <row r="12" spans="1:8" s="1589" customFormat="1" ht="15.75" customHeight="1">
      <c r="A12" s="2292" t="s">
        <v>1058</v>
      </c>
      <c r="B12" s="2292" t="s">
        <v>1057</v>
      </c>
      <c r="C12" s="2292" t="s">
        <v>1056</v>
      </c>
      <c r="D12" s="2292" t="s">
        <v>1055</v>
      </c>
      <c r="E12" s="2373" t="s">
        <v>3</v>
      </c>
      <c r="F12" s="2373"/>
      <c r="G12" s="2292" t="s">
        <v>4</v>
      </c>
      <c r="H12" s="1598" t="s">
        <v>1056</v>
      </c>
    </row>
    <row r="13" spans="1:8" ht="15.75" customHeight="1">
      <c r="A13" s="1662" t="s">
        <v>615</v>
      </c>
      <c r="B13" s="2298" t="s">
        <v>1169</v>
      </c>
      <c r="C13" s="1599" t="s">
        <v>523</v>
      </c>
      <c r="D13" s="1663">
        <v>57</v>
      </c>
      <c r="E13" s="2399">
        <v>3200000</v>
      </c>
      <c r="F13" s="2400"/>
      <c r="G13" s="1664">
        <f>D13*E13</f>
        <v>182400000</v>
      </c>
      <c r="H13" s="1665" t="s">
        <v>202</v>
      </c>
    </row>
    <row r="14" spans="1:8" ht="15.75" customHeight="1">
      <c r="A14" s="1662" t="s">
        <v>615</v>
      </c>
      <c r="B14" s="2298" t="s">
        <v>1168</v>
      </c>
      <c r="C14" s="1599" t="s">
        <v>523</v>
      </c>
      <c r="D14" s="1663">
        <v>3</v>
      </c>
      <c r="E14" s="2399">
        <v>5000000</v>
      </c>
      <c r="F14" s="2400"/>
      <c r="G14" s="1664">
        <f>D14*E14</f>
        <v>15000000</v>
      </c>
      <c r="H14" s="1665" t="s">
        <v>202</v>
      </c>
    </row>
    <row r="15" spans="1:8" ht="15.75" customHeight="1">
      <c r="A15" s="1662" t="s">
        <v>615</v>
      </c>
      <c r="B15" s="1606" t="s">
        <v>1167</v>
      </c>
      <c r="C15" s="1599" t="s">
        <v>5</v>
      </c>
      <c r="D15" s="1606">
        <f>D13*3</f>
        <v>171</v>
      </c>
      <c r="E15" s="2399">
        <v>50000</v>
      </c>
      <c r="F15" s="2400"/>
      <c r="G15" s="1664">
        <f>E15*D15</f>
        <v>8550000</v>
      </c>
      <c r="H15" s="1665" t="s">
        <v>202</v>
      </c>
    </row>
    <row r="16" spans="1:8" ht="15.75" customHeight="1">
      <c r="A16" s="1662"/>
      <c r="B16" s="1606" t="s">
        <v>1166</v>
      </c>
      <c r="C16" s="1599">
        <v>1</v>
      </c>
      <c r="D16" s="1606" t="s">
        <v>504</v>
      </c>
      <c r="E16" s="2399" t="s">
        <v>1165</v>
      </c>
      <c r="F16" s="2400"/>
      <c r="G16" s="1664">
        <f>+G17*C16</f>
        <v>190200000</v>
      </c>
      <c r="H16" s="1665" t="s">
        <v>202</v>
      </c>
    </row>
    <row r="17" spans="1:8" ht="15.75" customHeight="1">
      <c r="A17" s="1662" t="s">
        <v>615</v>
      </c>
      <c r="B17" s="2390" t="s">
        <v>1164</v>
      </c>
      <c r="C17" s="2391"/>
      <c r="D17" s="2391"/>
      <c r="E17" s="2391"/>
      <c r="F17" s="2392"/>
      <c r="G17" s="1664">
        <f>+G18+G20+G21+G19</f>
        <v>190200000</v>
      </c>
      <c r="H17" s="1665" t="s">
        <v>202</v>
      </c>
    </row>
    <row r="18" spans="1:8" ht="15.75" customHeight="1">
      <c r="A18" s="1662" t="s">
        <v>615</v>
      </c>
      <c r="B18" s="2298" t="s">
        <v>1163</v>
      </c>
      <c r="C18" s="1599" t="s">
        <v>829</v>
      </c>
      <c r="D18" s="1663">
        <f>120*(D13+D14)</f>
        <v>7200</v>
      </c>
      <c r="E18" s="2393">
        <v>11500</v>
      </c>
      <c r="F18" s="2394"/>
      <c r="G18" s="1664">
        <f>E18*D18</f>
        <v>82800000</v>
      </c>
      <c r="H18" s="1665" t="s">
        <v>202</v>
      </c>
    </row>
    <row r="19" spans="1:8" ht="15.75" customHeight="1">
      <c r="A19" s="1662" t="s">
        <v>615</v>
      </c>
      <c r="B19" s="2390" t="s">
        <v>1162</v>
      </c>
      <c r="C19" s="2391"/>
      <c r="D19" s="2391"/>
      <c r="E19" s="2391"/>
      <c r="F19" s="2392"/>
      <c r="G19" s="1664">
        <f>(G18)/2</f>
        <v>41400000</v>
      </c>
      <c r="H19" s="1665" t="s">
        <v>202</v>
      </c>
    </row>
    <row r="20" spans="1:8" ht="15.75" customHeight="1">
      <c r="A20" s="1662" t="s">
        <v>615</v>
      </c>
      <c r="B20" s="2395" t="s">
        <v>1161</v>
      </c>
      <c r="C20" s="2395"/>
      <c r="D20" s="2395"/>
      <c r="E20" s="2395"/>
      <c r="F20" s="2395"/>
      <c r="G20" s="1664">
        <f>100000*(D13+D14)</f>
        <v>6000000</v>
      </c>
      <c r="H20" s="1665" t="s">
        <v>202</v>
      </c>
    </row>
    <row r="21" spans="1:8" s="1582" customFormat="1" ht="15.75" customHeight="1">
      <c r="A21" s="1662" t="s">
        <v>615</v>
      </c>
      <c r="B21" s="1666" t="s">
        <v>1160</v>
      </c>
      <c r="C21" s="1667"/>
      <c r="D21" s="1668"/>
      <c r="E21" s="1669"/>
      <c r="F21" s="1670" t="s">
        <v>1159</v>
      </c>
      <c r="G21" s="1671">
        <f>5000000*12</f>
        <v>60000000</v>
      </c>
      <c r="H21" s="1604" t="s">
        <v>202</v>
      </c>
    </row>
    <row r="22" spans="1:8" s="1578" customFormat="1" ht="15.75" customHeight="1">
      <c r="A22" s="1672"/>
      <c r="B22" s="2396" t="s">
        <v>1158</v>
      </c>
      <c r="C22" s="2397"/>
      <c r="D22" s="2397"/>
      <c r="E22" s="2397"/>
      <c r="F22" s="2398"/>
      <c r="G22" s="1673">
        <f>+G16+G13</f>
        <v>372600000</v>
      </c>
      <c r="H22" s="1596" t="s">
        <v>202</v>
      </c>
    </row>
    <row r="23" spans="1:8" ht="15.75" customHeight="1">
      <c r="A23" s="1588">
        <v>1.2</v>
      </c>
      <c r="B23" s="1589" t="s">
        <v>1043</v>
      </c>
      <c r="C23" s="1589"/>
      <c r="D23" s="1589"/>
      <c r="E23" s="1589"/>
      <c r="F23" s="1590"/>
      <c r="G23" s="1591">
        <f>SUM(G24:G26)</f>
        <v>42900000</v>
      </c>
      <c r="H23" s="1588" t="s">
        <v>202</v>
      </c>
    </row>
    <row r="24" spans="1:8" ht="15.75" customHeight="1">
      <c r="A24" s="1574" t="s">
        <v>615</v>
      </c>
      <c r="B24" s="1575" t="s">
        <v>1042</v>
      </c>
      <c r="D24" s="1608">
        <f>G8</f>
        <v>150000000</v>
      </c>
      <c r="E24" s="1674" t="s">
        <v>1157</v>
      </c>
      <c r="F24" s="1675">
        <v>0.11</v>
      </c>
      <c r="G24" s="1608">
        <f>D24*F24</f>
        <v>16500000</v>
      </c>
      <c r="H24" s="1574" t="s">
        <v>202</v>
      </c>
    </row>
    <row r="25" spans="1:8" ht="15.75" customHeight="1">
      <c r="A25" s="1574" t="s">
        <v>615</v>
      </c>
      <c r="B25" s="1575" t="s">
        <v>1041</v>
      </c>
      <c r="D25" s="1608">
        <f>D24-20000000</f>
        <v>130000000</v>
      </c>
      <c r="E25" s="1674" t="s">
        <v>1157</v>
      </c>
      <c r="F25" s="1675">
        <v>0.11</v>
      </c>
      <c r="G25" s="1608">
        <f>D25*F25</f>
        <v>14300000</v>
      </c>
      <c r="H25" s="1574" t="s">
        <v>202</v>
      </c>
    </row>
    <row r="26" spans="1:8" ht="15.75" customHeight="1">
      <c r="A26" s="1574" t="s">
        <v>615</v>
      </c>
      <c r="B26" s="1575" t="s">
        <v>1040</v>
      </c>
      <c r="D26" s="1608">
        <f>D25-20000000</f>
        <v>110000000</v>
      </c>
      <c r="E26" s="1674" t="s">
        <v>1157</v>
      </c>
      <c r="F26" s="1675">
        <v>0.11</v>
      </c>
      <c r="G26" s="1608">
        <f>D26*F26</f>
        <v>12100000</v>
      </c>
      <c r="H26" s="1574" t="s">
        <v>202</v>
      </c>
    </row>
    <row r="27" spans="1:8" s="1582" customFormat="1" ht="15.75" customHeight="1">
      <c r="A27" s="1577" t="s">
        <v>489</v>
      </c>
      <c r="B27" s="1578" t="s">
        <v>1156</v>
      </c>
      <c r="C27" s="1578"/>
      <c r="D27" s="1578"/>
      <c r="E27" s="1578"/>
      <c r="F27" s="1587"/>
      <c r="G27" s="1579"/>
      <c r="H27" s="1577" t="s">
        <v>202</v>
      </c>
    </row>
    <row r="28" spans="1:8" s="1582" customFormat="1" ht="15.75" customHeight="1">
      <c r="A28" s="1676" t="s">
        <v>615</v>
      </c>
      <c r="B28" s="1578" t="s">
        <v>1155</v>
      </c>
      <c r="C28" s="1578"/>
      <c r="D28" s="1578"/>
      <c r="E28" s="1578"/>
      <c r="F28" s="1587"/>
      <c r="G28" s="1579"/>
      <c r="H28" s="1577"/>
    </row>
    <row r="29" spans="1:8" s="1582" customFormat="1" ht="15.75" customHeight="1">
      <c r="A29" s="1580"/>
      <c r="B29" s="1582" t="s">
        <v>1154</v>
      </c>
      <c r="F29" s="1614"/>
      <c r="G29" s="1583"/>
      <c r="H29" s="1580"/>
    </row>
    <row r="30" spans="1:8" s="1582" customFormat="1" ht="15.75" customHeight="1">
      <c r="A30" s="1580"/>
      <c r="B30" s="1582" t="s">
        <v>1153</v>
      </c>
      <c r="F30" s="1614"/>
      <c r="G30" s="1583"/>
      <c r="H30" s="1580"/>
    </row>
    <row r="31" spans="1:8" s="1582" customFormat="1" ht="15.75" customHeight="1">
      <c r="A31" s="1580"/>
      <c r="B31" s="1582" t="s">
        <v>1152</v>
      </c>
      <c r="C31" s="2389" t="str">
        <f>D13&amp;" Con mẹ x 2 dê con/mẹ x "&amp;1&amp;" năm"&amp;" x 2.5 triệu/con "&amp;"="</f>
        <v>57 Con mẹ x 2 dê con/mẹ x 1 năm x 2.5 triệu/con =</v>
      </c>
      <c r="D31" s="2389"/>
      <c r="E31" s="2389"/>
      <c r="F31" s="2389"/>
      <c r="G31" s="1583">
        <f>+D13*2*1*2500000</f>
        <v>285000000</v>
      </c>
      <c r="H31" s="1580" t="s">
        <v>202</v>
      </c>
    </row>
    <row r="32" spans="1:8" s="1582" customFormat="1" ht="15.75" customHeight="1">
      <c r="A32" s="1580"/>
      <c r="B32" s="1582" t="s">
        <v>1151</v>
      </c>
      <c r="C32" s="2389" t="str">
        <f>D13&amp;" con cái x 3.5 triệu/con - giá trung bình "&amp;"="</f>
        <v>57 con cái x 3.5 triệu/con - giá trung bình =</v>
      </c>
      <c r="D32" s="2389"/>
      <c r="E32" s="2389"/>
      <c r="F32" s="2389"/>
      <c r="G32" s="1583">
        <f>+D13*3500000</f>
        <v>199500000</v>
      </c>
      <c r="H32" s="1580" t="s">
        <v>202</v>
      </c>
    </row>
    <row r="33" spans="1:8" s="1582" customFormat="1" ht="15.75" customHeight="1">
      <c r="A33" s="1580"/>
      <c r="B33" s="1582" t="s">
        <v>1150</v>
      </c>
      <c r="C33" s="2389" t="s">
        <v>1149</v>
      </c>
      <c r="D33" s="2389"/>
      <c r="E33" s="2389"/>
      <c r="F33" s="2389"/>
      <c r="G33" s="1583">
        <f>(D13+D14)*8*35000</f>
        <v>16800000</v>
      </c>
      <c r="H33" s="1580" t="s">
        <v>202</v>
      </c>
    </row>
    <row r="34" spans="1:8" s="1582" customFormat="1" ht="15.75" customHeight="1">
      <c r="A34" s="1585" t="s">
        <v>615</v>
      </c>
      <c r="B34" s="1582" t="s">
        <v>1148</v>
      </c>
      <c r="C34" s="2297"/>
      <c r="D34" s="2297"/>
      <c r="E34" s="2297"/>
      <c r="F34" s="2297"/>
      <c r="G34" s="1583">
        <f>G16</f>
        <v>190200000</v>
      </c>
      <c r="H34" s="1580" t="s">
        <v>202</v>
      </c>
    </row>
    <row r="35" spans="1:8" s="1582" customFormat="1" ht="15.75" customHeight="1">
      <c r="A35" s="1585" t="s">
        <v>615</v>
      </c>
      <c r="B35" s="1582" t="s">
        <v>1147</v>
      </c>
      <c r="C35" s="2297"/>
      <c r="D35" s="2297"/>
      <c r="E35" s="2297"/>
      <c r="F35" s="2297"/>
      <c r="G35" s="1583">
        <f>G31-G34+G33</f>
        <v>111600000</v>
      </c>
      <c r="H35" s="1580" t="s">
        <v>202</v>
      </c>
    </row>
    <row r="36" spans="1:8" s="1582" customFormat="1" ht="15.75" customHeight="1">
      <c r="A36" s="1585" t="s">
        <v>615</v>
      </c>
      <c r="B36" s="1582" t="s">
        <v>1146</v>
      </c>
      <c r="C36" s="2297"/>
      <c r="D36" s="2297"/>
      <c r="E36" s="2297"/>
      <c r="F36" s="2297"/>
      <c r="G36" s="1583">
        <f>G31+G32-G34</f>
        <v>294300000</v>
      </c>
      <c r="H36" s="1580" t="s">
        <v>202</v>
      </c>
    </row>
    <row r="37" spans="1:8" s="1582" customFormat="1" ht="15.75" customHeight="1">
      <c r="A37" s="1577" t="s">
        <v>547</v>
      </c>
      <c r="B37" s="1578" t="s">
        <v>1145</v>
      </c>
      <c r="C37" s="1578"/>
      <c r="D37" s="1578"/>
      <c r="E37" s="1578"/>
      <c r="F37" s="1587"/>
      <c r="G37" s="1579"/>
      <c r="H37" s="1577"/>
    </row>
    <row r="38" spans="1:8" s="1582" customFormat="1" ht="15.75" customHeight="1">
      <c r="A38" s="1676" t="s">
        <v>615</v>
      </c>
      <c r="B38" s="1582" t="s">
        <v>1144</v>
      </c>
      <c r="C38" s="1578"/>
      <c r="D38" s="1583">
        <f>$G$35</f>
        <v>111600000</v>
      </c>
      <c r="E38" s="1585" t="s">
        <v>615</v>
      </c>
      <c r="F38" s="1677">
        <f>D24-D25+G24</f>
        <v>36500000</v>
      </c>
      <c r="G38" s="1583">
        <f>D38-F38</f>
        <v>75100000</v>
      </c>
      <c r="H38" s="1580" t="s">
        <v>202</v>
      </c>
    </row>
    <row r="39" spans="1:8" s="1582" customFormat="1" ht="15.75" customHeight="1">
      <c r="A39" s="1676" t="s">
        <v>615</v>
      </c>
      <c r="B39" s="1582" t="s">
        <v>1143</v>
      </c>
      <c r="C39" s="1578"/>
      <c r="D39" s="1583">
        <f>$G$35</f>
        <v>111600000</v>
      </c>
      <c r="E39" s="1585" t="s">
        <v>615</v>
      </c>
      <c r="F39" s="1677">
        <f>D25-D26+G25</f>
        <v>34300000</v>
      </c>
      <c r="G39" s="1583">
        <f>D39-F39</f>
        <v>77300000</v>
      </c>
      <c r="H39" s="1580" t="s">
        <v>202</v>
      </c>
    </row>
    <row r="40" spans="1:8" ht="15.75" customHeight="1">
      <c r="A40" s="1676" t="s">
        <v>615</v>
      </c>
      <c r="B40" s="1582" t="s">
        <v>1142</v>
      </c>
      <c r="D40" s="1583">
        <f>G36+G35</f>
        <v>405900000</v>
      </c>
      <c r="E40" s="1585" t="s">
        <v>615</v>
      </c>
      <c r="F40" s="1677">
        <f>D26+G26</f>
        <v>122100000</v>
      </c>
      <c r="G40" s="1583">
        <f>D40-F40</f>
        <v>283800000</v>
      </c>
      <c r="H40" s="1580" t="s">
        <v>202</v>
      </c>
    </row>
  </sheetData>
  <mergeCells count="14">
    <mergeCell ref="E16:F16"/>
    <mergeCell ref="B11:F11"/>
    <mergeCell ref="E12:F12"/>
    <mergeCell ref="E13:F13"/>
    <mergeCell ref="E14:F14"/>
    <mergeCell ref="E15:F15"/>
    <mergeCell ref="C32:F32"/>
    <mergeCell ref="C33:F33"/>
    <mergeCell ref="B17:F17"/>
    <mergeCell ref="E18:F18"/>
    <mergeCell ref="B19:F19"/>
    <mergeCell ref="B20:F20"/>
    <mergeCell ref="B22:F22"/>
    <mergeCell ref="C31:F31"/>
  </mergeCells>
  <printOptions horizontalCentered="1"/>
  <pageMargins left="0" right="0" top="0.24" bottom="0.39" header="0.17" footer="0.32"/>
  <pageSetup paperSize="9" scale="7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5"/>
  <sheetViews>
    <sheetView workbookViewId="0">
      <selection activeCell="B2" sqref="B2"/>
    </sheetView>
  </sheetViews>
  <sheetFormatPr defaultRowHeight="16.5"/>
  <cols>
    <col min="1" max="1" width="3.85546875" style="6" bestFit="1" customWidth="1"/>
    <col min="2" max="2" width="22.85546875" style="6" bestFit="1" customWidth="1"/>
    <col min="3" max="3" width="8.5703125" style="6" customWidth="1"/>
    <col min="4" max="4" width="17.140625" style="6" bestFit="1" customWidth="1"/>
    <col min="5" max="5" width="13.7109375" style="6" bestFit="1" customWidth="1"/>
    <col min="6" max="6" width="18" style="8" bestFit="1" customWidth="1"/>
    <col min="7" max="7" width="19.140625" style="6" bestFit="1" customWidth="1"/>
    <col min="8" max="16384" width="9.140625" style="6"/>
  </cols>
  <sheetData>
    <row r="1" spans="1:7">
      <c r="C1" s="6" t="s">
        <v>606</v>
      </c>
      <c r="D1" s="305"/>
      <c r="G1" s="307" t="s">
        <v>1020</v>
      </c>
    </row>
    <row r="3" spans="1:7">
      <c r="B3" s="6" t="s">
        <v>525</v>
      </c>
    </row>
    <row r="4" spans="1:7" ht="38.25" customHeight="1">
      <c r="A4" s="18" t="s">
        <v>0</v>
      </c>
      <c r="B4" s="53" t="s">
        <v>14</v>
      </c>
      <c r="C4" s="53" t="s">
        <v>2</v>
      </c>
      <c r="D4" s="53" t="s">
        <v>1</v>
      </c>
      <c r="E4" s="53" t="s">
        <v>3</v>
      </c>
      <c r="F4" s="2342" t="s">
        <v>4</v>
      </c>
    </row>
    <row r="5" spans="1:7">
      <c r="A5" s="18">
        <v>1</v>
      </c>
      <c r="B5" s="18" t="s">
        <v>16</v>
      </c>
      <c r="C5" s="18" t="s">
        <v>523</v>
      </c>
      <c r="D5" s="143">
        <v>2000</v>
      </c>
      <c r="E5" s="143">
        <v>12000</v>
      </c>
      <c r="F5" s="48">
        <f>E5*D22</f>
        <v>24000000</v>
      </c>
    </row>
    <row r="6" spans="1:7" ht="33">
      <c r="A6" s="18">
        <v>2</v>
      </c>
      <c r="B6" s="168" t="s">
        <v>524</v>
      </c>
      <c r="C6" s="18" t="s">
        <v>11</v>
      </c>
      <c r="D6" s="143">
        <f>0.04*D5*120</f>
        <v>9600</v>
      </c>
      <c r="E6" s="143">
        <v>13000</v>
      </c>
      <c r="F6" s="48">
        <f>D6*E6</f>
        <v>124800000</v>
      </c>
      <c r="G6" s="169">
        <f>E6*D6</f>
        <v>124800000</v>
      </c>
    </row>
    <row r="7" spans="1:7">
      <c r="A7" s="18">
        <v>3</v>
      </c>
      <c r="B7" s="18" t="s">
        <v>339</v>
      </c>
      <c r="C7" s="18"/>
      <c r="D7" s="143" t="str">
        <f>TEXT(D22,"#,###")&amp;" con"</f>
        <v>2,000 con</v>
      </c>
      <c r="E7" s="143">
        <v>10000</v>
      </c>
      <c r="F7" s="48">
        <f>E7*D22</f>
        <v>20000000</v>
      </c>
    </row>
    <row r="8" spans="1:7">
      <c r="A8" s="18">
        <v>4</v>
      </c>
      <c r="B8" s="18" t="s">
        <v>9</v>
      </c>
      <c r="C8" s="18"/>
      <c r="D8" s="143">
        <v>2</v>
      </c>
      <c r="E8" s="143">
        <v>2000000</v>
      </c>
      <c r="F8" s="48">
        <f>E8*D8*4</f>
        <v>16000000</v>
      </c>
    </row>
    <row r="9" spans="1:7">
      <c r="A9" s="18">
        <v>5</v>
      </c>
      <c r="B9" s="18" t="s">
        <v>340</v>
      </c>
      <c r="C9" s="18"/>
      <c r="D9" s="143" t="str">
        <f>TEXT(D22,"#,###")&amp;" con"</f>
        <v>2,000 con</v>
      </c>
      <c r="E9" s="143">
        <v>11000</v>
      </c>
      <c r="F9" s="48">
        <f>E9*D22</f>
        <v>22000000</v>
      </c>
    </row>
    <row r="10" spans="1:7">
      <c r="A10" s="18">
        <v>6</v>
      </c>
      <c r="B10" s="18" t="s">
        <v>21</v>
      </c>
      <c r="C10" s="18"/>
      <c r="D10" s="143"/>
      <c r="E10" s="143"/>
      <c r="F10" s="48">
        <v>1000000</v>
      </c>
    </row>
    <row r="11" spans="1:7">
      <c r="A11" s="18">
        <v>7</v>
      </c>
      <c r="B11" s="18" t="s">
        <v>18</v>
      </c>
      <c r="C11" s="18"/>
      <c r="D11" s="143"/>
      <c r="E11" s="143"/>
      <c r="F11" s="48">
        <f>D17/60*4</f>
        <v>10000000</v>
      </c>
    </row>
    <row r="12" spans="1:7">
      <c r="A12" s="18">
        <v>8</v>
      </c>
      <c r="B12" s="18" t="s">
        <v>19</v>
      </c>
      <c r="C12" s="18"/>
      <c r="D12" s="143"/>
      <c r="E12" s="143"/>
      <c r="F12" s="48">
        <f>D18*D21/12*4</f>
        <v>8816666.666666666</v>
      </c>
    </row>
    <row r="13" spans="1:7" s="28" customFormat="1">
      <c r="A13" s="18">
        <v>9</v>
      </c>
      <c r="B13" s="17" t="s">
        <v>22</v>
      </c>
      <c r="C13" s="17"/>
      <c r="D13" s="145"/>
      <c r="E13" s="145"/>
      <c r="F13" s="49">
        <f>SUM(F5:F12)</f>
        <v>226616666.66666666</v>
      </c>
    </row>
    <row r="14" spans="1:7" s="28" customFormat="1">
      <c r="A14" s="18">
        <v>10</v>
      </c>
      <c r="B14" s="17" t="s">
        <v>242</v>
      </c>
      <c r="C14" s="17"/>
      <c r="D14" s="16" t="str">
        <f>D22&amp;" con"</f>
        <v>2000 con</v>
      </c>
      <c r="E14" s="145">
        <v>90000</v>
      </c>
      <c r="F14" s="49">
        <f>E14*D22*D25</f>
        <v>270000000</v>
      </c>
    </row>
    <row r="15" spans="1:7" s="110" customFormat="1">
      <c r="A15" s="18">
        <v>11</v>
      </c>
      <c r="B15" s="22" t="s">
        <v>24</v>
      </c>
      <c r="C15" s="22"/>
      <c r="D15" s="147"/>
      <c r="E15" s="147"/>
      <c r="F15" s="170">
        <f>F14-F13</f>
        <v>43383333.333333343</v>
      </c>
    </row>
    <row r="17" spans="2:6">
      <c r="B17" s="6" t="s">
        <v>341</v>
      </c>
      <c r="D17" s="8">
        <v>150000000</v>
      </c>
      <c r="F17" s="6"/>
    </row>
    <row r="18" spans="2:6">
      <c r="B18" s="6" t="s">
        <v>27</v>
      </c>
      <c r="D18" s="8">
        <v>230000000</v>
      </c>
      <c r="E18" s="171"/>
      <c r="F18" s="6"/>
    </row>
    <row r="19" spans="2:6" s="28" customFormat="1">
      <c r="B19" s="28" t="s">
        <v>223</v>
      </c>
      <c r="D19" s="27">
        <f>D17+F5+F6+F7+F8+F9+F10</f>
        <v>357800000</v>
      </c>
      <c r="E19" s="172"/>
    </row>
    <row r="20" spans="2:6">
      <c r="B20" s="6" t="s">
        <v>26</v>
      </c>
      <c r="D20" s="8">
        <f>D19-D18</f>
        <v>127800000</v>
      </c>
      <c r="E20" s="15">
        <f>D20/D19</f>
        <v>0.35718278367803241</v>
      </c>
      <c r="F20" s="6"/>
    </row>
    <row r="21" spans="2:6">
      <c r="B21" s="6" t="s">
        <v>13</v>
      </c>
      <c r="D21" s="46">
        <v>0.115</v>
      </c>
      <c r="E21" s="171"/>
      <c r="F21" s="6"/>
    </row>
    <row r="22" spans="2:6">
      <c r="B22" s="6" t="s">
        <v>1</v>
      </c>
      <c r="D22" s="8">
        <v>2000</v>
      </c>
      <c r="E22" s="6" t="s">
        <v>8</v>
      </c>
      <c r="F22" s="56" t="str">
        <f>D22&amp;"con"</f>
        <v>2000con</v>
      </c>
    </row>
    <row r="23" spans="2:6">
      <c r="B23" s="6" t="s">
        <v>342</v>
      </c>
      <c r="D23" s="8">
        <v>13000</v>
      </c>
      <c r="E23" s="173" t="s">
        <v>343</v>
      </c>
      <c r="F23" s="6"/>
    </row>
    <row r="24" spans="2:6">
      <c r="B24" s="6" t="s">
        <v>344</v>
      </c>
      <c r="D24" s="8">
        <v>10000</v>
      </c>
      <c r="E24" s="6" t="s">
        <v>343</v>
      </c>
    </row>
    <row r="25" spans="2:6">
      <c r="B25" s="6" t="s">
        <v>345</v>
      </c>
      <c r="D25" s="6">
        <v>1.5</v>
      </c>
      <c r="E25" s="6" t="s">
        <v>11</v>
      </c>
    </row>
  </sheetData>
  <pageMargins left="0.75" right="0.75" top="1" bottom="1" header="0.5" footer="0.5"/>
  <pageSetup paperSize="9" orientation="portrait" verticalDpi="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H37"/>
  <sheetViews>
    <sheetView workbookViewId="0">
      <selection activeCell="J13" sqref="J13"/>
    </sheetView>
  </sheetViews>
  <sheetFormatPr defaultRowHeight="16.5"/>
  <cols>
    <col min="1" max="1" width="32.7109375" style="523" customWidth="1"/>
    <col min="2" max="2" width="8.140625" style="523" bestFit="1" customWidth="1"/>
    <col min="3" max="3" width="10.7109375" style="523" bestFit="1" customWidth="1"/>
    <col min="4" max="4" width="10" style="523" bestFit="1" customWidth="1"/>
    <col min="5" max="5" width="14.140625" style="523" bestFit="1" customWidth="1"/>
    <col min="6" max="6" width="16.42578125" style="523" bestFit="1" customWidth="1"/>
    <col min="7" max="7" width="12.7109375" style="523" bestFit="1" customWidth="1"/>
    <col min="8" max="8" width="13.140625" style="523" bestFit="1" customWidth="1"/>
    <col min="9" max="256" width="9.140625" style="523"/>
    <col min="257" max="257" width="24" style="523" customWidth="1"/>
    <col min="258" max="258" width="8.28515625" style="523" customWidth="1"/>
    <col min="259" max="259" width="9.5703125" style="523" bestFit="1" customWidth="1"/>
    <col min="260" max="260" width="12.5703125" style="523" customWidth="1"/>
    <col min="261" max="261" width="13.85546875" style="523" customWidth="1"/>
    <col min="262" max="262" width="10.7109375" style="523" customWidth="1"/>
    <col min="263" max="263" width="12.28515625" style="523" customWidth="1"/>
    <col min="264" max="264" width="13.140625" style="523" bestFit="1" customWidth="1"/>
    <col min="265" max="512" width="9.140625" style="523"/>
    <col min="513" max="513" width="24" style="523" customWidth="1"/>
    <col min="514" max="514" width="8.28515625" style="523" customWidth="1"/>
    <col min="515" max="515" width="9.5703125" style="523" bestFit="1" customWidth="1"/>
    <col min="516" max="516" width="12.5703125" style="523" customWidth="1"/>
    <col min="517" max="517" width="13.85546875" style="523" customWidth="1"/>
    <col min="518" max="518" width="10.7109375" style="523" customWidth="1"/>
    <col min="519" max="519" width="12.28515625" style="523" customWidth="1"/>
    <col min="520" max="520" width="13.140625" style="523" bestFit="1" customWidth="1"/>
    <col min="521" max="768" width="9.140625" style="523"/>
    <col min="769" max="769" width="24" style="523" customWidth="1"/>
    <col min="770" max="770" width="8.28515625" style="523" customWidth="1"/>
    <col min="771" max="771" width="9.5703125" style="523" bestFit="1" customWidth="1"/>
    <col min="772" max="772" width="12.5703125" style="523" customWidth="1"/>
    <col min="773" max="773" width="13.85546875" style="523" customWidth="1"/>
    <col min="774" max="774" width="10.7109375" style="523" customWidth="1"/>
    <col min="775" max="775" width="12.28515625" style="523" customWidth="1"/>
    <col min="776" max="776" width="13.140625" style="523" bestFit="1" customWidth="1"/>
    <col min="777" max="1024" width="9.140625" style="523"/>
    <col min="1025" max="1025" width="24" style="523" customWidth="1"/>
    <col min="1026" max="1026" width="8.28515625" style="523" customWidth="1"/>
    <col min="1027" max="1027" width="9.5703125" style="523" bestFit="1" customWidth="1"/>
    <col min="1028" max="1028" width="12.5703125" style="523" customWidth="1"/>
    <col min="1029" max="1029" width="13.85546875" style="523" customWidth="1"/>
    <col min="1030" max="1030" width="10.7109375" style="523" customWidth="1"/>
    <col min="1031" max="1031" width="12.28515625" style="523" customWidth="1"/>
    <col min="1032" max="1032" width="13.140625" style="523" bestFit="1" customWidth="1"/>
    <col min="1033" max="1280" width="9.140625" style="523"/>
    <col min="1281" max="1281" width="24" style="523" customWidth="1"/>
    <col min="1282" max="1282" width="8.28515625" style="523" customWidth="1"/>
    <col min="1283" max="1283" width="9.5703125" style="523" bestFit="1" customWidth="1"/>
    <col min="1284" max="1284" width="12.5703125" style="523" customWidth="1"/>
    <col min="1285" max="1285" width="13.85546875" style="523" customWidth="1"/>
    <col min="1286" max="1286" width="10.7109375" style="523" customWidth="1"/>
    <col min="1287" max="1287" width="12.28515625" style="523" customWidth="1"/>
    <col min="1288" max="1288" width="13.140625" style="523" bestFit="1" customWidth="1"/>
    <col min="1289" max="1536" width="9.140625" style="523"/>
    <col min="1537" max="1537" width="24" style="523" customWidth="1"/>
    <col min="1538" max="1538" width="8.28515625" style="523" customWidth="1"/>
    <col min="1539" max="1539" width="9.5703125" style="523" bestFit="1" customWidth="1"/>
    <col min="1540" max="1540" width="12.5703125" style="523" customWidth="1"/>
    <col min="1541" max="1541" width="13.85546875" style="523" customWidth="1"/>
    <col min="1542" max="1542" width="10.7109375" style="523" customWidth="1"/>
    <col min="1543" max="1543" width="12.28515625" style="523" customWidth="1"/>
    <col min="1544" max="1544" width="13.140625" style="523" bestFit="1" customWidth="1"/>
    <col min="1545" max="1792" width="9.140625" style="523"/>
    <col min="1793" max="1793" width="24" style="523" customWidth="1"/>
    <col min="1794" max="1794" width="8.28515625" style="523" customWidth="1"/>
    <col min="1795" max="1795" width="9.5703125" style="523" bestFit="1" customWidth="1"/>
    <col min="1796" max="1796" width="12.5703125" style="523" customWidth="1"/>
    <col min="1797" max="1797" width="13.85546875" style="523" customWidth="1"/>
    <col min="1798" max="1798" width="10.7109375" style="523" customWidth="1"/>
    <col min="1799" max="1799" width="12.28515625" style="523" customWidth="1"/>
    <col min="1800" max="1800" width="13.140625" style="523" bestFit="1" customWidth="1"/>
    <col min="1801" max="2048" width="9.140625" style="523"/>
    <col min="2049" max="2049" width="24" style="523" customWidth="1"/>
    <col min="2050" max="2050" width="8.28515625" style="523" customWidth="1"/>
    <col min="2051" max="2051" width="9.5703125" style="523" bestFit="1" customWidth="1"/>
    <col min="2052" max="2052" width="12.5703125" style="523" customWidth="1"/>
    <col min="2053" max="2053" width="13.85546875" style="523" customWidth="1"/>
    <col min="2054" max="2054" width="10.7109375" style="523" customWidth="1"/>
    <col min="2055" max="2055" width="12.28515625" style="523" customWidth="1"/>
    <col min="2056" max="2056" width="13.140625" style="523" bestFit="1" customWidth="1"/>
    <col min="2057" max="2304" width="9.140625" style="523"/>
    <col min="2305" max="2305" width="24" style="523" customWidth="1"/>
    <col min="2306" max="2306" width="8.28515625" style="523" customWidth="1"/>
    <col min="2307" max="2307" width="9.5703125" style="523" bestFit="1" customWidth="1"/>
    <col min="2308" max="2308" width="12.5703125" style="523" customWidth="1"/>
    <col min="2309" max="2309" width="13.85546875" style="523" customWidth="1"/>
    <col min="2310" max="2310" width="10.7109375" style="523" customWidth="1"/>
    <col min="2311" max="2311" width="12.28515625" style="523" customWidth="1"/>
    <col min="2312" max="2312" width="13.140625" style="523" bestFit="1" customWidth="1"/>
    <col min="2313" max="2560" width="9.140625" style="523"/>
    <col min="2561" max="2561" width="24" style="523" customWidth="1"/>
    <col min="2562" max="2562" width="8.28515625" style="523" customWidth="1"/>
    <col min="2563" max="2563" width="9.5703125" style="523" bestFit="1" customWidth="1"/>
    <col min="2564" max="2564" width="12.5703125" style="523" customWidth="1"/>
    <col min="2565" max="2565" width="13.85546875" style="523" customWidth="1"/>
    <col min="2566" max="2566" width="10.7109375" style="523" customWidth="1"/>
    <col min="2567" max="2567" width="12.28515625" style="523" customWidth="1"/>
    <col min="2568" max="2568" width="13.140625" style="523" bestFit="1" customWidth="1"/>
    <col min="2569" max="2816" width="9.140625" style="523"/>
    <col min="2817" max="2817" width="24" style="523" customWidth="1"/>
    <col min="2818" max="2818" width="8.28515625" style="523" customWidth="1"/>
    <col min="2819" max="2819" width="9.5703125" style="523" bestFit="1" customWidth="1"/>
    <col min="2820" max="2820" width="12.5703125" style="523" customWidth="1"/>
    <col min="2821" max="2821" width="13.85546875" style="523" customWidth="1"/>
    <col min="2822" max="2822" width="10.7109375" style="523" customWidth="1"/>
    <col min="2823" max="2823" width="12.28515625" style="523" customWidth="1"/>
    <col min="2824" max="2824" width="13.140625" style="523" bestFit="1" customWidth="1"/>
    <col min="2825" max="3072" width="9.140625" style="523"/>
    <col min="3073" max="3073" width="24" style="523" customWidth="1"/>
    <col min="3074" max="3074" width="8.28515625" style="523" customWidth="1"/>
    <col min="3075" max="3075" width="9.5703125" style="523" bestFit="1" customWidth="1"/>
    <col min="3076" max="3076" width="12.5703125" style="523" customWidth="1"/>
    <col min="3077" max="3077" width="13.85546875" style="523" customWidth="1"/>
    <col min="3078" max="3078" width="10.7109375" style="523" customWidth="1"/>
    <col min="3079" max="3079" width="12.28515625" style="523" customWidth="1"/>
    <col min="3080" max="3080" width="13.140625" style="523" bestFit="1" customWidth="1"/>
    <col min="3081" max="3328" width="9.140625" style="523"/>
    <col min="3329" max="3329" width="24" style="523" customWidth="1"/>
    <col min="3330" max="3330" width="8.28515625" style="523" customWidth="1"/>
    <col min="3331" max="3331" width="9.5703125" style="523" bestFit="1" customWidth="1"/>
    <col min="3332" max="3332" width="12.5703125" style="523" customWidth="1"/>
    <col min="3333" max="3333" width="13.85546875" style="523" customWidth="1"/>
    <col min="3334" max="3334" width="10.7109375" style="523" customWidth="1"/>
    <col min="3335" max="3335" width="12.28515625" style="523" customWidth="1"/>
    <col min="3336" max="3336" width="13.140625" style="523" bestFit="1" customWidth="1"/>
    <col min="3337" max="3584" width="9.140625" style="523"/>
    <col min="3585" max="3585" width="24" style="523" customWidth="1"/>
    <col min="3586" max="3586" width="8.28515625" style="523" customWidth="1"/>
    <col min="3587" max="3587" width="9.5703125" style="523" bestFit="1" customWidth="1"/>
    <col min="3588" max="3588" width="12.5703125" style="523" customWidth="1"/>
    <col min="3589" max="3589" width="13.85546875" style="523" customWidth="1"/>
    <col min="3590" max="3590" width="10.7109375" style="523" customWidth="1"/>
    <col min="3591" max="3591" width="12.28515625" style="523" customWidth="1"/>
    <col min="3592" max="3592" width="13.140625" style="523" bestFit="1" customWidth="1"/>
    <col min="3593" max="3840" width="9.140625" style="523"/>
    <col min="3841" max="3841" width="24" style="523" customWidth="1"/>
    <col min="3842" max="3842" width="8.28515625" style="523" customWidth="1"/>
    <col min="3843" max="3843" width="9.5703125" style="523" bestFit="1" customWidth="1"/>
    <col min="3844" max="3844" width="12.5703125" style="523" customWidth="1"/>
    <col min="3845" max="3845" width="13.85546875" style="523" customWidth="1"/>
    <col min="3846" max="3846" width="10.7109375" style="523" customWidth="1"/>
    <col min="3847" max="3847" width="12.28515625" style="523" customWidth="1"/>
    <col min="3848" max="3848" width="13.140625" style="523" bestFit="1" customWidth="1"/>
    <col min="3849" max="4096" width="9.140625" style="523"/>
    <col min="4097" max="4097" width="24" style="523" customWidth="1"/>
    <col min="4098" max="4098" width="8.28515625" style="523" customWidth="1"/>
    <col min="4099" max="4099" width="9.5703125" style="523" bestFit="1" customWidth="1"/>
    <col min="4100" max="4100" width="12.5703125" style="523" customWidth="1"/>
    <col min="4101" max="4101" width="13.85546875" style="523" customWidth="1"/>
    <col min="4102" max="4102" width="10.7109375" style="523" customWidth="1"/>
    <col min="4103" max="4103" width="12.28515625" style="523" customWidth="1"/>
    <col min="4104" max="4104" width="13.140625" style="523" bestFit="1" customWidth="1"/>
    <col min="4105" max="4352" width="9.140625" style="523"/>
    <col min="4353" max="4353" width="24" style="523" customWidth="1"/>
    <col min="4354" max="4354" width="8.28515625" style="523" customWidth="1"/>
    <col min="4355" max="4355" width="9.5703125" style="523" bestFit="1" customWidth="1"/>
    <col min="4356" max="4356" width="12.5703125" style="523" customWidth="1"/>
    <col min="4357" max="4357" width="13.85546875" style="523" customWidth="1"/>
    <col min="4358" max="4358" width="10.7109375" style="523" customWidth="1"/>
    <col min="4359" max="4359" width="12.28515625" style="523" customWidth="1"/>
    <col min="4360" max="4360" width="13.140625" style="523" bestFit="1" customWidth="1"/>
    <col min="4361" max="4608" width="9.140625" style="523"/>
    <col min="4609" max="4609" width="24" style="523" customWidth="1"/>
    <col min="4610" max="4610" width="8.28515625" style="523" customWidth="1"/>
    <col min="4611" max="4611" width="9.5703125" style="523" bestFit="1" customWidth="1"/>
    <col min="4612" max="4612" width="12.5703125" style="523" customWidth="1"/>
    <col min="4613" max="4613" width="13.85546875" style="523" customWidth="1"/>
    <col min="4614" max="4614" width="10.7109375" style="523" customWidth="1"/>
    <col min="4615" max="4615" width="12.28515625" style="523" customWidth="1"/>
    <col min="4616" max="4616" width="13.140625" style="523" bestFit="1" customWidth="1"/>
    <col min="4617" max="4864" width="9.140625" style="523"/>
    <col min="4865" max="4865" width="24" style="523" customWidth="1"/>
    <col min="4866" max="4866" width="8.28515625" style="523" customWidth="1"/>
    <col min="4867" max="4867" width="9.5703125" style="523" bestFit="1" customWidth="1"/>
    <col min="4868" max="4868" width="12.5703125" style="523" customWidth="1"/>
    <col min="4869" max="4869" width="13.85546875" style="523" customWidth="1"/>
    <col min="4870" max="4870" width="10.7109375" style="523" customWidth="1"/>
    <col min="4871" max="4871" width="12.28515625" style="523" customWidth="1"/>
    <col min="4872" max="4872" width="13.140625" style="523" bestFit="1" customWidth="1"/>
    <col min="4873" max="5120" width="9.140625" style="523"/>
    <col min="5121" max="5121" width="24" style="523" customWidth="1"/>
    <col min="5122" max="5122" width="8.28515625" style="523" customWidth="1"/>
    <col min="5123" max="5123" width="9.5703125" style="523" bestFit="1" customWidth="1"/>
    <col min="5124" max="5124" width="12.5703125" style="523" customWidth="1"/>
    <col min="5125" max="5125" width="13.85546875" style="523" customWidth="1"/>
    <col min="5126" max="5126" width="10.7109375" style="523" customWidth="1"/>
    <col min="5127" max="5127" width="12.28515625" style="523" customWidth="1"/>
    <col min="5128" max="5128" width="13.140625" style="523" bestFit="1" customWidth="1"/>
    <col min="5129" max="5376" width="9.140625" style="523"/>
    <col min="5377" max="5377" width="24" style="523" customWidth="1"/>
    <col min="5378" max="5378" width="8.28515625" style="523" customWidth="1"/>
    <col min="5379" max="5379" width="9.5703125" style="523" bestFit="1" customWidth="1"/>
    <col min="5380" max="5380" width="12.5703125" style="523" customWidth="1"/>
    <col min="5381" max="5381" width="13.85546875" style="523" customWidth="1"/>
    <col min="5382" max="5382" width="10.7109375" style="523" customWidth="1"/>
    <col min="5383" max="5383" width="12.28515625" style="523" customWidth="1"/>
    <col min="5384" max="5384" width="13.140625" style="523" bestFit="1" customWidth="1"/>
    <col min="5385" max="5632" width="9.140625" style="523"/>
    <col min="5633" max="5633" width="24" style="523" customWidth="1"/>
    <col min="5634" max="5634" width="8.28515625" style="523" customWidth="1"/>
    <col min="5635" max="5635" width="9.5703125" style="523" bestFit="1" customWidth="1"/>
    <col min="5636" max="5636" width="12.5703125" style="523" customWidth="1"/>
    <col min="5637" max="5637" width="13.85546875" style="523" customWidth="1"/>
    <col min="5638" max="5638" width="10.7109375" style="523" customWidth="1"/>
    <col min="5639" max="5639" width="12.28515625" style="523" customWidth="1"/>
    <col min="5640" max="5640" width="13.140625" style="523" bestFit="1" customWidth="1"/>
    <col min="5641" max="5888" width="9.140625" style="523"/>
    <col min="5889" max="5889" width="24" style="523" customWidth="1"/>
    <col min="5890" max="5890" width="8.28515625" style="523" customWidth="1"/>
    <col min="5891" max="5891" width="9.5703125" style="523" bestFit="1" customWidth="1"/>
    <col min="5892" max="5892" width="12.5703125" style="523" customWidth="1"/>
    <col min="5893" max="5893" width="13.85546875" style="523" customWidth="1"/>
    <col min="5894" max="5894" width="10.7109375" style="523" customWidth="1"/>
    <col min="5895" max="5895" width="12.28515625" style="523" customWidth="1"/>
    <col min="5896" max="5896" width="13.140625" style="523" bestFit="1" customWidth="1"/>
    <col min="5897" max="6144" width="9.140625" style="523"/>
    <col min="6145" max="6145" width="24" style="523" customWidth="1"/>
    <col min="6146" max="6146" width="8.28515625" style="523" customWidth="1"/>
    <col min="6147" max="6147" width="9.5703125" style="523" bestFit="1" customWidth="1"/>
    <col min="6148" max="6148" width="12.5703125" style="523" customWidth="1"/>
    <col min="6149" max="6149" width="13.85546875" style="523" customWidth="1"/>
    <col min="6150" max="6150" width="10.7109375" style="523" customWidth="1"/>
    <col min="6151" max="6151" width="12.28515625" style="523" customWidth="1"/>
    <col min="6152" max="6152" width="13.140625" style="523" bestFit="1" customWidth="1"/>
    <col min="6153" max="6400" width="9.140625" style="523"/>
    <col min="6401" max="6401" width="24" style="523" customWidth="1"/>
    <col min="6402" max="6402" width="8.28515625" style="523" customWidth="1"/>
    <col min="6403" max="6403" width="9.5703125" style="523" bestFit="1" customWidth="1"/>
    <col min="6404" max="6404" width="12.5703125" style="523" customWidth="1"/>
    <col min="6405" max="6405" width="13.85546875" style="523" customWidth="1"/>
    <col min="6406" max="6406" width="10.7109375" style="523" customWidth="1"/>
    <col min="6407" max="6407" width="12.28515625" style="523" customWidth="1"/>
    <col min="6408" max="6408" width="13.140625" style="523" bestFit="1" customWidth="1"/>
    <col min="6409" max="6656" width="9.140625" style="523"/>
    <col min="6657" max="6657" width="24" style="523" customWidth="1"/>
    <col min="6658" max="6658" width="8.28515625" style="523" customWidth="1"/>
    <col min="6659" max="6659" width="9.5703125" style="523" bestFit="1" customWidth="1"/>
    <col min="6660" max="6660" width="12.5703125" style="523" customWidth="1"/>
    <col min="6661" max="6661" width="13.85546875" style="523" customWidth="1"/>
    <col min="6662" max="6662" width="10.7109375" style="523" customWidth="1"/>
    <col min="6663" max="6663" width="12.28515625" style="523" customWidth="1"/>
    <col min="6664" max="6664" width="13.140625" style="523" bestFit="1" customWidth="1"/>
    <col min="6665" max="6912" width="9.140625" style="523"/>
    <col min="6913" max="6913" width="24" style="523" customWidth="1"/>
    <col min="6914" max="6914" width="8.28515625" style="523" customWidth="1"/>
    <col min="6915" max="6915" width="9.5703125" style="523" bestFit="1" customWidth="1"/>
    <col min="6916" max="6916" width="12.5703125" style="523" customWidth="1"/>
    <col min="6917" max="6917" width="13.85546875" style="523" customWidth="1"/>
    <col min="6918" max="6918" width="10.7109375" style="523" customWidth="1"/>
    <col min="6919" max="6919" width="12.28515625" style="523" customWidth="1"/>
    <col min="6920" max="6920" width="13.140625" style="523" bestFit="1" customWidth="1"/>
    <col min="6921" max="7168" width="9.140625" style="523"/>
    <col min="7169" max="7169" width="24" style="523" customWidth="1"/>
    <col min="7170" max="7170" width="8.28515625" style="523" customWidth="1"/>
    <col min="7171" max="7171" width="9.5703125" style="523" bestFit="1" customWidth="1"/>
    <col min="7172" max="7172" width="12.5703125" style="523" customWidth="1"/>
    <col min="7173" max="7173" width="13.85546875" style="523" customWidth="1"/>
    <col min="7174" max="7174" width="10.7109375" style="523" customWidth="1"/>
    <col min="7175" max="7175" width="12.28515625" style="523" customWidth="1"/>
    <col min="7176" max="7176" width="13.140625" style="523" bestFit="1" customWidth="1"/>
    <col min="7177" max="7424" width="9.140625" style="523"/>
    <col min="7425" max="7425" width="24" style="523" customWidth="1"/>
    <col min="7426" max="7426" width="8.28515625" style="523" customWidth="1"/>
    <col min="7427" max="7427" width="9.5703125" style="523" bestFit="1" customWidth="1"/>
    <col min="7428" max="7428" width="12.5703125" style="523" customWidth="1"/>
    <col min="7429" max="7429" width="13.85546875" style="523" customWidth="1"/>
    <col min="7430" max="7430" width="10.7109375" style="523" customWidth="1"/>
    <col min="7431" max="7431" width="12.28515625" style="523" customWidth="1"/>
    <col min="7432" max="7432" width="13.140625" style="523" bestFit="1" customWidth="1"/>
    <col min="7433" max="7680" width="9.140625" style="523"/>
    <col min="7681" max="7681" width="24" style="523" customWidth="1"/>
    <col min="7682" max="7682" width="8.28515625" style="523" customWidth="1"/>
    <col min="7683" max="7683" width="9.5703125" style="523" bestFit="1" customWidth="1"/>
    <col min="7684" max="7684" width="12.5703125" style="523" customWidth="1"/>
    <col min="7685" max="7685" width="13.85546875" style="523" customWidth="1"/>
    <col min="7686" max="7686" width="10.7109375" style="523" customWidth="1"/>
    <col min="7687" max="7687" width="12.28515625" style="523" customWidth="1"/>
    <col min="7688" max="7688" width="13.140625" style="523" bestFit="1" customWidth="1"/>
    <col min="7689" max="7936" width="9.140625" style="523"/>
    <col min="7937" max="7937" width="24" style="523" customWidth="1"/>
    <col min="7938" max="7938" width="8.28515625" style="523" customWidth="1"/>
    <col min="7939" max="7939" width="9.5703125" style="523" bestFit="1" customWidth="1"/>
    <col min="7940" max="7940" width="12.5703125" style="523" customWidth="1"/>
    <col min="7941" max="7941" width="13.85546875" style="523" customWidth="1"/>
    <col min="7942" max="7942" width="10.7109375" style="523" customWidth="1"/>
    <col min="7943" max="7943" width="12.28515625" style="523" customWidth="1"/>
    <col min="7944" max="7944" width="13.140625" style="523" bestFit="1" customWidth="1"/>
    <col min="7945" max="8192" width="9.140625" style="523"/>
    <col min="8193" max="8193" width="24" style="523" customWidth="1"/>
    <col min="8194" max="8194" width="8.28515625" style="523" customWidth="1"/>
    <col min="8195" max="8195" width="9.5703125" style="523" bestFit="1" customWidth="1"/>
    <col min="8196" max="8196" width="12.5703125" style="523" customWidth="1"/>
    <col min="8197" max="8197" width="13.85546875" style="523" customWidth="1"/>
    <col min="8198" max="8198" width="10.7109375" style="523" customWidth="1"/>
    <col min="8199" max="8199" width="12.28515625" style="523" customWidth="1"/>
    <col min="8200" max="8200" width="13.140625" style="523" bestFit="1" customWidth="1"/>
    <col min="8201" max="8448" width="9.140625" style="523"/>
    <col min="8449" max="8449" width="24" style="523" customWidth="1"/>
    <col min="8450" max="8450" width="8.28515625" style="523" customWidth="1"/>
    <col min="8451" max="8451" width="9.5703125" style="523" bestFit="1" customWidth="1"/>
    <col min="8452" max="8452" width="12.5703125" style="523" customWidth="1"/>
    <col min="8453" max="8453" width="13.85546875" style="523" customWidth="1"/>
    <col min="8454" max="8454" width="10.7109375" style="523" customWidth="1"/>
    <col min="8455" max="8455" width="12.28515625" style="523" customWidth="1"/>
    <col min="8456" max="8456" width="13.140625" style="523" bestFit="1" customWidth="1"/>
    <col min="8457" max="8704" width="9.140625" style="523"/>
    <col min="8705" max="8705" width="24" style="523" customWidth="1"/>
    <col min="8706" max="8706" width="8.28515625" style="523" customWidth="1"/>
    <col min="8707" max="8707" width="9.5703125" style="523" bestFit="1" customWidth="1"/>
    <col min="8708" max="8708" width="12.5703125" style="523" customWidth="1"/>
    <col min="8709" max="8709" width="13.85546875" style="523" customWidth="1"/>
    <col min="8710" max="8710" width="10.7109375" style="523" customWidth="1"/>
    <col min="8711" max="8711" width="12.28515625" style="523" customWidth="1"/>
    <col min="8712" max="8712" width="13.140625" style="523" bestFit="1" customWidth="1"/>
    <col min="8713" max="8960" width="9.140625" style="523"/>
    <col min="8961" max="8961" width="24" style="523" customWidth="1"/>
    <col min="8962" max="8962" width="8.28515625" style="523" customWidth="1"/>
    <col min="8963" max="8963" width="9.5703125" style="523" bestFit="1" customWidth="1"/>
    <col min="8964" max="8964" width="12.5703125" style="523" customWidth="1"/>
    <col min="8965" max="8965" width="13.85546875" style="523" customWidth="1"/>
    <col min="8966" max="8966" width="10.7109375" style="523" customWidth="1"/>
    <col min="8967" max="8967" width="12.28515625" style="523" customWidth="1"/>
    <col min="8968" max="8968" width="13.140625" style="523" bestFit="1" customWidth="1"/>
    <col min="8969" max="9216" width="9.140625" style="523"/>
    <col min="9217" max="9217" width="24" style="523" customWidth="1"/>
    <col min="9218" max="9218" width="8.28515625" style="523" customWidth="1"/>
    <col min="9219" max="9219" width="9.5703125" style="523" bestFit="1" customWidth="1"/>
    <col min="9220" max="9220" width="12.5703125" style="523" customWidth="1"/>
    <col min="9221" max="9221" width="13.85546875" style="523" customWidth="1"/>
    <col min="9222" max="9222" width="10.7109375" style="523" customWidth="1"/>
    <col min="9223" max="9223" width="12.28515625" style="523" customWidth="1"/>
    <col min="9224" max="9224" width="13.140625" style="523" bestFit="1" customWidth="1"/>
    <col min="9225" max="9472" width="9.140625" style="523"/>
    <col min="9473" max="9473" width="24" style="523" customWidth="1"/>
    <col min="9474" max="9474" width="8.28515625" style="523" customWidth="1"/>
    <col min="9475" max="9475" width="9.5703125" style="523" bestFit="1" customWidth="1"/>
    <col min="9476" max="9476" width="12.5703125" style="523" customWidth="1"/>
    <col min="9477" max="9477" width="13.85546875" style="523" customWidth="1"/>
    <col min="9478" max="9478" width="10.7109375" style="523" customWidth="1"/>
    <col min="9479" max="9479" width="12.28515625" style="523" customWidth="1"/>
    <col min="9480" max="9480" width="13.140625" style="523" bestFit="1" customWidth="1"/>
    <col min="9481" max="9728" width="9.140625" style="523"/>
    <col min="9729" max="9729" width="24" style="523" customWidth="1"/>
    <col min="9730" max="9730" width="8.28515625" style="523" customWidth="1"/>
    <col min="9731" max="9731" width="9.5703125" style="523" bestFit="1" customWidth="1"/>
    <col min="9732" max="9732" width="12.5703125" style="523" customWidth="1"/>
    <col min="9733" max="9733" width="13.85546875" style="523" customWidth="1"/>
    <col min="9734" max="9734" width="10.7109375" style="523" customWidth="1"/>
    <col min="9735" max="9735" width="12.28515625" style="523" customWidth="1"/>
    <col min="9736" max="9736" width="13.140625" style="523" bestFit="1" customWidth="1"/>
    <col min="9737" max="9984" width="9.140625" style="523"/>
    <col min="9985" max="9985" width="24" style="523" customWidth="1"/>
    <col min="9986" max="9986" width="8.28515625" style="523" customWidth="1"/>
    <col min="9987" max="9987" width="9.5703125" style="523" bestFit="1" customWidth="1"/>
    <col min="9988" max="9988" width="12.5703125" style="523" customWidth="1"/>
    <col min="9989" max="9989" width="13.85546875" style="523" customWidth="1"/>
    <col min="9990" max="9990" width="10.7109375" style="523" customWidth="1"/>
    <col min="9991" max="9991" width="12.28515625" style="523" customWidth="1"/>
    <col min="9992" max="9992" width="13.140625" style="523" bestFit="1" customWidth="1"/>
    <col min="9993" max="10240" width="9.140625" style="523"/>
    <col min="10241" max="10241" width="24" style="523" customWidth="1"/>
    <col min="10242" max="10242" width="8.28515625" style="523" customWidth="1"/>
    <col min="10243" max="10243" width="9.5703125" style="523" bestFit="1" customWidth="1"/>
    <col min="10244" max="10244" width="12.5703125" style="523" customWidth="1"/>
    <col min="10245" max="10245" width="13.85546875" style="523" customWidth="1"/>
    <col min="10246" max="10246" width="10.7109375" style="523" customWidth="1"/>
    <col min="10247" max="10247" width="12.28515625" style="523" customWidth="1"/>
    <col min="10248" max="10248" width="13.140625" style="523" bestFit="1" customWidth="1"/>
    <col min="10249" max="10496" width="9.140625" style="523"/>
    <col min="10497" max="10497" width="24" style="523" customWidth="1"/>
    <col min="10498" max="10498" width="8.28515625" style="523" customWidth="1"/>
    <col min="10499" max="10499" width="9.5703125" style="523" bestFit="1" customWidth="1"/>
    <col min="10500" max="10500" width="12.5703125" style="523" customWidth="1"/>
    <col min="10501" max="10501" width="13.85546875" style="523" customWidth="1"/>
    <col min="10502" max="10502" width="10.7109375" style="523" customWidth="1"/>
    <col min="10503" max="10503" width="12.28515625" style="523" customWidth="1"/>
    <col min="10504" max="10504" width="13.140625" style="523" bestFit="1" customWidth="1"/>
    <col min="10505" max="10752" width="9.140625" style="523"/>
    <col min="10753" max="10753" width="24" style="523" customWidth="1"/>
    <col min="10754" max="10754" width="8.28515625" style="523" customWidth="1"/>
    <col min="10755" max="10755" width="9.5703125" style="523" bestFit="1" customWidth="1"/>
    <col min="10756" max="10756" width="12.5703125" style="523" customWidth="1"/>
    <col min="10757" max="10757" width="13.85546875" style="523" customWidth="1"/>
    <col min="10758" max="10758" width="10.7109375" style="523" customWidth="1"/>
    <col min="10759" max="10759" width="12.28515625" style="523" customWidth="1"/>
    <col min="10760" max="10760" width="13.140625" style="523" bestFit="1" customWidth="1"/>
    <col min="10761" max="11008" width="9.140625" style="523"/>
    <col min="11009" max="11009" width="24" style="523" customWidth="1"/>
    <col min="11010" max="11010" width="8.28515625" style="523" customWidth="1"/>
    <col min="11011" max="11011" width="9.5703125" style="523" bestFit="1" customWidth="1"/>
    <col min="11012" max="11012" width="12.5703125" style="523" customWidth="1"/>
    <col min="11013" max="11013" width="13.85546875" style="523" customWidth="1"/>
    <col min="11014" max="11014" width="10.7109375" style="523" customWidth="1"/>
    <col min="11015" max="11015" width="12.28515625" style="523" customWidth="1"/>
    <col min="11016" max="11016" width="13.140625" style="523" bestFit="1" customWidth="1"/>
    <col min="11017" max="11264" width="9.140625" style="523"/>
    <col min="11265" max="11265" width="24" style="523" customWidth="1"/>
    <col min="11266" max="11266" width="8.28515625" style="523" customWidth="1"/>
    <col min="11267" max="11267" width="9.5703125" style="523" bestFit="1" customWidth="1"/>
    <col min="11268" max="11268" width="12.5703125" style="523" customWidth="1"/>
    <col min="11269" max="11269" width="13.85546875" style="523" customWidth="1"/>
    <col min="11270" max="11270" width="10.7109375" style="523" customWidth="1"/>
    <col min="11271" max="11271" width="12.28515625" style="523" customWidth="1"/>
    <col min="11272" max="11272" width="13.140625" style="523" bestFit="1" customWidth="1"/>
    <col min="11273" max="11520" width="9.140625" style="523"/>
    <col min="11521" max="11521" width="24" style="523" customWidth="1"/>
    <col min="11522" max="11522" width="8.28515625" style="523" customWidth="1"/>
    <col min="11523" max="11523" width="9.5703125" style="523" bestFit="1" customWidth="1"/>
    <col min="11524" max="11524" width="12.5703125" style="523" customWidth="1"/>
    <col min="11525" max="11525" width="13.85546875" style="523" customWidth="1"/>
    <col min="11526" max="11526" width="10.7109375" style="523" customWidth="1"/>
    <col min="11527" max="11527" width="12.28515625" style="523" customWidth="1"/>
    <col min="11528" max="11528" width="13.140625" style="523" bestFit="1" customWidth="1"/>
    <col min="11529" max="11776" width="9.140625" style="523"/>
    <col min="11777" max="11777" width="24" style="523" customWidth="1"/>
    <col min="11778" max="11778" width="8.28515625" style="523" customWidth="1"/>
    <col min="11779" max="11779" width="9.5703125" style="523" bestFit="1" customWidth="1"/>
    <col min="11780" max="11780" width="12.5703125" style="523" customWidth="1"/>
    <col min="11781" max="11781" width="13.85546875" style="523" customWidth="1"/>
    <col min="11782" max="11782" width="10.7109375" style="523" customWidth="1"/>
    <col min="11783" max="11783" width="12.28515625" style="523" customWidth="1"/>
    <col min="11784" max="11784" width="13.140625" style="523" bestFit="1" customWidth="1"/>
    <col min="11785" max="12032" width="9.140625" style="523"/>
    <col min="12033" max="12033" width="24" style="523" customWidth="1"/>
    <col min="12034" max="12034" width="8.28515625" style="523" customWidth="1"/>
    <col min="12035" max="12035" width="9.5703125" style="523" bestFit="1" customWidth="1"/>
    <col min="12036" max="12036" width="12.5703125" style="523" customWidth="1"/>
    <col min="12037" max="12037" width="13.85546875" style="523" customWidth="1"/>
    <col min="12038" max="12038" width="10.7109375" style="523" customWidth="1"/>
    <col min="12039" max="12039" width="12.28515625" style="523" customWidth="1"/>
    <col min="12040" max="12040" width="13.140625" style="523" bestFit="1" customWidth="1"/>
    <col min="12041" max="12288" width="9.140625" style="523"/>
    <col min="12289" max="12289" width="24" style="523" customWidth="1"/>
    <col min="12290" max="12290" width="8.28515625" style="523" customWidth="1"/>
    <col min="12291" max="12291" width="9.5703125" style="523" bestFit="1" customWidth="1"/>
    <col min="12292" max="12292" width="12.5703125" style="523" customWidth="1"/>
    <col min="12293" max="12293" width="13.85546875" style="523" customWidth="1"/>
    <col min="12294" max="12294" width="10.7109375" style="523" customWidth="1"/>
    <col min="12295" max="12295" width="12.28515625" style="523" customWidth="1"/>
    <col min="12296" max="12296" width="13.140625" style="523" bestFit="1" customWidth="1"/>
    <col min="12297" max="12544" width="9.140625" style="523"/>
    <col min="12545" max="12545" width="24" style="523" customWidth="1"/>
    <col min="12546" max="12546" width="8.28515625" style="523" customWidth="1"/>
    <col min="12547" max="12547" width="9.5703125" style="523" bestFit="1" customWidth="1"/>
    <col min="12548" max="12548" width="12.5703125" style="523" customWidth="1"/>
    <col min="12549" max="12549" width="13.85546875" style="523" customWidth="1"/>
    <col min="12550" max="12550" width="10.7109375" style="523" customWidth="1"/>
    <col min="12551" max="12551" width="12.28515625" style="523" customWidth="1"/>
    <col min="12552" max="12552" width="13.140625" style="523" bestFit="1" customWidth="1"/>
    <col min="12553" max="12800" width="9.140625" style="523"/>
    <col min="12801" max="12801" width="24" style="523" customWidth="1"/>
    <col min="12802" max="12802" width="8.28515625" style="523" customWidth="1"/>
    <col min="12803" max="12803" width="9.5703125" style="523" bestFit="1" customWidth="1"/>
    <col min="12804" max="12804" width="12.5703125" style="523" customWidth="1"/>
    <col min="12805" max="12805" width="13.85546875" style="523" customWidth="1"/>
    <col min="12806" max="12806" width="10.7109375" style="523" customWidth="1"/>
    <col min="12807" max="12807" width="12.28515625" style="523" customWidth="1"/>
    <col min="12808" max="12808" width="13.140625" style="523" bestFit="1" customWidth="1"/>
    <col min="12809" max="13056" width="9.140625" style="523"/>
    <col min="13057" max="13057" width="24" style="523" customWidth="1"/>
    <col min="13058" max="13058" width="8.28515625" style="523" customWidth="1"/>
    <col min="13059" max="13059" width="9.5703125" style="523" bestFit="1" customWidth="1"/>
    <col min="13060" max="13060" width="12.5703125" style="523" customWidth="1"/>
    <col min="13061" max="13061" width="13.85546875" style="523" customWidth="1"/>
    <col min="13062" max="13062" width="10.7109375" style="523" customWidth="1"/>
    <col min="13063" max="13063" width="12.28515625" style="523" customWidth="1"/>
    <col min="13064" max="13064" width="13.140625" style="523" bestFit="1" customWidth="1"/>
    <col min="13065" max="13312" width="9.140625" style="523"/>
    <col min="13313" max="13313" width="24" style="523" customWidth="1"/>
    <col min="13314" max="13314" width="8.28515625" style="523" customWidth="1"/>
    <col min="13315" max="13315" width="9.5703125" style="523" bestFit="1" customWidth="1"/>
    <col min="13316" max="13316" width="12.5703125" style="523" customWidth="1"/>
    <col min="13317" max="13317" width="13.85546875" style="523" customWidth="1"/>
    <col min="13318" max="13318" width="10.7109375" style="523" customWidth="1"/>
    <col min="13319" max="13319" width="12.28515625" style="523" customWidth="1"/>
    <col min="13320" max="13320" width="13.140625" style="523" bestFit="1" customWidth="1"/>
    <col min="13321" max="13568" width="9.140625" style="523"/>
    <col min="13569" max="13569" width="24" style="523" customWidth="1"/>
    <col min="13570" max="13570" width="8.28515625" style="523" customWidth="1"/>
    <col min="13571" max="13571" width="9.5703125" style="523" bestFit="1" customWidth="1"/>
    <col min="13572" max="13572" width="12.5703125" style="523" customWidth="1"/>
    <col min="13573" max="13573" width="13.85546875" style="523" customWidth="1"/>
    <col min="13574" max="13574" width="10.7109375" style="523" customWidth="1"/>
    <col min="13575" max="13575" width="12.28515625" style="523" customWidth="1"/>
    <col min="13576" max="13576" width="13.140625" style="523" bestFit="1" customWidth="1"/>
    <col min="13577" max="13824" width="9.140625" style="523"/>
    <col min="13825" max="13825" width="24" style="523" customWidth="1"/>
    <col min="13826" max="13826" width="8.28515625" style="523" customWidth="1"/>
    <col min="13827" max="13827" width="9.5703125" style="523" bestFit="1" customWidth="1"/>
    <col min="13828" max="13828" width="12.5703125" style="523" customWidth="1"/>
    <col min="13829" max="13829" width="13.85546875" style="523" customWidth="1"/>
    <col min="13830" max="13830" width="10.7109375" style="523" customWidth="1"/>
    <col min="13831" max="13831" width="12.28515625" style="523" customWidth="1"/>
    <col min="13832" max="13832" width="13.140625" style="523" bestFit="1" customWidth="1"/>
    <col min="13833" max="14080" width="9.140625" style="523"/>
    <col min="14081" max="14081" width="24" style="523" customWidth="1"/>
    <col min="14082" max="14082" width="8.28515625" style="523" customWidth="1"/>
    <col min="14083" max="14083" width="9.5703125" style="523" bestFit="1" customWidth="1"/>
    <col min="14084" max="14084" width="12.5703125" style="523" customWidth="1"/>
    <col min="14085" max="14085" width="13.85546875" style="523" customWidth="1"/>
    <col min="14086" max="14086" width="10.7109375" style="523" customWidth="1"/>
    <col min="14087" max="14087" width="12.28515625" style="523" customWidth="1"/>
    <col min="14088" max="14088" width="13.140625" style="523" bestFit="1" customWidth="1"/>
    <col min="14089" max="14336" width="9.140625" style="523"/>
    <col min="14337" max="14337" width="24" style="523" customWidth="1"/>
    <col min="14338" max="14338" width="8.28515625" style="523" customWidth="1"/>
    <col min="14339" max="14339" width="9.5703125" style="523" bestFit="1" customWidth="1"/>
    <col min="14340" max="14340" width="12.5703125" style="523" customWidth="1"/>
    <col min="14341" max="14341" width="13.85546875" style="523" customWidth="1"/>
    <col min="14342" max="14342" width="10.7109375" style="523" customWidth="1"/>
    <col min="14343" max="14343" width="12.28515625" style="523" customWidth="1"/>
    <col min="14344" max="14344" width="13.140625" style="523" bestFit="1" customWidth="1"/>
    <col min="14345" max="14592" width="9.140625" style="523"/>
    <col min="14593" max="14593" width="24" style="523" customWidth="1"/>
    <col min="14594" max="14594" width="8.28515625" style="523" customWidth="1"/>
    <col min="14595" max="14595" width="9.5703125" style="523" bestFit="1" customWidth="1"/>
    <col min="14596" max="14596" width="12.5703125" style="523" customWidth="1"/>
    <col min="14597" max="14597" width="13.85546875" style="523" customWidth="1"/>
    <col min="14598" max="14598" width="10.7109375" style="523" customWidth="1"/>
    <col min="14599" max="14599" width="12.28515625" style="523" customWidth="1"/>
    <col min="14600" max="14600" width="13.140625" style="523" bestFit="1" customWidth="1"/>
    <col min="14601" max="14848" width="9.140625" style="523"/>
    <col min="14849" max="14849" width="24" style="523" customWidth="1"/>
    <col min="14850" max="14850" width="8.28515625" style="523" customWidth="1"/>
    <col min="14851" max="14851" width="9.5703125" style="523" bestFit="1" customWidth="1"/>
    <col min="14852" max="14852" width="12.5703125" style="523" customWidth="1"/>
    <col min="14853" max="14853" width="13.85546875" style="523" customWidth="1"/>
    <col min="14854" max="14854" width="10.7109375" style="523" customWidth="1"/>
    <col min="14855" max="14855" width="12.28515625" style="523" customWidth="1"/>
    <col min="14856" max="14856" width="13.140625" style="523" bestFit="1" customWidth="1"/>
    <col min="14857" max="15104" width="9.140625" style="523"/>
    <col min="15105" max="15105" width="24" style="523" customWidth="1"/>
    <col min="15106" max="15106" width="8.28515625" style="523" customWidth="1"/>
    <col min="15107" max="15107" width="9.5703125" style="523" bestFit="1" customWidth="1"/>
    <col min="15108" max="15108" width="12.5703125" style="523" customWidth="1"/>
    <col min="15109" max="15109" width="13.85546875" style="523" customWidth="1"/>
    <col min="15110" max="15110" width="10.7109375" style="523" customWidth="1"/>
    <col min="15111" max="15111" width="12.28515625" style="523" customWidth="1"/>
    <col min="15112" max="15112" width="13.140625" style="523" bestFit="1" customWidth="1"/>
    <col min="15113" max="15360" width="9.140625" style="523"/>
    <col min="15361" max="15361" width="24" style="523" customWidth="1"/>
    <col min="15362" max="15362" width="8.28515625" style="523" customWidth="1"/>
    <col min="15363" max="15363" width="9.5703125" style="523" bestFit="1" customWidth="1"/>
    <col min="15364" max="15364" width="12.5703125" style="523" customWidth="1"/>
    <col min="15365" max="15365" width="13.85546875" style="523" customWidth="1"/>
    <col min="15366" max="15366" width="10.7109375" style="523" customWidth="1"/>
    <col min="15367" max="15367" width="12.28515625" style="523" customWidth="1"/>
    <col min="15368" max="15368" width="13.140625" style="523" bestFit="1" customWidth="1"/>
    <col min="15369" max="15616" width="9.140625" style="523"/>
    <col min="15617" max="15617" width="24" style="523" customWidth="1"/>
    <col min="15618" max="15618" width="8.28515625" style="523" customWidth="1"/>
    <col min="15619" max="15619" width="9.5703125" style="523" bestFit="1" customWidth="1"/>
    <col min="15620" max="15620" width="12.5703125" style="523" customWidth="1"/>
    <col min="15621" max="15621" width="13.85546875" style="523" customWidth="1"/>
    <col min="15622" max="15622" width="10.7109375" style="523" customWidth="1"/>
    <col min="15623" max="15623" width="12.28515625" style="523" customWidth="1"/>
    <col min="15624" max="15624" width="13.140625" style="523" bestFit="1" customWidth="1"/>
    <col min="15625" max="15872" width="9.140625" style="523"/>
    <col min="15873" max="15873" width="24" style="523" customWidth="1"/>
    <col min="15874" max="15874" width="8.28515625" style="523" customWidth="1"/>
    <col min="15875" max="15875" width="9.5703125" style="523" bestFit="1" customWidth="1"/>
    <col min="15876" max="15876" width="12.5703125" style="523" customWidth="1"/>
    <col min="15877" max="15877" width="13.85546875" style="523" customWidth="1"/>
    <col min="15878" max="15878" width="10.7109375" style="523" customWidth="1"/>
    <col min="15879" max="15879" width="12.28515625" style="523" customWidth="1"/>
    <col min="15880" max="15880" width="13.140625" style="523" bestFit="1" customWidth="1"/>
    <col min="15881" max="16128" width="9.140625" style="523"/>
    <col min="16129" max="16129" width="24" style="523" customWidth="1"/>
    <col min="16130" max="16130" width="8.28515625" style="523" customWidth="1"/>
    <col min="16131" max="16131" width="9.5703125" style="523" bestFit="1" customWidth="1"/>
    <col min="16132" max="16132" width="12.5703125" style="523" customWidth="1"/>
    <col min="16133" max="16133" width="13.85546875" style="523" customWidth="1"/>
    <col min="16134" max="16134" width="10.7109375" style="523" customWidth="1"/>
    <col min="16135" max="16135" width="12.28515625" style="523" customWidth="1"/>
    <col min="16136" max="16136" width="13.140625" style="523" bestFit="1" customWidth="1"/>
    <col min="16137" max="16384" width="9.140625" style="523"/>
  </cols>
  <sheetData>
    <row r="1" spans="1:8">
      <c r="C1" s="523" t="s">
        <v>1612</v>
      </c>
      <c r="G1" s="1383" t="s">
        <v>1020</v>
      </c>
    </row>
    <row r="6" spans="1:8">
      <c r="A6" s="2402" t="s">
        <v>1611</v>
      </c>
      <c r="B6" s="2402"/>
      <c r="C6" s="2402"/>
      <c r="D6" s="2402"/>
      <c r="E6" s="2402"/>
      <c r="F6" s="2402"/>
      <c r="G6" s="2402"/>
    </row>
    <row r="7" spans="1:8">
      <c r="A7" s="2402" t="s">
        <v>1592</v>
      </c>
      <c r="B7" s="2402"/>
      <c r="C7" s="2402"/>
      <c r="D7" s="2402"/>
      <c r="E7" s="2402"/>
      <c r="F7" s="2402"/>
      <c r="G7" s="2402"/>
    </row>
    <row r="8" spans="1:8" ht="17.25" thickBot="1">
      <c r="A8" s="617"/>
      <c r="B8" s="618"/>
      <c r="C8" s="714"/>
      <c r="D8" s="617"/>
      <c r="E8" s="617"/>
      <c r="F8" s="716" t="s">
        <v>1610</v>
      </c>
      <c r="G8" s="617"/>
    </row>
    <row r="9" spans="1:8" ht="17.25" thickTop="1">
      <c r="A9" s="760"/>
      <c r="B9" s="2300" t="s">
        <v>2</v>
      </c>
      <c r="C9" s="749" t="s">
        <v>1293</v>
      </c>
      <c r="D9" s="2403" t="s">
        <v>1609</v>
      </c>
      <c r="E9" s="2404"/>
      <c r="F9" s="2403" t="s">
        <v>1249</v>
      </c>
      <c r="G9" s="2405"/>
    </row>
    <row r="10" spans="1:8">
      <c r="A10" s="746" t="s">
        <v>1294</v>
      </c>
      <c r="B10" s="745" t="s">
        <v>1291</v>
      </c>
      <c r="C10" s="744" t="s">
        <v>1290</v>
      </c>
      <c r="D10" s="2406" t="s">
        <v>1590</v>
      </c>
      <c r="E10" s="2407"/>
      <c r="F10" s="2406" t="s">
        <v>1608</v>
      </c>
      <c r="G10" s="2408"/>
    </row>
    <row r="11" spans="1:8">
      <c r="A11" s="759"/>
      <c r="B11" s="756"/>
      <c r="C11" s="758"/>
      <c r="D11" s="757" t="s">
        <v>1</v>
      </c>
      <c r="E11" s="757" t="s">
        <v>4</v>
      </c>
      <c r="F11" s="756" t="s">
        <v>1</v>
      </c>
      <c r="G11" s="755" t="s">
        <v>4</v>
      </c>
    </row>
    <row r="12" spans="1:8" s="588" customFormat="1" ht="17.25">
      <c r="A12" s="739" t="s">
        <v>1351</v>
      </c>
      <c r="B12" s="738"/>
      <c r="C12" s="737"/>
      <c r="D12" s="736"/>
      <c r="E12" s="736">
        <f>E19+E20+E21</f>
        <v>214350000</v>
      </c>
      <c r="F12" s="736"/>
      <c r="G12" s="735">
        <f>G19+G20+G21</f>
        <v>53472222.222222224</v>
      </c>
    </row>
    <row r="13" spans="1:8">
      <c r="A13" s="732" t="s">
        <v>1587</v>
      </c>
      <c r="B13" s="728" t="s">
        <v>5</v>
      </c>
      <c r="C13" s="731">
        <v>800000</v>
      </c>
      <c r="D13" s="551">
        <v>170</v>
      </c>
      <c r="E13" s="551">
        <f>C13*D13</f>
        <v>136000000</v>
      </c>
      <c r="F13" s="551"/>
      <c r="G13" s="730"/>
    </row>
    <row r="14" spans="1:8">
      <c r="A14" s="732" t="s">
        <v>1607</v>
      </c>
      <c r="B14" s="728" t="s">
        <v>1270</v>
      </c>
      <c r="C14" s="731">
        <v>6000</v>
      </c>
      <c r="D14" s="551">
        <v>1000</v>
      </c>
      <c r="E14" s="551">
        <f>C14*D14</f>
        <v>6000000</v>
      </c>
      <c r="F14" s="551">
        <v>1000</v>
      </c>
      <c r="G14" s="730">
        <f>C14*F14</f>
        <v>6000000</v>
      </c>
      <c r="H14" s="754"/>
    </row>
    <row r="15" spans="1:8">
      <c r="A15" s="732" t="s">
        <v>1606</v>
      </c>
      <c r="B15" s="728" t="s">
        <v>11</v>
      </c>
      <c r="C15" s="753">
        <v>9000</v>
      </c>
      <c r="D15" s="551">
        <v>4200</v>
      </c>
      <c r="E15" s="551">
        <f>C15*D15</f>
        <v>37800000</v>
      </c>
      <c r="F15" s="551">
        <v>4200</v>
      </c>
      <c r="G15" s="730">
        <f>C15*F15</f>
        <v>37800000</v>
      </c>
    </row>
    <row r="16" spans="1:8">
      <c r="A16" s="732" t="s">
        <v>1605</v>
      </c>
      <c r="B16" s="728" t="s">
        <v>1270</v>
      </c>
      <c r="C16" s="731"/>
      <c r="D16" s="551"/>
      <c r="E16" s="551">
        <v>1500000</v>
      </c>
      <c r="F16" s="551"/>
      <c r="G16" s="730">
        <v>1500000</v>
      </c>
    </row>
    <row r="17" spans="1:8">
      <c r="A17" s="732" t="s">
        <v>1604</v>
      </c>
      <c r="B17" s="728" t="s">
        <v>511</v>
      </c>
      <c r="C17" s="731">
        <v>150000</v>
      </c>
      <c r="D17" s="551">
        <v>25</v>
      </c>
      <c r="E17" s="551">
        <f>C17*D17</f>
        <v>3750000</v>
      </c>
      <c r="F17" s="551">
        <v>25</v>
      </c>
      <c r="G17" s="730">
        <f>C17*F17</f>
        <v>3750000</v>
      </c>
    </row>
    <row r="18" spans="1:8">
      <c r="A18" s="732" t="s">
        <v>1603</v>
      </c>
      <c r="B18" s="728" t="s">
        <v>1270</v>
      </c>
      <c r="C18" s="731"/>
      <c r="D18" s="551"/>
      <c r="E18" s="551">
        <v>300000</v>
      </c>
      <c r="F18" s="551"/>
      <c r="G18" s="730">
        <v>300000</v>
      </c>
    </row>
    <row r="19" spans="1:8" s="588" customFormat="1">
      <c r="A19" s="729" t="s">
        <v>1277</v>
      </c>
      <c r="B19" s="733"/>
      <c r="C19" s="727"/>
      <c r="D19" s="726"/>
      <c r="E19" s="725">
        <f>SUM(E13:E18)</f>
        <v>185350000</v>
      </c>
      <c r="F19" s="725"/>
      <c r="G19" s="724">
        <f>SUM(G13:G18)</f>
        <v>49350000</v>
      </c>
      <c r="H19" s="752"/>
    </row>
    <row r="20" spans="1:8">
      <c r="A20" s="732" t="s">
        <v>1602</v>
      </c>
      <c r="B20" s="728" t="s">
        <v>1270</v>
      </c>
      <c r="C20" s="731"/>
      <c r="D20" s="551"/>
      <c r="E20" s="551">
        <f>140000000*11%</f>
        <v>15400000</v>
      </c>
      <c r="F20" s="551"/>
      <c r="G20" s="730">
        <f>40000000*11%/4</f>
        <v>1100000</v>
      </c>
    </row>
    <row r="21" spans="1:8">
      <c r="A21" s="732" t="s">
        <v>1601</v>
      </c>
      <c r="B21" s="728" t="s">
        <v>1270</v>
      </c>
      <c r="C21" s="731"/>
      <c r="D21" s="551"/>
      <c r="E21" s="551">
        <f>E13/10</f>
        <v>13600000</v>
      </c>
      <c r="F21" s="551"/>
      <c r="G21" s="730">
        <f>E13/(15*3)</f>
        <v>3022222.222222222</v>
      </c>
    </row>
    <row r="22" spans="1:8">
      <c r="A22" s="729" t="s">
        <v>1600</v>
      </c>
      <c r="B22" s="733"/>
      <c r="C22" s="731"/>
      <c r="D22" s="551"/>
      <c r="E22" s="725">
        <f>SUM(E23:E25)</f>
        <v>67000000</v>
      </c>
      <c r="F22" s="725"/>
      <c r="G22" s="724">
        <f>SUM(G23:G25)</f>
        <v>67000000</v>
      </c>
    </row>
    <row r="23" spans="1:8">
      <c r="A23" s="732" t="s">
        <v>1340</v>
      </c>
      <c r="B23" s="728" t="s">
        <v>11</v>
      </c>
      <c r="C23" s="731"/>
      <c r="D23" s="551">
        <v>2200</v>
      </c>
      <c r="E23" s="551"/>
      <c r="F23" s="551">
        <v>2200</v>
      </c>
      <c r="G23" s="730"/>
    </row>
    <row r="24" spans="1:8">
      <c r="A24" s="732" t="s">
        <v>1575</v>
      </c>
      <c r="B24" s="728" t="s">
        <v>228</v>
      </c>
      <c r="C24" s="731">
        <v>200000</v>
      </c>
      <c r="D24" s="551">
        <v>5</v>
      </c>
      <c r="E24" s="551">
        <f>D24*C24</f>
        <v>1000000</v>
      </c>
      <c r="F24" s="551">
        <v>5</v>
      </c>
      <c r="G24" s="730">
        <f>F24*C24</f>
        <v>1000000</v>
      </c>
    </row>
    <row r="25" spans="1:8">
      <c r="A25" s="732" t="s">
        <v>1599</v>
      </c>
      <c r="B25" s="728" t="s">
        <v>1270</v>
      </c>
      <c r="C25" s="731">
        <v>30000</v>
      </c>
      <c r="D25" s="551"/>
      <c r="E25" s="551">
        <f>D23*C25</f>
        <v>66000000</v>
      </c>
      <c r="F25" s="551"/>
      <c r="G25" s="730">
        <f>F23*C25</f>
        <v>66000000</v>
      </c>
    </row>
    <row r="26" spans="1:8" s="588" customFormat="1">
      <c r="A26" s="729" t="s">
        <v>1271</v>
      </c>
      <c r="B26" s="728" t="s">
        <v>1270</v>
      </c>
      <c r="C26" s="727"/>
      <c r="D26" s="726"/>
      <c r="E26" s="725">
        <f>E22-G19-H20-G21</f>
        <v>14627777.777777778</v>
      </c>
      <c r="F26" s="725"/>
      <c r="G26" s="724">
        <f>G22-G12</f>
        <v>13527777.777777776</v>
      </c>
      <c r="H26" s="752"/>
    </row>
    <row r="27" spans="1:8" ht="17.25" thickBot="1">
      <c r="A27" s="587" t="s">
        <v>1269</v>
      </c>
      <c r="B27" s="723" t="s">
        <v>90</v>
      </c>
      <c r="C27" s="722"/>
      <c r="D27" s="722"/>
      <c r="E27" s="751">
        <f>E26/E22</f>
        <v>0.21832504145936982</v>
      </c>
      <c r="F27" s="751"/>
      <c r="G27" s="751">
        <f>G26/G22</f>
        <v>0.20190713101160859</v>
      </c>
    </row>
    <row r="28" spans="1:8" ht="17.25" thickTop="1">
      <c r="A28" s="617"/>
      <c r="B28" s="618"/>
      <c r="C28" s="714"/>
      <c r="D28" s="617"/>
      <c r="E28" s="617"/>
      <c r="F28" s="617"/>
      <c r="G28" s="617"/>
    </row>
    <row r="29" spans="1:8" ht="17.25">
      <c r="A29" s="577" t="s">
        <v>1268</v>
      </c>
      <c r="E29" s="717"/>
      <c r="F29" s="617"/>
      <c r="G29" s="617"/>
    </row>
    <row r="30" spans="1:8" ht="17.25">
      <c r="A30" s="716" t="s">
        <v>1573</v>
      </c>
      <c r="B30" s="618"/>
      <c r="C30" s="714"/>
      <c r="D30" s="617"/>
      <c r="E30" s="717"/>
      <c r="F30" s="617"/>
      <c r="G30" s="617"/>
    </row>
    <row r="31" spans="1:8">
      <c r="A31" s="617" t="s">
        <v>1598</v>
      </c>
      <c r="B31" s="618"/>
      <c r="C31" s="714"/>
      <c r="D31" s="617"/>
      <c r="E31" s="617"/>
      <c r="F31" s="617"/>
      <c r="G31" s="617"/>
    </row>
    <row r="32" spans="1:8">
      <c r="A32" s="617" t="s">
        <v>1597</v>
      </c>
      <c r="B32" s="618"/>
      <c r="C32" s="714"/>
      <c r="D32" s="617"/>
      <c r="E32" s="617"/>
      <c r="F32" s="617"/>
      <c r="G32" s="617"/>
    </row>
    <row r="33" spans="1:7">
      <c r="A33" s="617" t="s">
        <v>1567</v>
      </c>
      <c r="B33" s="618"/>
      <c r="C33" s="714"/>
      <c r="D33" s="617"/>
      <c r="E33" s="617"/>
      <c r="F33" s="617"/>
      <c r="G33" s="617"/>
    </row>
    <row r="34" spans="1:7">
      <c r="A34" s="716" t="s">
        <v>1570</v>
      </c>
      <c r="B34" s="618"/>
      <c r="C34" s="714"/>
      <c r="D34" s="617"/>
    </row>
    <row r="35" spans="1:7">
      <c r="A35" s="617" t="s">
        <v>1596</v>
      </c>
      <c r="B35" s="618"/>
      <c r="C35" s="714"/>
      <c r="D35" s="617"/>
    </row>
    <row r="36" spans="1:7">
      <c r="A36" s="617" t="s">
        <v>1595</v>
      </c>
      <c r="B36" s="618"/>
      <c r="C36" s="714"/>
      <c r="D36" s="617"/>
    </row>
    <row r="37" spans="1:7">
      <c r="A37" s="617" t="s">
        <v>1567</v>
      </c>
      <c r="B37" s="618"/>
      <c r="C37" s="714"/>
      <c r="D37" s="617"/>
    </row>
  </sheetData>
  <mergeCells count="6">
    <mergeCell ref="A6:G6"/>
    <mergeCell ref="A7:G7"/>
    <mergeCell ref="D9:E9"/>
    <mergeCell ref="F9:G9"/>
    <mergeCell ref="D10:E10"/>
    <mergeCell ref="F10:G10"/>
  </mergeCells>
  <pageMargins left="1" right="0.35" top="0.75" bottom="0.75" header="0.5" footer="0.5"/>
  <pageSetup orientation="portrait" r:id="rId1"/>
  <headerFooter alignWithMargins="0">
    <oddFooter>&amp;CTrang</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I37"/>
  <sheetViews>
    <sheetView workbookViewId="0">
      <selection activeCell="J13" sqref="J13"/>
    </sheetView>
  </sheetViews>
  <sheetFormatPr defaultRowHeight="16.5"/>
  <cols>
    <col min="1" max="1" width="24.28515625" style="523" customWidth="1"/>
    <col min="2" max="2" width="8.5703125" style="523" customWidth="1"/>
    <col min="3" max="3" width="10.7109375" style="523" bestFit="1" customWidth="1"/>
    <col min="4" max="4" width="14.28515625" style="523" customWidth="1"/>
    <col min="5" max="5" width="14.42578125" style="523" customWidth="1"/>
    <col min="6" max="6" width="9.7109375" style="523" customWidth="1"/>
    <col min="7" max="7" width="13.85546875" style="523" customWidth="1"/>
    <col min="8" max="8" width="9.140625" style="523"/>
    <col min="9" max="9" width="9.5703125" style="523" bestFit="1" customWidth="1"/>
    <col min="10" max="256" width="9.140625" style="523"/>
    <col min="257" max="257" width="24.28515625" style="523" customWidth="1"/>
    <col min="258" max="258" width="8.5703125" style="523" customWidth="1"/>
    <col min="259" max="259" width="9.5703125" style="523" bestFit="1" customWidth="1"/>
    <col min="260" max="260" width="14.28515625" style="523" customWidth="1"/>
    <col min="261" max="261" width="14.42578125" style="523" customWidth="1"/>
    <col min="262" max="262" width="9.7109375" style="523" customWidth="1"/>
    <col min="263" max="263" width="13.85546875" style="523" customWidth="1"/>
    <col min="264" max="264" width="9.140625" style="523"/>
    <col min="265" max="265" width="9.5703125" style="523" bestFit="1" customWidth="1"/>
    <col min="266" max="512" width="9.140625" style="523"/>
    <col min="513" max="513" width="24.28515625" style="523" customWidth="1"/>
    <col min="514" max="514" width="8.5703125" style="523" customWidth="1"/>
    <col min="515" max="515" width="9.5703125" style="523" bestFit="1" customWidth="1"/>
    <col min="516" max="516" width="14.28515625" style="523" customWidth="1"/>
    <col min="517" max="517" width="14.42578125" style="523" customWidth="1"/>
    <col min="518" max="518" width="9.7109375" style="523" customWidth="1"/>
    <col min="519" max="519" width="13.85546875" style="523" customWidth="1"/>
    <col min="520" max="520" width="9.140625" style="523"/>
    <col min="521" max="521" width="9.5703125" style="523" bestFit="1" customWidth="1"/>
    <col min="522" max="768" width="9.140625" style="523"/>
    <col min="769" max="769" width="24.28515625" style="523" customWidth="1"/>
    <col min="770" max="770" width="8.5703125" style="523" customWidth="1"/>
    <col min="771" max="771" width="9.5703125" style="523" bestFit="1" customWidth="1"/>
    <col min="772" max="772" width="14.28515625" style="523" customWidth="1"/>
    <col min="773" max="773" width="14.42578125" style="523" customWidth="1"/>
    <col min="774" max="774" width="9.7109375" style="523" customWidth="1"/>
    <col min="775" max="775" width="13.85546875" style="523" customWidth="1"/>
    <col min="776" max="776" width="9.140625" style="523"/>
    <col min="777" max="777" width="9.5703125" style="523" bestFit="1" customWidth="1"/>
    <col min="778" max="1024" width="9.140625" style="523"/>
    <col min="1025" max="1025" width="24.28515625" style="523" customWidth="1"/>
    <col min="1026" max="1026" width="8.5703125" style="523" customWidth="1"/>
    <col min="1027" max="1027" width="9.5703125" style="523" bestFit="1" customWidth="1"/>
    <col min="1028" max="1028" width="14.28515625" style="523" customWidth="1"/>
    <col min="1029" max="1029" width="14.42578125" style="523" customWidth="1"/>
    <col min="1030" max="1030" width="9.7109375" style="523" customWidth="1"/>
    <col min="1031" max="1031" width="13.85546875" style="523" customWidth="1"/>
    <col min="1032" max="1032" width="9.140625" style="523"/>
    <col min="1033" max="1033" width="9.5703125" style="523" bestFit="1" customWidth="1"/>
    <col min="1034" max="1280" width="9.140625" style="523"/>
    <col min="1281" max="1281" width="24.28515625" style="523" customWidth="1"/>
    <col min="1282" max="1282" width="8.5703125" style="523" customWidth="1"/>
    <col min="1283" max="1283" width="9.5703125" style="523" bestFit="1" customWidth="1"/>
    <col min="1284" max="1284" width="14.28515625" style="523" customWidth="1"/>
    <col min="1285" max="1285" width="14.42578125" style="523" customWidth="1"/>
    <col min="1286" max="1286" width="9.7109375" style="523" customWidth="1"/>
    <col min="1287" max="1287" width="13.85546875" style="523" customWidth="1"/>
    <col min="1288" max="1288" width="9.140625" style="523"/>
    <col min="1289" max="1289" width="9.5703125" style="523" bestFit="1" customWidth="1"/>
    <col min="1290" max="1536" width="9.140625" style="523"/>
    <col min="1537" max="1537" width="24.28515625" style="523" customWidth="1"/>
    <col min="1538" max="1538" width="8.5703125" style="523" customWidth="1"/>
    <col min="1539" max="1539" width="9.5703125" style="523" bestFit="1" customWidth="1"/>
    <col min="1540" max="1540" width="14.28515625" style="523" customWidth="1"/>
    <col min="1541" max="1541" width="14.42578125" style="523" customWidth="1"/>
    <col min="1542" max="1542" width="9.7109375" style="523" customWidth="1"/>
    <col min="1543" max="1543" width="13.85546875" style="523" customWidth="1"/>
    <col min="1544" max="1544" width="9.140625" style="523"/>
    <col min="1545" max="1545" width="9.5703125" style="523" bestFit="1" customWidth="1"/>
    <col min="1546" max="1792" width="9.140625" style="523"/>
    <col min="1793" max="1793" width="24.28515625" style="523" customWidth="1"/>
    <col min="1794" max="1794" width="8.5703125" style="523" customWidth="1"/>
    <col min="1795" max="1795" width="9.5703125" style="523" bestFit="1" customWidth="1"/>
    <col min="1796" max="1796" width="14.28515625" style="523" customWidth="1"/>
    <col min="1797" max="1797" width="14.42578125" style="523" customWidth="1"/>
    <col min="1798" max="1798" width="9.7109375" style="523" customWidth="1"/>
    <col min="1799" max="1799" width="13.85546875" style="523" customWidth="1"/>
    <col min="1800" max="1800" width="9.140625" style="523"/>
    <col min="1801" max="1801" width="9.5703125" style="523" bestFit="1" customWidth="1"/>
    <col min="1802" max="2048" width="9.140625" style="523"/>
    <col min="2049" max="2049" width="24.28515625" style="523" customWidth="1"/>
    <col min="2050" max="2050" width="8.5703125" style="523" customWidth="1"/>
    <col min="2051" max="2051" width="9.5703125" style="523" bestFit="1" customWidth="1"/>
    <col min="2052" max="2052" width="14.28515625" style="523" customWidth="1"/>
    <col min="2053" max="2053" width="14.42578125" style="523" customWidth="1"/>
    <col min="2054" max="2054" width="9.7109375" style="523" customWidth="1"/>
    <col min="2055" max="2055" width="13.85546875" style="523" customWidth="1"/>
    <col min="2056" max="2056" width="9.140625" style="523"/>
    <col min="2057" max="2057" width="9.5703125" style="523" bestFit="1" customWidth="1"/>
    <col min="2058" max="2304" width="9.140625" style="523"/>
    <col min="2305" max="2305" width="24.28515625" style="523" customWidth="1"/>
    <col min="2306" max="2306" width="8.5703125" style="523" customWidth="1"/>
    <col min="2307" max="2307" width="9.5703125" style="523" bestFit="1" customWidth="1"/>
    <col min="2308" max="2308" width="14.28515625" style="523" customWidth="1"/>
    <col min="2309" max="2309" width="14.42578125" style="523" customWidth="1"/>
    <col min="2310" max="2310" width="9.7109375" style="523" customWidth="1"/>
    <col min="2311" max="2311" width="13.85546875" style="523" customWidth="1"/>
    <col min="2312" max="2312" width="9.140625" style="523"/>
    <col min="2313" max="2313" width="9.5703125" style="523" bestFit="1" customWidth="1"/>
    <col min="2314" max="2560" width="9.140625" style="523"/>
    <col min="2561" max="2561" width="24.28515625" style="523" customWidth="1"/>
    <col min="2562" max="2562" width="8.5703125" style="523" customWidth="1"/>
    <col min="2563" max="2563" width="9.5703125" style="523" bestFit="1" customWidth="1"/>
    <col min="2564" max="2564" width="14.28515625" style="523" customWidth="1"/>
    <col min="2565" max="2565" width="14.42578125" style="523" customWidth="1"/>
    <col min="2566" max="2566" width="9.7109375" style="523" customWidth="1"/>
    <col min="2567" max="2567" width="13.85546875" style="523" customWidth="1"/>
    <col min="2568" max="2568" width="9.140625" style="523"/>
    <col min="2569" max="2569" width="9.5703125" style="523" bestFit="1" customWidth="1"/>
    <col min="2570" max="2816" width="9.140625" style="523"/>
    <col min="2817" max="2817" width="24.28515625" style="523" customWidth="1"/>
    <col min="2818" max="2818" width="8.5703125" style="523" customWidth="1"/>
    <col min="2819" max="2819" width="9.5703125" style="523" bestFit="1" customWidth="1"/>
    <col min="2820" max="2820" width="14.28515625" style="523" customWidth="1"/>
    <col min="2821" max="2821" width="14.42578125" style="523" customWidth="1"/>
    <col min="2822" max="2822" width="9.7109375" style="523" customWidth="1"/>
    <col min="2823" max="2823" width="13.85546875" style="523" customWidth="1"/>
    <col min="2824" max="2824" width="9.140625" style="523"/>
    <col min="2825" max="2825" width="9.5703125" style="523" bestFit="1" customWidth="1"/>
    <col min="2826" max="3072" width="9.140625" style="523"/>
    <col min="3073" max="3073" width="24.28515625" style="523" customWidth="1"/>
    <col min="3074" max="3074" width="8.5703125" style="523" customWidth="1"/>
    <col min="3075" max="3075" width="9.5703125" style="523" bestFit="1" customWidth="1"/>
    <col min="3076" max="3076" width="14.28515625" style="523" customWidth="1"/>
    <col min="3077" max="3077" width="14.42578125" style="523" customWidth="1"/>
    <col min="3078" max="3078" width="9.7109375" style="523" customWidth="1"/>
    <col min="3079" max="3079" width="13.85546875" style="523" customWidth="1"/>
    <col min="3080" max="3080" width="9.140625" style="523"/>
    <col min="3081" max="3081" width="9.5703125" style="523" bestFit="1" customWidth="1"/>
    <col min="3082" max="3328" width="9.140625" style="523"/>
    <col min="3329" max="3329" width="24.28515625" style="523" customWidth="1"/>
    <col min="3330" max="3330" width="8.5703125" style="523" customWidth="1"/>
    <col min="3331" max="3331" width="9.5703125" style="523" bestFit="1" customWidth="1"/>
    <col min="3332" max="3332" width="14.28515625" style="523" customWidth="1"/>
    <col min="3333" max="3333" width="14.42578125" style="523" customWidth="1"/>
    <col min="3334" max="3334" width="9.7109375" style="523" customWidth="1"/>
    <col min="3335" max="3335" width="13.85546875" style="523" customWidth="1"/>
    <col min="3336" max="3336" width="9.140625" style="523"/>
    <col min="3337" max="3337" width="9.5703125" style="523" bestFit="1" customWidth="1"/>
    <col min="3338" max="3584" width="9.140625" style="523"/>
    <col min="3585" max="3585" width="24.28515625" style="523" customWidth="1"/>
    <col min="3586" max="3586" width="8.5703125" style="523" customWidth="1"/>
    <col min="3587" max="3587" width="9.5703125" style="523" bestFit="1" customWidth="1"/>
    <col min="3588" max="3588" width="14.28515625" style="523" customWidth="1"/>
    <col min="3589" max="3589" width="14.42578125" style="523" customWidth="1"/>
    <col min="3590" max="3590" width="9.7109375" style="523" customWidth="1"/>
    <col min="3591" max="3591" width="13.85546875" style="523" customWidth="1"/>
    <col min="3592" max="3592" width="9.140625" style="523"/>
    <col min="3593" max="3593" width="9.5703125" style="523" bestFit="1" customWidth="1"/>
    <col min="3594" max="3840" width="9.140625" style="523"/>
    <col min="3841" max="3841" width="24.28515625" style="523" customWidth="1"/>
    <col min="3842" max="3842" width="8.5703125" style="523" customWidth="1"/>
    <col min="3843" max="3843" width="9.5703125" style="523" bestFit="1" customWidth="1"/>
    <col min="3844" max="3844" width="14.28515625" style="523" customWidth="1"/>
    <col min="3845" max="3845" width="14.42578125" style="523" customWidth="1"/>
    <col min="3846" max="3846" width="9.7109375" style="523" customWidth="1"/>
    <col min="3847" max="3847" width="13.85546875" style="523" customWidth="1"/>
    <col min="3848" max="3848" width="9.140625" style="523"/>
    <col min="3849" max="3849" width="9.5703125" style="523" bestFit="1" customWidth="1"/>
    <col min="3850" max="4096" width="9.140625" style="523"/>
    <col min="4097" max="4097" width="24.28515625" style="523" customWidth="1"/>
    <col min="4098" max="4098" width="8.5703125" style="523" customWidth="1"/>
    <col min="4099" max="4099" width="9.5703125" style="523" bestFit="1" customWidth="1"/>
    <col min="4100" max="4100" width="14.28515625" style="523" customWidth="1"/>
    <col min="4101" max="4101" width="14.42578125" style="523" customWidth="1"/>
    <col min="4102" max="4102" width="9.7109375" style="523" customWidth="1"/>
    <col min="4103" max="4103" width="13.85546875" style="523" customWidth="1"/>
    <col min="4104" max="4104" width="9.140625" style="523"/>
    <col min="4105" max="4105" width="9.5703125" style="523" bestFit="1" customWidth="1"/>
    <col min="4106" max="4352" width="9.140625" style="523"/>
    <col min="4353" max="4353" width="24.28515625" style="523" customWidth="1"/>
    <col min="4354" max="4354" width="8.5703125" style="523" customWidth="1"/>
    <col min="4355" max="4355" width="9.5703125" style="523" bestFit="1" customWidth="1"/>
    <col min="4356" max="4356" width="14.28515625" style="523" customWidth="1"/>
    <col min="4357" max="4357" width="14.42578125" style="523" customWidth="1"/>
    <col min="4358" max="4358" width="9.7109375" style="523" customWidth="1"/>
    <col min="4359" max="4359" width="13.85546875" style="523" customWidth="1"/>
    <col min="4360" max="4360" width="9.140625" style="523"/>
    <col min="4361" max="4361" width="9.5703125" style="523" bestFit="1" customWidth="1"/>
    <col min="4362" max="4608" width="9.140625" style="523"/>
    <col min="4609" max="4609" width="24.28515625" style="523" customWidth="1"/>
    <col min="4610" max="4610" width="8.5703125" style="523" customWidth="1"/>
    <col min="4611" max="4611" width="9.5703125" style="523" bestFit="1" customWidth="1"/>
    <col min="4612" max="4612" width="14.28515625" style="523" customWidth="1"/>
    <col min="4613" max="4613" width="14.42578125" style="523" customWidth="1"/>
    <col min="4614" max="4614" width="9.7109375" style="523" customWidth="1"/>
    <col min="4615" max="4615" width="13.85546875" style="523" customWidth="1"/>
    <col min="4616" max="4616" width="9.140625" style="523"/>
    <col min="4617" max="4617" width="9.5703125" style="523" bestFit="1" customWidth="1"/>
    <col min="4618" max="4864" width="9.140625" style="523"/>
    <col min="4865" max="4865" width="24.28515625" style="523" customWidth="1"/>
    <col min="4866" max="4866" width="8.5703125" style="523" customWidth="1"/>
    <col min="4867" max="4867" width="9.5703125" style="523" bestFit="1" customWidth="1"/>
    <col min="4868" max="4868" width="14.28515625" style="523" customWidth="1"/>
    <col min="4869" max="4869" width="14.42578125" style="523" customWidth="1"/>
    <col min="4870" max="4870" width="9.7109375" style="523" customWidth="1"/>
    <col min="4871" max="4871" width="13.85546875" style="523" customWidth="1"/>
    <col min="4872" max="4872" width="9.140625" style="523"/>
    <col min="4873" max="4873" width="9.5703125" style="523" bestFit="1" customWidth="1"/>
    <col min="4874" max="5120" width="9.140625" style="523"/>
    <col min="5121" max="5121" width="24.28515625" style="523" customWidth="1"/>
    <col min="5122" max="5122" width="8.5703125" style="523" customWidth="1"/>
    <col min="5123" max="5123" width="9.5703125" style="523" bestFit="1" customWidth="1"/>
    <col min="5124" max="5124" width="14.28515625" style="523" customWidth="1"/>
    <col min="5125" max="5125" width="14.42578125" style="523" customWidth="1"/>
    <col min="5126" max="5126" width="9.7109375" style="523" customWidth="1"/>
    <col min="5127" max="5127" width="13.85546875" style="523" customWidth="1"/>
    <col min="5128" max="5128" width="9.140625" style="523"/>
    <col min="5129" max="5129" width="9.5703125" style="523" bestFit="1" customWidth="1"/>
    <col min="5130" max="5376" width="9.140625" style="523"/>
    <col min="5377" max="5377" width="24.28515625" style="523" customWidth="1"/>
    <col min="5378" max="5378" width="8.5703125" style="523" customWidth="1"/>
    <col min="5379" max="5379" width="9.5703125" style="523" bestFit="1" customWidth="1"/>
    <col min="5380" max="5380" width="14.28515625" style="523" customWidth="1"/>
    <col min="5381" max="5381" width="14.42578125" style="523" customWidth="1"/>
    <col min="5382" max="5382" width="9.7109375" style="523" customWidth="1"/>
    <col min="5383" max="5383" width="13.85546875" style="523" customWidth="1"/>
    <col min="5384" max="5384" width="9.140625" style="523"/>
    <col min="5385" max="5385" width="9.5703125" style="523" bestFit="1" customWidth="1"/>
    <col min="5386" max="5632" width="9.140625" style="523"/>
    <col min="5633" max="5633" width="24.28515625" style="523" customWidth="1"/>
    <col min="5634" max="5634" width="8.5703125" style="523" customWidth="1"/>
    <col min="5635" max="5635" width="9.5703125" style="523" bestFit="1" customWidth="1"/>
    <col min="5636" max="5636" width="14.28515625" style="523" customWidth="1"/>
    <col min="5637" max="5637" width="14.42578125" style="523" customWidth="1"/>
    <col min="5638" max="5638" width="9.7109375" style="523" customWidth="1"/>
    <col min="5639" max="5639" width="13.85546875" style="523" customWidth="1"/>
    <col min="5640" max="5640" width="9.140625" style="523"/>
    <col min="5641" max="5641" width="9.5703125" style="523" bestFit="1" customWidth="1"/>
    <col min="5642" max="5888" width="9.140625" style="523"/>
    <col min="5889" max="5889" width="24.28515625" style="523" customWidth="1"/>
    <col min="5890" max="5890" width="8.5703125" style="523" customWidth="1"/>
    <col min="5891" max="5891" width="9.5703125" style="523" bestFit="1" customWidth="1"/>
    <col min="5892" max="5892" width="14.28515625" style="523" customWidth="1"/>
    <col min="5893" max="5893" width="14.42578125" style="523" customWidth="1"/>
    <col min="5894" max="5894" width="9.7109375" style="523" customWidth="1"/>
    <col min="5895" max="5895" width="13.85546875" style="523" customWidth="1"/>
    <col min="5896" max="5896" width="9.140625" style="523"/>
    <col min="5897" max="5897" width="9.5703125" style="523" bestFit="1" customWidth="1"/>
    <col min="5898" max="6144" width="9.140625" style="523"/>
    <col min="6145" max="6145" width="24.28515625" style="523" customWidth="1"/>
    <col min="6146" max="6146" width="8.5703125" style="523" customWidth="1"/>
    <col min="6147" max="6147" width="9.5703125" style="523" bestFit="1" customWidth="1"/>
    <col min="6148" max="6148" width="14.28515625" style="523" customWidth="1"/>
    <col min="6149" max="6149" width="14.42578125" style="523" customWidth="1"/>
    <col min="6150" max="6150" width="9.7109375" style="523" customWidth="1"/>
    <col min="6151" max="6151" width="13.85546875" style="523" customWidth="1"/>
    <col min="6152" max="6152" width="9.140625" style="523"/>
    <col min="6153" max="6153" width="9.5703125" style="523" bestFit="1" customWidth="1"/>
    <col min="6154" max="6400" width="9.140625" style="523"/>
    <col min="6401" max="6401" width="24.28515625" style="523" customWidth="1"/>
    <col min="6402" max="6402" width="8.5703125" style="523" customWidth="1"/>
    <col min="6403" max="6403" width="9.5703125" style="523" bestFit="1" customWidth="1"/>
    <col min="6404" max="6404" width="14.28515625" style="523" customWidth="1"/>
    <col min="6405" max="6405" width="14.42578125" style="523" customWidth="1"/>
    <col min="6406" max="6406" width="9.7109375" style="523" customWidth="1"/>
    <col min="6407" max="6407" width="13.85546875" style="523" customWidth="1"/>
    <col min="6408" max="6408" width="9.140625" style="523"/>
    <col min="6409" max="6409" width="9.5703125" style="523" bestFit="1" customWidth="1"/>
    <col min="6410" max="6656" width="9.140625" style="523"/>
    <col min="6657" max="6657" width="24.28515625" style="523" customWidth="1"/>
    <col min="6658" max="6658" width="8.5703125" style="523" customWidth="1"/>
    <col min="6659" max="6659" width="9.5703125" style="523" bestFit="1" customWidth="1"/>
    <col min="6660" max="6660" width="14.28515625" style="523" customWidth="1"/>
    <col min="6661" max="6661" width="14.42578125" style="523" customWidth="1"/>
    <col min="6662" max="6662" width="9.7109375" style="523" customWidth="1"/>
    <col min="6663" max="6663" width="13.85546875" style="523" customWidth="1"/>
    <col min="6664" max="6664" width="9.140625" style="523"/>
    <col min="6665" max="6665" width="9.5703125" style="523" bestFit="1" customWidth="1"/>
    <col min="6666" max="6912" width="9.140625" style="523"/>
    <col min="6913" max="6913" width="24.28515625" style="523" customWidth="1"/>
    <col min="6914" max="6914" width="8.5703125" style="523" customWidth="1"/>
    <col min="6915" max="6915" width="9.5703125" style="523" bestFit="1" customWidth="1"/>
    <col min="6916" max="6916" width="14.28515625" style="523" customWidth="1"/>
    <col min="6917" max="6917" width="14.42578125" style="523" customWidth="1"/>
    <col min="6918" max="6918" width="9.7109375" style="523" customWidth="1"/>
    <col min="6919" max="6919" width="13.85546875" style="523" customWidth="1"/>
    <col min="6920" max="6920" width="9.140625" style="523"/>
    <col min="6921" max="6921" width="9.5703125" style="523" bestFit="1" customWidth="1"/>
    <col min="6922" max="7168" width="9.140625" style="523"/>
    <col min="7169" max="7169" width="24.28515625" style="523" customWidth="1"/>
    <col min="7170" max="7170" width="8.5703125" style="523" customWidth="1"/>
    <col min="7171" max="7171" width="9.5703125" style="523" bestFit="1" customWidth="1"/>
    <col min="7172" max="7172" width="14.28515625" style="523" customWidth="1"/>
    <col min="7173" max="7173" width="14.42578125" style="523" customWidth="1"/>
    <col min="7174" max="7174" width="9.7109375" style="523" customWidth="1"/>
    <col min="7175" max="7175" width="13.85546875" style="523" customWidth="1"/>
    <col min="7176" max="7176" width="9.140625" style="523"/>
    <col min="7177" max="7177" width="9.5703125" style="523" bestFit="1" customWidth="1"/>
    <col min="7178" max="7424" width="9.140625" style="523"/>
    <col min="7425" max="7425" width="24.28515625" style="523" customWidth="1"/>
    <col min="7426" max="7426" width="8.5703125" style="523" customWidth="1"/>
    <col min="7427" max="7427" width="9.5703125" style="523" bestFit="1" customWidth="1"/>
    <col min="7428" max="7428" width="14.28515625" style="523" customWidth="1"/>
    <col min="7429" max="7429" width="14.42578125" style="523" customWidth="1"/>
    <col min="7430" max="7430" width="9.7109375" style="523" customWidth="1"/>
    <col min="7431" max="7431" width="13.85546875" style="523" customWidth="1"/>
    <col min="7432" max="7432" width="9.140625" style="523"/>
    <col min="7433" max="7433" width="9.5703125" style="523" bestFit="1" customWidth="1"/>
    <col min="7434" max="7680" width="9.140625" style="523"/>
    <col min="7681" max="7681" width="24.28515625" style="523" customWidth="1"/>
    <col min="7682" max="7682" width="8.5703125" style="523" customWidth="1"/>
    <col min="7683" max="7683" width="9.5703125" style="523" bestFit="1" customWidth="1"/>
    <col min="7684" max="7684" width="14.28515625" style="523" customWidth="1"/>
    <col min="7685" max="7685" width="14.42578125" style="523" customWidth="1"/>
    <col min="7686" max="7686" width="9.7109375" style="523" customWidth="1"/>
    <col min="7687" max="7687" width="13.85546875" style="523" customWidth="1"/>
    <col min="7688" max="7688" width="9.140625" style="523"/>
    <col min="7689" max="7689" width="9.5703125" style="523" bestFit="1" customWidth="1"/>
    <col min="7690" max="7936" width="9.140625" style="523"/>
    <col min="7937" max="7937" width="24.28515625" style="523" customWidth="1"/>
    <col min="7938" max="7938" width="8.5703125" style="523" customWidth="1"/>
    <col min="7939" max="7939" width="9.5703125" style="523" bestFit="1" customWidth="1"/>
    <col min="7940" max="7940" width="14.28515625" style="523" customWidth="1"/>
    <col min="7941" max="7941" width="14.42578125" style="523" customWidth="1"/>
    <col min="7942" max="7942" width="9.7109375" style="523" customWidth="1"/>
    <col min="7943" max="7943" width="13.85546875" style="523" customWidth="1"/>
    <col min="7944" max="7944" width="9.140625" style="523"/>
    <col min="7945" max="7945" width="9.5703125" style="523" bestFit="1" customWidth="1"/>
    <col min="7946" max="8192" width="9.140625" style="523"/>
    <col min="8193" max="8193" width="24.28515625" style="523" customWidth="1"/>
    <col min="8194" max="8194" width="8.5703125" style="523" customWidth="1"/>
    <col min="8195" max="8195" width="9.5703125" style="523" bestFit="1" customWidth="1"/>
    <col min="8196" max="8196" width="14.28515625" style="523" customWidth="1"/>
    <col min="8197" max="8197" width="14.42578125" style="523" customWidth="1"/>
    <col min="8198" max="8198" width="9.7109375" style="523" customWidth="1"/>
    <col min="8199" max="8199" width="13.85546875" style="523" customWidth="1"/>
    <col min="8200" max="8200" width="9.140625" style="523"/>
    <col min="8201" max="8201" width="9.5703125" style="523" bestFit="1" customWidth="1"/>
    <col min="8202" max="8448" width="9.140625" style="523"/>
    <col min="8449" max="8449" width="24.28515625" style="523" customWidth="1"/>
    <col min="8450" max="8450" width="8.5703125" style="523" customWidth="1"/>
    <col min="8451" max="8451" width="9.5703125" style="523" bestFit="1" customWidth="1"/>
    <col min="8452" max="8452" width="14.28515625" style="523" customWidth="1"/>
    <col min="8453" max="8453" width="14.42578125" style="523" customWidth="1"/>
    <col min="8454" max="8454" width="9.7109375" style="523" customWidth="1"/>
    <col min="8455" max="8455" width="13.85546875" style="523" customWidth="1"/>
    <col min="8456" max="8456" width="9.140625" style="523"/>
    <col min="8457" max="8457" width="9.5703125" style="523" bestFit="1" customWidth="1"/>
    <col min="8458" max="8704" width="9.140625" style="523"/>
    <col min="8705" max="8705" width="24.28515625" style="523" customWidth="1"/>
    <col min="8706" max="8706" width="8.5703125" style="523" customWidth="1"/>
    <col min="8707" max="8707" width="9.5703125" style="523" bestFit="1" customWidth="1"/>
    <col min="8708" max="8708" width="14.28515625" style="523" customWidth="1"/>
    <col min="8709" max="8709" width="14.42578125" style="523" customWidth="1"/>
    <col min="8710" max="8710" width="9.7109375" style="523" customWidth="1"/>
    <col min="8711" max="8711" width="13.85546875" style="523" customWidth="1"/>
    <col min="8712" max="8712" width="9.140625" style="523"/>
    <col min="8713" max="8713" width="9.5703125" style="523" bestFit="1" customWidth="1"/>
    <col min="8714" max="8960" width="9.140625" style="523"/>
    <col min="8961" max="8961" width="24.28515625" style="523" customWidth="1"/>
    <col min="8962" max="8962" width="8.5703125" style="523" customWidth="1"/>
    <col min="8963" max="8963" width="9.5703125" style="523" bestFit="1" customWidth="1"/>
    <col min="8964" max="8964" width="14.28515625" style="523" customWidth="1"/>
    <col min="8965" max="8965" width="14.42578125" style="523" customWidth="1"/>
    <col min="8966" max="8966" width="9.7109375" style="523" customWidth="1"/>
    <col min="8967" max="8967" width="13.85546875" style="523" customWidth="1"/>
    <col min="8968" max="8968" width="9.140625" style="523"/>
    <col min="8969" max="8969" width="9.5703125" style="523" bestFit="1" customWidth="1"/>
    <col min="8970" max="9216" width="9.140625" style="523"/>
    <col min="9217" max="9217" width="24.28515625" style="523" customWidth="1"/>
    <col min="9218" max="9218" width="8.5703125" style="523" customWidth="1"/>
    <col min="9219" max="9219" width="9.5703125" style="523" bestFit="1" customWidth="1"/>
    <col min="9220" max="9220" width="14.28515625" style="523" customWidth="1"/>
    <col min="9221" max="9221" width="14.42578125" style="523" customWidth="1"/>
    <col min="9222" max="9222" width="9.7109375" style="523" customWidth="1"/>
    <col min="9223" max="9223" width="13.85546875" style="523" customWidth="1"/>
    <col min="9224" max="9224" width="9.140625" style="523"/>
    <col min="9225" max="9225" width="9.5703125" style="523" bestFit="1" customWidth="1"/>
    <col min="9226" max="9472" width="9.140625" style="523"/>
    <col min="9473" max="9473" width="24.28515625" style="523" customWidth="1"/>
    <col min="9474" max="9474" width="8.5703125" style="523" customWidth="1"/>
    <col min="9475" max="9475" width="9.5703125" style="523" bestFit="1" customWidth="1"/>
    <col min="9476" max="9476" width="14.28515625" style="523" customWidth="1"/>
    <col min="9477" max="9477" width="14.42578125" style="523" customWidth="1"/>
    <col min="9478" max="9478" width="9.7109375" style="523" customWidth="1"/>
    <col min="9479" max="9479" width="13.85546875" style="523" customWidth="1"/>
    <col min="9480" max="9480" width="9.140625" style="523"/>
    <col min="9481" max="9481" width="9.5703125" style="523" bestFit="1" customWidth="1"/>
    <col min="9482" max="9728" width="9.140625" style="523"/>
    <col min="9729" max="9729" width="24.28515625" style="523" customWidth="1"/>
    <col min="9730" max="9730" width="8.5703125" style="523" customWidth="1"/>
    <col min="9731" max="9731" width="9.5703125" style="523" bestFit="1" customWidth="1"/>
    <col min="9732" max="9732" width="14.28515625" style="523" customWidth="1"/>
    <col min="9733" max="9733" width="14.42578125" style="523" customWidth="1"/>
    <col min="9734" max="9734" width="9.7109375" style="523" customWidth="1"/>
    <col min="9735" max="9735" width="13.85546875" style="523" customWidth="1"/>
    <col min="9736" max="9736" width="9.140625" style="523"/>
    <col min="9737" max="9737" width="9.5703125" style="523" bestFit="1" customWidth="1"/>
    <col min="9738" max="9984" width="9.140625" style="523"/>
    <col min="9985" max="9985" width="24.28515625" style="523" customWidth="1"/>
    <col min="9986" max="9986" width="8.5703125" style="523" customWidth="1"/>
    <col min="9987" max="9987" width="9.5703125" style="523" bestFit="1" customWidth="1"/>
    <col min="9988" max="9988" width="14.28515625" style="523" customWidth="1"/>
    <col min="9989" max="9989" width="14.42578125" style="523" customWidth="1"/>
    <col min="9990" max="9990" width="9.7109375" style="523" customWidth="1"/>
    <col min="9991" max="9991" width="13.85546875" style="523" customWidth="1"/>
    <col min="9992" max="9992" width="9.140625" style="523"/>
    <col min="9993" max="9993" width="9.5703125" style="523" bestFit="1" customWidth="1"/>
    <col min="9994" max="10240" width="9.140625" style="523"/>
    <col min="10241" max="10241" width="24.28515625" style="523" customWidth="1"/>
    <col min="10242" max="10242" width="8.5703125" style="523" customWidth="1"/>
    <col min="10243" max="10243" width="9.5703125" style="523" bestFit="1" customWidth="1"/>
    <col min="10244" max="10244" width="14.28515625" style="523" customWidth="1"/>
    <col min="10245" max="10245" width="14.42578125" style="523" customWidth="1"/>
    <col min="10246" max="10246" width="9.7109375" style="523" customWidth="1"/>
    <col min="10247" max="10247" width="13.85546875" style="523" customWidth="1"/>
    <col min="10248" max="10248" width="9.140625" style="523"/>
    <col min="10249" max="10249" width="9.5703125" style="523" bestFit="1" customWidth="1"/>
    <col min="10250" max="10496" width="9.140625" style="523"/>
    <col min="10497" max="10497" width="24.28515625" style="523" customWidth="1"/>
    <col min="10498" max="10498" width="8.5703125" style="523" customWidth="1"/>
    <col min="10499" max="10499" width="9.5703125" style="523" bestFit="1" customWidth="1"/>
    <col min="10500" max="10500" width="14.28515625" style="523" customWidth="1"/>
    <col min="10501" max="10501" width="14.42578125" style="523" customWidth="1"/>
    <col min="10502" max="10502" width="9.7109375" style="523" customWidth="1"/>
    <col min="10503" max="10503" width="13.85546875" style="523" customWidth="1"/>
    <col min="10504" max="10504" width="9.140625" style="523"/>
    <col min="10505" max="10505" width="9.5703125" style="523" bestFit="1" customWidth="1"/>
    <col min="10506" max="10752" width="9.140625" style="523"/>
    <col min="10753" max="10753" width="24.28515625" style="523" customWidth="1"/>
    <col min="10754" max="10754" width="8.5703125" style="523" customWidth="1"/>
    <col min="10755" max="10755" width="9.5703125" style="523" bestFit="1" customWidth="1"/>
    <col min="10756" max="10756" width="14.28515625" style="523" customWidth="1"/>
    <col min="10757" max="10757" width="14.42578125" style="523" customWidth="1"/>
    <col min="10758" max="10758" width="9.7109375" style="523" customWidth="1"/>
    <col min="10759" max="10759" width="13.85546875" style="523" customWidth="1"/>
    <col min="10760" max="10760" width="9.140625" style="523"/>
    <col min="10761" max="10761" width="9.5703125" style="523" bestFit="1" customWidth="1"/>
    <col min="10762" max="11008" width="9.140625" style="523"/>
    <col min="11009" max="11009" width="24.28515625" style="523" customWidth="1"/>
    <col min="11010" max="11010" width="8.5703125" style="523" customWidth="1"/>
    <col min="11011" max="11011" width="9.5703125" style="523" bestFit="1" customWidth="1"/>
    <col min="11012" max="11012" width="14.28515625" style="523" customWidth="1"/>
    <col min="11013" max="11013" width="14.42578125" style="523" customWidth="1"/>
    <col min="11014" max="11014" width="9.7109375" style="523" customWidth="1"/>
    <col min="11015" max="11015" width="13.85546875" style="523" customWidth="1"/>
    <col min="11016" max="11016" width="9.140625" style="523"/>
    <col min="11017" max="11017" width="9.5703125" style="523" bestFit="1" customWidth="1"/>
    <col min="11018" max="11264" width="9.140625" style="523"/>
    <col min="11265" max="11265" width="24.28515625" style="523" customWidth="1"/>
    <col min="11266" max="11266" width="8.5703125" style="523" customWidth="1"/>
    <col min="11267" max="11267" width="9.5703125" style="523" bestFit="1" customWidth="1"/>
    <col min="11268" max="11268" width="14.28515625" style="523" customWidth="1"/>
    <col min="11269" max="11269" width="14.42578125" style="523" customWidth="1"/>
    <col min="11270" max="11270" width="9.7109375" style="523" customWidth="1"/>
    <col min="11271" max="11271" width="13.85546875" style="523" customWidth="1"/>
    <col min="11272" max="11272" width="9.140625" style="523"/>
    <col min="11273" max="11273" width="9.5703125" style="523" bestFit="1" customWidth="1"/>
    <col min="11274" max="11520" width="9.140625" style="523"/>
    <col min="11521" max="11521" width="24.28515625" style="523" customWidth="1"/>
    <col min="11522" max="11522" width="8.5703125" style="523" customWidth="1"/>
    <col min="11523" max="11523" width="9.5703125" style="523" bestFit="1" customWidth="1"/>
    <col min="11524" max="11524" width="14.28515625" style="523" customWidth="1"/>
    <col min="11525" max="11525" width="14.42578125" style="523" customWidth="1"/>
    <col min="11526" max="11526" width="9.7109375" style="523" customWidth="1"/>
    <col min="11527" max="11527" width="13.85546875" style="523" customWidth="1"/>
    <col min="11528" max="11528" width="9.140625" style="523"/>
    <col min="11529" max="11529" width="9.5703125" style="523" bestFit="1" customWidth="1"/>
    <col min="11530" max="11776" width="9.140625" style="523"/>
    <col min="11777" max="11777" width="24.28515625" style="523" customWidth="1"/>
    <col min="11778" max="11778" width="8.5703125" style="523" customWidth="1"/>
    <col min="11779" max="11779" width="9.5703125" style="523" bestFit="1" customWidth="1"/>
    <col min="11780" max="11780" width="14.28515625" style="523" customWidth="1"/>
    <col min="11781" max="11781" width="14.42578125" style="523" customWidth="1"/>
    <col min="11782" max="11782" width="9.7109375" style="523" customWidth="1"/>
    <col min="11783" max="11783" width="13.85546875" style="523" customWidth="1"/>
    <col min="11784" max="11784" width="9.140625" style="523"/>
    <col min="11785" max="11785" width="9.5703125" style="523" bestFit="1" customWidth="1"/>
    <col min="11786" max="12032" width="9.140625" style="523"/>
    <col min="12033" max="12033" width="24.28515625" style="523" customWidth="1"/>
    <col min="12034" max="12034" width="8.5703125" style="523" customWidth="1"/>
    <col min="12035" max="12035" width="9.5703125" style="523" bestFit="1" customWidth="1"/>
    <col min="12036" max="12036" width="14.28515625" style="523" customWidth="1"/>
    <col min="12037" max="12037" width="14.42578125" style="523" customWidth="1"/>
    <col min="12038" max="12038" width="9.7109375" style="523" customWidth="1"/>
    <col min="12039" max="12039" width="13.85546875" style="523" customWidth="1"/>
    <col min="12040" max="12040" width="9.140625" style="523"/>
    <col min="12041" max="12041" width="9.5703125" style="523" bestFit="1" customWidth="1"/>
    <col min="12042" max="12288" width="9.140625" style="523"/>
    <col min="12289" max="12289" width="24.28515625" style="523" customWidth="1"/>
    <col min="12290" max="12290" width="8.5703125" style="523" customWidth="1"/>
    <col min="12291" max="12291" width="9.5703125" style="523" bestFit="1" customWidth="1"/>
    <col min="12292" max="12292" width="14.28515625" style="523" customWidth="1"/>
    <col min="12293" max="12293" width="14.42578125" style="523" customWidth="1"/>
    <col min="12294" max="12294" width="9.7109375" style="523" customWidth="1"/>
    <col min="12295" max="12295" width="13.85546875" style="523" customWidth="1"/>
    <col min="12296" max="12296" width="9.140625" style="523"/>
    <col min="12297" max="12297" width="9.5703125" style="523" bestFit="1" customWidth="1"/>
    <col min="12298" max="12544" width="9.140625" style="523"/>
    <col min="12545" max="12545" width="24.28515625" style="523" customWidth="1"/>
    <col min="12546" max="12546" width="8.5703125" style="523" customWidth="1"/>
    <col min="12547" max="12547" width="9.5703125" style="523" bestFit="1" customWidth="1"/>
    <col min="12548" max="12548" width="14.28515625" style="523" customWidth="1"/>
    <col min="12549" max="12549" width="14.42578125" style="523" customWidth="1"/>
    <col min="12550" max="12550" width="9.7109375" style="523" customWidth="1"/>
    <col min="12551" max="12551" width="13.85546875" style="523" customWidth="1"/>
    <col min="12552" max="12552" width="9.140625" style="523"/>
    <col min="12553" max="12553" width="9.5703125" style="523" bestFit="1" customWidth="1"/>
    <col min="12554" max="12800" width="9.140625" style="523"/>
    <col min="12801" max="12801" width="24.28515625" style="523" customWidth="1"/>
    <col min="12802" max="12802" width="8.5703125" style="523" customWidth="1"/>
    <col min="12803" max="12803" width="9.5703125" style="523" bestFit="1" customWidth="1"/>
    <col min="12804" max="12804" width="14.28515625" style="523" customWidth="1"/>
    <col min="12805" max="12805" width="14.42578125" style="523" customWidth="1"/>
    <col min="12806" max="12806" width="9.7109375" style="523" customWidth="1"/>
    <col min="12807" max="12807" width="13.85546875" style="523" customWidth="1"/>
    <col min="12808" max="12808" width="9.140625" style="523"/>
    <col min="12809" max="12809" width="9.5703125" style="523" bestFit="1" customWidth="1"/>
    <col min="12810" max="13056" width="9.140625" style="523"/>
    <col min="13057" max="13057" width="24.28515625" style="523" customWidth="1"/>
    <col min="13058" max="13058" width="8.5703125" style="523" customWidth="1"/>
    <col min="13059" max="13059" width="9.5703125" style="523" bestFit="1" customWidth="1"/>
    <col min="13060" max="13060" width="14.28515625" style="523" customWidth="1"/>
    <col min="13061" max="13061" width="14.42578125" style="523" customWidth="1"/>
    <col min="13062" max="13062" width="9.7109375" style="523" customWidth="1"/>
    <col min="13063" max="13063" width="13.85546875" style="523" customWidth="1"/>
    <col min="13064" max="13064" width="9.140625" style="523"/>
    <col min="13065" max="13065" width="9.5703125" style="523" bestFit="1" customWidth="1"/>
    <col min="13066" max="13312" width="9.140625" style="523"/>
    <col min="13313" max="13313" width="24.28515625" style="523" customWidth="1"/>
    <col min="13314" max="13314" width="8.5703125" style="523" customWidth="1"/>
    <col min="13315" max="13315" width="9.5703125" style="523" bestFit="1" customWidth="1"/>
    <col min="13316" max="13316" width="14.28515625" style="523" customWidth="1"/>
    <col min="13317" max="13317" width="14.42578125" style="523" customWidth="1"/>
    <col min="13318" max="13318" width="9.7109375" style="523" customWidth="1"/>
    <col min="13319" max="13319" width="13.85546875" style="523" customWidth="1"/>
    <col min="13320" max="13320" width="9.140625" style="523"/>
    <col min="13321" max="13321" width="9.5703125" style="523" bestFit="1" customWidth="1"/>
    <col min="13322" max="13568" width="9.140625" style="523"/>
    <col min="13569" max="13569" width="24.28515625" style="523" customWidth="1"/>
    <col min="13570" max="13570" width="8.5703125" style="523" customWidth="1"/>
    <col min="13571" max="13571" width="9.5703125" style="523" bestFit="1" customWidth="1"/>
    <col min="13572" max="13572" width="14.28515625" style="523" customWidth="1"/>
    <col min="13573" max="13573" width="14.42578125" style="523" customWidth="1"/>
    <col min="13574" max="13574" width="9.7109375" style="523" customWidth="1"/>
    <col min="13575" max="13575" width="13.85546875" style="523" customWidth="1"/>
    <col min="13576" max="13576" width="9.140625" style="523"/>
    <col min="13577" max="13577" width="9.5703125" style="523" bestFit="1" customWidth="1"/>
    <col min="13578" max="13824" width="9.140625" style="523"/>
    <col min="13825" max="13825" width="24.28515625" style="523" customWidth="1"/>
    <col min="13826" max="13826" width="8.5703125" style="523" customWidth="1"/>
    <col min="13827" max="13827" width="9.5703125" style="523" bestFit="1" customWidth="1"/>
    <col min="13828" max="13828" width="14.28515625" style="523" customWidth="1"/>
    <col min="13829" max="13829" width="14.42578125" style="523" customWidth="1"/>
    <col min="13830" max="13830" width="9.7109375" style="523" customWidth="1"/>
    <col min="13831" max="13831" width="13.85546875" style="523" customWidth="1"/>
    <col min="13832" max="13832" width="9.140625" style="523"/>
    <col min="13833" max="13833" width="9.5703125" style="523" bestFit="1" customWidth="1"/>
    <col min="13834" max="14080" width="9.140625" style="523"/>
    <col min="14081" max="14081" width="24.28515625" style="523" customWidth="1"/>
    <col min="14082" max="14082" width="8.5703125" style="523" customWidth="1"/>
    <col min="14083" max="14083" width="9.5703125" style="523" bestFit="1" customWidth="1"/>
    <col min="14084" max="14084" width="14.28515625" style="523" customWidth="1"/>
    <col min="14085" max="14085" width="14.42578125" style="523" customWidth="1"/>
    <col min="14086" max="14086" width="9.7109375" style="523" customWidth="1"/>
    <col min="14087" max="14087" width="13.85546875" style="523" customWidth="1"/>
    <col min="14088" max="14088" width="9.140625" style="523"/>
    <col min="14089" max="14089" width="9.5703125" style="523" bestFit="1" customWidth="1"/>
    <col min="14090" max="14336" width="9.140625" style="523"/>
    <col min="14337" max="14337" width="24.28515625" style="523" customWidth="1"/>
    <col min="14338" max="14338" width="8.5703125" style="523" customWidth="1"/>
    <col min="14339" max="14339" width="9.5703125" style="523" bestFit="1" customWidth="1"/>
    <col min="14340" max="14340" width="14.28515625" style="523" customWidth="1"/>
    <col min="14341" max="14341" width="14.42578125" style="523" customWidth="1"/>
    <col min="14342" max="14342" width="9.7109375" style="523" customWidth="1"/>
    <col min="14343" max="14343" width="13.85546875" style="523" customWidth="1"/>
    <col min="14344" max="14344" width="9.140625" style="523"/>
    <col min="14345" max="14345" width="9.5703125" style="523" bestFit="1" customWidth="1"/>
    <col min="14346" max="14592" width="9.140625" style="523"/>
    <col min="14593" max="14593" width="24.28515625" style="523" customWidth="1"/>
    <col min="14594" max="14594" width="8.5703125" style="523" customWidth="1"/>
    <col min="14595" max="14595" width="9.5703125" style="523" bestFit="1" customWidth="1"/>
    <col min="14596" max="14596" width="14.28515625" style="523" customWidth="1"/>
    <col min="14597" max="14597" width="14.42578125" style="523" customWidth="1"/>
    <col min="14598" max="14598" width="9.7109375" style="523" customWidth="1"/>
    <col min="14599" max="14599" width="13.85546875" style="523" customWidth="1"/>
    <col min="14600" max="14600" width="9.140625" style="523"/>
    <col min="14601" max="14601" width="9.5703125" style="523" bestFit="1" customWidth="1"/>
    <col min="14602" max="14848" width="9.140625" style="523"/>
    <col min="14849" max="14849" width="24.28515625" style="523" customWidth="1"/>
    <col min="14850" max="14850" width="8.5703125" style="523" customWidth="1"/>
    <col min="14851" max="14851" width="9.5703125" style="523" bestFit="1" customWidth="1"/>
    <col min="14852" max="14852" width="14.28515625" style="523" customWidth="1"/>
    <col min="14853" max="14853" width="14.42578125" style="523" customWidth="1"/>
    <col min="14854" max="14854" width="9.7109375" style="523" customWidth="1"/>
    <col min="14855" max="14855" width="13.85546875" style="523" customWidth="1"/>
    <col min="14856" max="14856" width="9.140625" style="523"/>
    <col min="14857" max="14857" width="9.5703125" style="523" bestFit="1" customWidth="1"/>
    <col min="14858" max="15104" width="9.140625" style="523"/>
    <col min="15105" max="15105" width="24.28515625" style="523" customWidth="1"/>
    <col min="15106" max="15106" width="8.5703125" style="523" customWidth="1"/>
    <col min="15107" max="15107" width="9.5703125" style="523" bestFit="1" customWidth="1"/>
    <col min="15108" max="15108" width="14.28515625" style="523" customWidth="1"/>
    <col min="15109" max="15109" width="14.42578125" style="523" customWidth="1"/>
    <col min="15110" max="15110" width="9.7109375" style="523" customWidth="1"/>
    <col min="15111" max="15111" width="13.85546875" style="523" customWidth="1"/>
    <col min="15112" max="15112" width="9.140625" style="523"/>
    <col min="15113" max="15113" width="9.5703125" style="523" bestFit="1" customWidth="1"/>
    <col min="15114" max="15360" width="9.140625" style="523"/>
    <col min="15361" max="15361" width="24.28515625" style="523" customWidth="1"/>
    <col min="15362" max="15362" width="8.5703125" style="523" customWidth="1"/>
    <col min="15363" max="15363" width="9.5703125" style="523" bestFit="1" customWidth="1"/>
    <col min="15364" max="15364" width="14.28515625" style="523" customWidth="1"/>
    <col min="15365" max="15365" width="14.42578125" style="523" customWidth="1"/>
    <col min="15366" max="15366" width="9.7109375" style="523" customWidth="1"/>
    <col min="15367" max="15367" width="13.85546875" style="523" customWidth="1"/>
    <col min="15368" max="15368" width="9.140625" style="523"/>
    <col min="15369" max="15369" width="9.5703125" style="523" bestFit="1" customWidth="1"/>
    <col min="15370" max="15616" width="9.140625" style="523"/>
    <col min="15617" max="15617" width="24.28515625" style="523" customWidth="1"/>
    <col min="15618" max="15618" width="8.5703125" style="523" customWidth="1"/>
    <col min="15619" max="15619" width="9.5703125" style="523" bestFit="1" customWidth="1"/>
    <col min="15620" max="15620" width="14.28515625" style="523" customWidth="1"/>
    <col min="15621" max="15621" width="14.42578125" style="523" customWidth="1"/>
    <col min="15622" max="15622" width="9.7109375" style="523" customWidth="1"/>
    <col min="15623" max="15623" width="13.85546875" style="523" customWidth="1"/>
    <col min="15624" max="15624" width="9.140625" style="523"/>
    <col min="15625" max="15625" width="9.5703125" style="523" bestFit="1" customWidth="1"/>
    <col min="15626" max="15872" width="9.140625" style="523"/>
    <col min="15873" max="15873" width="24.28515625" style="523" customWidth="1"/>
    <col min="15874" max="15874" width="8.5703125" style="523" customWidth="1"/>
    <col min="15875" max="15875" width="9.5703125" style="523" bestFit="1" customWidth="1"/>
    <col min="15876" max="15876" width="14.28515625" style="523" customWidth="1"/>
    <col min="15877" max="15877" width="14.42578125" style="523" customWidth="1"/>
    <col min="15878" max="15878" width="9.7109375" style="523" customWidth="1"/>
    <col min="15879" max="15879" width="13.85546875" style="523" customWidth="1"/>
    <col min="15880" max="15880" width="9.140625" style="523"/>
    <col min="15881" max="15881" width="9.5703125" style="523" bestFit="1" customWidth="1"/>
    <col min="15882" max="16128" width="9.140625" style="523"/>
    <col min="16129" max="16129" width="24.28515625" style="523" customWidth="1"/>
    <col min="16130" max="16130" width="8.5703125" style="523" customWidth="1"/>
    <col min="16131" max="16131" width="9.5703125" style="523" bestFit="1" customWidth="1"/>
    <col min="16132" max="16132" width="14.28515625" style="523" customWidth="1"/>
    <col min="16133" max="16133" width="14.42578125" style="523" customWidth="1"/>
    <col min="16134" max="16134" width="9.7109375" style="523" customWidth="1"/>
    <col min="16135" max="16135" width="13.85546875" style="523" customWidth="1"/>
    <col min="16136" max="16136" width="9.140625" style="523"/>
    <col min="16137" max="16137" width="9.5703125" style="523" bestFit="1" customWidth="1"/>
    <col min="16138" max="16384" width="9.140625" style="523"/>
  </cols>
  <sheetData>
    <row r="1" spans="1:9">
      <c r="C1" s="523" t="s">
        <v>1594</v>
      </c>
      <c r="G1" s="1383" t="s">
        <v>1020</v>
      </c>
    </row>
    <row r="5" spans="1:9">
      <c r="A5" s="2409" t="s">
        <v>1593</v>
      </c>
      <c r="B5" s="2409"/>
      <c r="C5" s="2409"/>
      <c r="D5" s="2409"/>
      <c r="E5" s="2409"/>
      <c r="F5" s="2409"/>
      <c r="G5" s="2409"/>
    </row>
    <row r="6" spans="1:9">
      <c r="A6" s="2409" t="s">
        <v>1592</v>
      </c>
      <c r="B6" s="2409"/>
      <c r="C6" s="2409"/>
      <c r="D6" s="2409"/>
      <c r="E6" s="2409"/>
      <c r="F6" s="2409"/>
      <c r="G6" s="2409"/>
    </row>
    <row r="7" spans="1:9" ht="17.25" thickBot="1">
      <c r="A7" s="617"/>
      <c r="B7" s="618"/>
      <c r="C7" s="714"/>
      <c r="D7" s="617"/>
      <c r="E7" s="617"/>
      <c r="G7" s="615" t="s">
        <v>1467</v>
      </c>
    </row>
    <row r="8" spans="1:9" s="524" customFormat="1" ht="17.25" thickTop="1">
      <c r="A8" s="750"/>
      <c r="B8" s="2300" t="s">
        <v>2</v>
      </c>
      <c r="C8" s="749" t="s">
        <v>1293</v>
      </c>
      <c r="D8" s="2403" t="s">
        <v>1591</v>
      </c>
      <c r="E8" s="2404"/>
      <c r="F8" s="748" t="s">
        <v>1249</v>
      </c>
      <c r="G8" s="747"/>
    </row>
    <row r="9" spans="1:9" s="524" customFormat="1">
      <c r="A9" s="746" t="s">
        <v>1294</v>
      </c>
      <c r="B9" s="745" t="s">
        <v>1291</v>
      </c>
      <c r="C9" s="744" t="s">
        <v>1290</v>
      </c>
      <c r="D9" s="2406" t="s">
        <v>1590</v>
      </c>
      <c r="E9" s="2407"/>
      <c r="F9" s="2406" t="s">
        <v>1589</v>
      </c>
      <c r="G9" s="2408"/>
    </row>
    <row r="10" spans="1:9" s="524" customFormat="1">
      <c r="A10" s="743"/>
      <c r="B10" s="2301"/>
      <c r="C10" s="742"/>
      <c r="D10" s="741" t="s">
        <v>1</v>
      </c>
      <c r="E10" s="741" t="s">
        <v>4</v>
      </c>
      <c r="F10" s="2301" t="s">
        <v>1</v>
      </c>
      <c r="G10" s="740" t="s">
        <v>4</v>
      </c>
    </row>
    <row r="11" spans="1:9" s="588" customFormat="1" ht="20.25" customHeight="1">
      <c r="A11" s="739" t="s">
        <v>1588</v>
      </c>
      <c r="B11" s="738"/>
      <c r="C11" s="737"/>
      <c r="D11" s="736"/>
      <c r="E11" s="736">
        <f>E19+E20+E21</f>
        <v>615320000</v>
      </c>
      <c r="F11" s="736"/>
      <c r="G11" s="735">
        <f>G19+G20+G21</f>
        <v>538720000</v>
      </c>
      <c r="H11" s="734"/>
    </row>
    <row r="12" spans="1:9" ht="20.25" customHeight="1">
      <c r="A12" s="732" t="s">
        <v>1587</v>
      </c>
      <c r="B12" s="728" t="s">
        <v>5</v>
      </c>
      <c r="C12" s="731">
        <v>800000</v>
      </c>
      <c r="D12" s="551">
        <v>72</v>
      </c>
      <c r="E12" s="551">
        <f t="shared" ref="E12:E17" si="0">C12*D12</f>
        <v>57600000</v>
      </c>
      <c r="F12" s="551"/>
      <c r="G12" s="730"/>
    </row>
    <row r="13" spans="1:9" ht="20.25" customHeight="1">
      <c r="A13" s="732" t="s">
        <v>1586</v>
      </c>
      <c r="B13" s="728" t="s">
        <v>1585</v>
      </c>
      <c r="C13" s="731">
        <v>150000</v>
      </c>
      <c r="D13" s="551">
        <v>90</v>
      </c>
      <c r="E13" s="551">
        <f t="shared" si="0"/>
        <v>13500000</v>
      </c>
      <c r="F13" s="551"/>
      <c r="G13" s="730"/>
    </row>
    <row r="14" spans="1:9" ht="20.25" customHeight="1">
      <c r="A14" s="732" t="s">
        <v>1584</v>
      </c>
      <c r="B14" s="728" t="s">
        <v>1270</v>
      </c>
      <c r="C14" s="731">
        <v>130000</v>
      </c>
      <c r="D14" s="551">
        <v>1000</v>
      </c>
      <c r="E14" s="551">
        <f t="shared" si="0"/>
        <v>130000000</v>
      </c>
      <c r="F14" s="551">
        <v>1000</v>
      </c>
      <c r="G14" s="730">
        <f>C14*F14</f>
        <v>130000000</v>
      </c>
    </row>
    <row r="15" spans="1:9" ht="20.25" customHeight="1">
      <c r="A15" s="732" t="s">
        <v>1583</v>
      </c>
      <c r="B15" s="728" t="s">
        <v>11</v>
      </c>
      <c r="C15" s="731">
        <v>10000</v>
      </c>
      <c r="D15" s="551">
        <v>34000</v>
      </c>
      <c r="E15" s="551">
        <f t="shared" si="0"/>
        <v>340000000</v>
      </c>
      <c r="F15" s="551">
        <f>D15</f>
        <v>34000</v>
      </c>
      <c r="G15" s="730">
        <f>C15*F15</f>
        <v>340000000</v>
      </c>
      <c r="I15" s="617"/>
    </row>
    <row r="16" spans="1:9" ht="20.25" customHeight="1">
      <c r="A16" s="732" t="s">
        <v>1582</v>
      </c>
      <c r="B16" s="728" t="s">
        <v>1270</v>
      </c>
      <c r="C16" s="731">
        <v>10000</v>
      </c>
      <c r="D16" s="551">
        <v>1000</v>
      </c>
      <c r="E16" s="551">
        <f t="shared" si="0"/>
        <v>10000000</v>
      </c>
      <c r="F16" s="551"/>
      <c r="G16" s="730">
        <f>E16</f>
        <v>10000000</v>
      </c>
      <c r="I16" s="617"/>
    </row>
    <row r="17" spans="1:9" ht="20.25" customHeight="1">
      <c r="A17" s="732" t="s">
        <v>1461</v>
      </c>
      <c r="B17" s="728" t="s">
        <v>511</v>
      </c>
      <c r="C17" s="731">
        <v>100000</v>
      </c>
      <c r="D17" s="551">
        <v>180</v>
      </c>
      <c r="E17" s="551">
        <f t="shared" si="0"/>
        <v>18000000</v>
      </c>
      <c r="F17" s="551">
        <f>D17</f>
        <v>180</v>
      </c>
      <c r="G17" s="730">
        <f>C17*F17</f>
        <v>18000000</v>
      </c>
      <c r="I17" s="617"/>
    </row>
    <row r="18" spans="1:9" ht="20.25" customHeight="1">
      <c r="A18" s="732" t="s">
        <v>1581</v>
      </c>
      <c r="B18" s="728" t="s">
        <v>1270</v>
      </c>
      <c r="C18" s="731"/>
      <c r="D18" s="551"/>
      <c r="E18" s="551">
        <v>10000000</v>
      </c>
      <c r="F18" s="551"/>
      <c r="G18" s="730">
        <f>E18</f>
        <v>10000000</v>
      </c>
      <c r="I18" s="617"/>
    </row>
    <row r="19" spans="1:9" s="588" customFormat="1" ht="20.25" customHeight="1">
      <c r="A19" s="729" t="s">
        <v>1277</v>
      </c>
      <c r="B19" s="733"/>
      <c r="C19" s="727"/>
      <c r="D19" s="726"/>
      <c r="E19" s="725">
        <f>SUM(E12:E18)</f>
        <v>579100000</v>
      </c>
      <c r="F19" s="725"/>
      <c r="G19" s="724">
        <f>SUM(G12:G18)</f>
        <v>508000000</v>
      </c>
    </row>
    <row r="20" spans="1:9" ht="20.25" customHeight="1">
      <c r="A20" s="732" t="s">
        <v>1580</v>
      </c>
      <c r="B20" s="728" t="s">
        <v>1270</v>
      </c>
      <c r="C20" s="731"/>
      <c r="D20" s="551"/>
      <c r="E20" s="551">
        <f>200000000*11%</f>
        <v>22000000</v>
      </c>
      <c r="F20" s="551"/>
      <c r="G20" s="730">
        <f>150000000*11%</f>
        <v>16500000</v>
      </c>
    </row>
    <row r="21" spans="1:9" ht="20.25" customHeight="1">
      <c r="A21" s="732" t="s">
        <v>1579</v>
      </c>
      <c r="B21" s="728" t="s">
        <v>1270</v>
      </c>
      <c r="C21" s="731"/>
      <c r="D21" s="551"/>
      <c r="E21" s="551">
        <f>(E12+E13)/5</f>
        <v>14220000</v>
      </c>
      <c r="F21" s="551"/>
      <c r="G21" s="730">
        <f>E21</f>
        <v>14220000</v>
      </c>
    </row>
    <row r="22" spans="1:9" s="588" customFormat="1" ht="20.25" customHeight="1">
      <c r="A22" s="729" t="s">
        <v>1578</v>
      </c>
      <c r="B22" s="733"/>
      <c r="C22" s="727"/>
      <c r="D22" s="726"/>
      <c r="E22" s="725">
        <f>SUM(E23:E25)</f>
        <v>631250000</v>
      </c>
      <c r="F22" s="725"/>
      <c r="G22" s="724">
        <f>SUM(G23:G25)</f>
        <v>631250000</v>
      </c>
    </row>
    <row r="23" spans="1:9" ht="20.25" customHeight="1">
      <c r="A23" s="732" t="s">
        <v>1577</v>
      </c>
      <c r="B23" s="728" t="s">
        <v>1576</v>
      </c>
      <c r="C23" s="731">
        <v>1650</v>
      </c>
      <c r="D23" s="551">
        <v>305000</v>
      </c>
      <c r="E23" s="551">
        <f>D23*C23</f>
        <v>503250000</v>
      </c>
      <c r="F23" s="551">
        <f>D23</f>
        <v>305000</v>
      </c>
      <c r="G23" s="730">
        <f>F23*C23</f>
        <v>503250000</v>
      </c>
    </row>
    <row r="24" spans="1:9" ht="20.25" customHeight="1">
      <c r="A24" s="732" t="s">
        <v>1575</v>
      </c>
      <c r="B24" s="728" t="s">
        <v>228</v>
      </c>
      <c r="C24" s="731">
        <v>200000</v>
      </c>
      <c r="D24" s="551">
        <v>120</v>
      </c>
      <c r="E24" s="551">
        <f>C24*D24</f>
        <v>24000000</v>
      </c>
      <c r="F24" s="551">
        <v>120</v>
      </c>
      <c r="G24" s="730">
        <f>C24*F24</f>
        <v>24000000</v>
      </c>
    </row>
    <row r="25" spans="1:9" ht="20.25" customHeight="1">
      <c r="A25" s="732" t="s">
        <v>1574</v>
      </c>
      <c r="B25" s="728" t="s">
        <v>8</v>
      </c>
      <c r="C25" s="731">
        <f>C14*80%</f>
        <v>104000</v>
      </c>
      <c r="D25" s="551">
        <v>1000</v>
      </c>
      <c r="E25" s="551">
        <f>C25*D25</f>
        <v>104000000</v>
      </c>
      <c r="F25" s="551">
        <v>1000</v>
      </c>
      <c r="G25" s="730">
        <f>C25*F25</f>
        <v>104000000</v>
      </c>
    </row>
    <row r="26" spans="1:9" s="588" customFormat="1" ht="20.25" customHeight="1">
      <c r="A26" s="729" t="s">
        <v>1271</v>
      </c>
      <c r="B26" s="728" t="s">
        <v>1270</v>
      </c>
      <c r="C26" s="727"/>
      <c r="D26" s="726"/>
      <c r="E26" s="725">
        <f>E22-G19-E20-E21</f>
        <v>87030000</v>
      </c>
      <c r="F26" s="725"/>
      <c r="G26" s="724">
        <f>G22-G11</f>
        <v>92530000</v>
      </c>
    </row>
    <row r="27" spans="1:9" ht="20.25" customHeight="1" thickBot="1">
      <c r="A27" s="587" t="s">
        <v>1269</v>
      </c>
      <c r="B27" s="723" t="s">
        <v>90</v>
      </c>
      <c r="C27" s="722"/>
      <c r="D27" s="721"/>
      <c r="E27" s="720">
        <f>E26/E22</f>
        <v>0.13786930693069308</v>
      </c>
      <c r="F27" s="719"/>
      <c r="G27" s="718">
        <f>G26/G22</f>
        <v>0.1465821782178218</v>
      </c>
    </row>
    <row r="28" spans="1:9" ht="20.25" customHeight="1" thickTop="1">
      <c r="A28" s="617"/>
      <c r="B28" s="618"/>
      <c r="C28" s="714"/>
      <c r="D28" s="617"/>
      <c r="E28" s="617"/>
      <c r="F28" s="617"/>
      <c r="G28" s="617"/>
    </row>
    <row r="29" spans="1:9" ht="20.25" customHeight="1">
      <c r="A29" s="577" t="s">
        <v>1268</v>
      </c>
      <c r="E29" s="717"/>
      <c r="F29" s="617"/>
      <c r="G29" s="617"/>
    </row>
    <row r="30" spans="1:9" ht="20.25" customHeight="1">
      <c r="A30" s="716" t="s">
        <v>1573</v>
      </c>
      <c r="B30" s="618"/>
      <c r="C30" s="714"/>
      <c r="D30" s="617"/>
      <c r="E30" s="617"/>
      <c r="F30" s="617"/>
      <c r="G30" s="617"/>
    </row>
    <row r="31" spans="1:9" ht="20.25" customHeight="1">
      <c r="A31" s="617" t="s">
        <v>1572</v>
      </c>
      <c r="B31" s="618"/>
      <c r="C31" s="714"/>
      <c r="D31" s="617"/>
      <c r="E31" s="617"/>
      <c r="F31" s="617"/>
      <c r="G31" s="617"/>
    </row>
    <row r="32" spans="1:9" ht="20.25" customHeight="1">
      <c r="A32" s="617" t="s">
        <v>1571</v>
      </c>
      <c r="B32" s="618"/>
      <c r="C32" s="714"/>
      <c r="D32" s="617"/>
      <c r="E32" s="617"/>
      <c r="F32" s="617"/>
      <c r="G32" s="617"/>
    </row>
    <row r="33" spans="1:7" ht="20.25" customHeight="1">
      <c r="A33" s="617" t="s">
        <v>1567</v>
      </c>
      <c r="B33" s="618"/>
      <c r="C33" s="714"/>
      <c r="D33" s="617"/>
      <c r="E33" s="617"/>
      <c r="F33" s="617"/>
      <c r="G33" s="617"/>
    </row>
    <row r="34" spans="1:7" ht="20.25" customHeight="1">
      <c r="A34" s="716" t="s">
        <v>1570</v>
      </c>
      <c r="B34" s="618"/>
      <c r="C34" s="714"/>
      <c r="D34" s="617"/>
    </row>
    <row r="35" spans="1:7" ht="20.25" customHeight="1">
      <c r="A35" s="617" t="s">
        <v>1569</v>
      </c>
      <c r="B35" s="618"/>
      <c r="C35" s="714"/>
      <c r="D35" s="617"/>
      <c r="F35" s="715"/>
    </row>
    <row r="36" spans="1:7" ht="20.25" customHeight="1">
      <c r="A36" s="617" t="s">
        <v>1568</v>
      </c>
      <c r="B36" s="618"/>
      <c r="C36" s="714"/>
      <c r="D36" s="617"/>
    </row>
    <row r="37" spans="1:7" ht="20.25" customHeight="1">
      <c r="A37" s="617" t="s">
        <v>1567</v>
      </c>
      <c r="B37" s="618"/>
      <c r="C37" s="714"/>
      <c r="D37" s="617"/>
    </row>
  </sheetData>
  <mergeCells count="5">
    <mergeCell ref="A5:G5"/>
    <mergeCell ref="A6:G6"/>
    <mergeCell ref="D8:E8"/>
    <mergeCell ref="D9:E9"/>
    <mergeCell ref="F9:G9"/>
  </mergeCells>
  <pageMargins left="1" right="0.31" top="0.75" bottom="0.75" header="0.5" footer="0.5"/>
  <pageSetup paperSize="9" scale="95" orientation="portrait" r:id="rId1"/>
  <headerFooter alignWithMargins="0">
    <oddFooter>&amp;CTrang</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R56"/>
  <sheetViews>
    <sheetView workbookViewId="0">
      <selection sqref="A1:A1048576"/>
    </sheetView>
  </sheetViews>
  <sheetFormatPr defaultRowHeight="16.5"/>
  <cols>
    <col min="1" max="1" width="4.42578125" style="523" bestFit="1" customWidth="1"/>
    <col min="2" max="2" width="41" style="523" customWidth="1"/>
    <col min="3" max="3" width="8" style="523" bestFit="1" customWidth="1"/>
    <col min="4" max="4" width="10" style="526" bestFit="1" customWidth="1"/>
    <col min="5" max="5" width="15.28515625" style="523" customWidth="1"/>
    <col min="6" max="6" width="14.42578125" style="523" bestFit="1" customWidth="1"/>
    <col min="7" max="7" width="10.28515625" style="523" bestFit="1" customWidth="1"/>
    <col min="8" max="8" width="15.5703125" style="523" bestFit="1" customWidth="1"/>
    <col min="9" max="9" width="13.85546875" style="526" bestFit="1" customWidth="1"/>
    <col min="10" max="10" width="16.28515625" style="523" bestFit="1" customWidth="1"/>
    <col min="11" max="11" width="24.28515625" style="523" bestFit="1" customWidth="1"/>
    <col min="12" max="12" width="15.85546875" style="523" bestFit="1" customWidth="1"/>
    <col min="13" max="13" width="9.28515625" style="523" bestFit="1" customWidth="1"/>
    <col min="14" max="14" width="15.28515625" style="523" customWidth="1"/>
    <col min="15" max="256" width="9.140625" style="523"/>
    <col min="257" max="257" width="4.28515625" style="523" bestFit="1" customWidth="1"/>
    <col min="258" max="258" width="41" style="523" customWidth="1"/>
    <col min="259" max="259" width="7.85546875" style="523" bestFit="1" customWidth="1"/>
    <col min="260" max="260" width="9.5703125" style="523" bestFit="1" customWidth="1"/>
    <col min="261" max="261" width="15.28515625" style="523" customWidth="1"/>
    <col min="262" max="262" width="14.28515625" style="523" bestFit="1" customWidth="1"/>
    <col min="263" max="263" width="10.140625" style="523" bestFit="1" customWidth="1"/>
    <col min="264" max="264" width="15.42578125" style="523" bestFit="1" customWidth="1"/>
    <col min="265" max="265" width="13.7109375" style="523" bestFit="1" customWidth="1"/>
    <col min="266" max="266" width="16.140625" style="523" bestFit="1" customWidth="1"/>
    <col min="267" max="267" width="26.85546875" style="523" bestFit="1" customWidth="1"/>
    <col min="268" max="268" width="26.42578125" style="523" customWidth="1"/>
    <col min="269" max="512" width="9.140625" style="523"/>
    <col min="513" max="513" width="4.28515625" style="523" bestFit="1" customWidth="1"/>
    <col min="514" max="514" width="41" style="523" customWidth="1"/>
    <col min="515" max="515" width="7.85546875" style="523" bestFit="1" customWidth="1"/>
    <col min="516" max="516" width="9.5703125" style="523" bestFit="1" customWidth="1"/>
    <col min="517" max="517" width="15.28515625" style="523" customWidth="1"/>
    <col min="518" max="518" width="14.28515625" style="523" bestFit="1" customWidth="1"/>
    <col min="519" max="519" width="10.140625" style="523" bestFit="1" customWidth="1"/>
    <col min="520" max="520" width="15.42578125" style="523" bestFit="1" customWidth="1"/>
    <col min="521" max="521" width="13.7109375" style="523" bestFit="1" customWidth="1"/>
    <col min="522" max="522" width="16.140625" style="523" bestFit="1" customWidth="1"/>
    <col min="523" max="523" width="26.85546875" style="523" bestFit="1" customWidth="1"/>
    <col min="524" max="524" width="26.42578125" style="523" customWidth="1"/>
    <col min="525" max="768" width="9.140625" style="523"/>
    <col min="769" max="769" width="4.28515625" style="523" bestFit="1" customWidth="1"/>
    <col min="770" max="770" width="41" style="523" customWidth="1"/>
    <col min="771" max="771" width="7.85546875" style="523" bestFit="1" customWidth="1"/>
    <col min="772" max="772" width="9.5703125" style="523" bestFit="1" customWidth="1"/>
    <col min="773" max="773" width="15.28515625" style="523" customWidth="1"/>
    <col min="774" max="774" width="14.28515625" style="523" bestFit="1" customWidth="1"/>
    <col min="775" max="775" width="10.140625" style="523" bestFit="1" customWidth="1"/>
    <col min="776" max="776" width="15.42578125" style="523" bestFit="1" customWidth="1"/>
    <col min="777" max="777" width="13.7109375" style="523" bestFit="1" customWidth="1"/>
    <col min="778" max="778" width="16.140625" style="523" bestFit="1" customWidth="1"/>
    <col min="779" max="779" width="26.85546875" style="523" bestFit="1" customWidth="1"/>
    <col min="780" max="780" width="26.42578125" style="523" customWidth="1"/>
    <col min="781" max="1024" width="9.140625" style="523"/>
    <col min="1025" max="1025" width="4.28515625" style="523" bestFit="1" customWidth="1"/>
    <col min="1026" max="1026" width="41" style="523" customWidth="1"/>
    <col min="1027" max="1027" width="7.85546875" style="523" bestFit="1" customWidth="1"/>
    <col min="1028" max="1028" width="9.5703125" style="523" bestFit="1" customWidth="1"/>
    <col min="1029" max="1029" width="15.28515625" style="523" customWidth="1"/>
    <col min="1030" max="1030" width="14.28515625" style="523" bestFit="1" customWidth="1"/>
    <col min="1031" max="1031" width="10.140625" style="523" bestFit="1" customWidth="1"/>
    <col min="1032" max="1032" width="15.42578125" style="523" bestFit="1" customWidth="1"/>
    <col min="1033" max="1033" width="13.7109375" style="523" bestFit="1" customWidth="1"/>
    <col min="1034" max="1034" width="16.140625" style="523" bestFit="1" customWidth="1"/>
    <col min="1035" max="1035" width="26.85546875" style="523" bestFit="1" customWidth="1"/>
    <col min="1036" max="1036" width="26.42578125" style="523" customWidth="1"/>
    <col min="1037" max="1280" width="9.140625" style="523"/>
    <col min="1281" max="1281" width="4.28515625" style="523" bestFit="1" customWidth="1"/>
    <col min="1282" max="1282" width="41" style="523" customWidth="1"/>
    <col min="1283" max="1283" width="7.85546875" style="523" bestFit="1" customWidth="1"/>
    <col min="1284" max="1284" width="9.5703125" style="523" bestFit="1" customWidth="1"/>
    <col min="1285" max="1285" width="15.28515625" style="523" customWidth="1"/>
    <col min="1286" max="1286" width="14.28515625" style="523" bestFit="1" customWidth="1"/>
    <col min="1287" max="1287" width="10.140625" style="523" bestFit="1" customWidth="1"/>
    <col min="1288" max="1288" width="15.42578125" style="523" bestFit="1" customWidth="1"/>
    <col min="1289" max="1289" width="13.7109375" style="523" bestFit="1" customWidth="1"/>
    <col min="1290" max="1290" width="16.140625" style="523" bestFit="1" customWidth="1"/>
    <col min="1291" max="1291" width="26.85546875" style="523" bestFit="1" customWidth="1"/>
    <col min="1292" max="1292" width="26.42578125" style="523" customWidth="1"/>
    <col min="1293" max="1536" width="9.140625" style="523"/>
    <col min="1537" max="1537" width="4.28515625" style="523" bestFit="1" customWidth="1"/>
    <col min="1538" max="1538" width="41" style="523" customWidth="1"/>
    <col min="1539" max="1539" width="7.85546875" style="523" bestFit="1" customWidth="1"/>
    <col min="1540" max="1540" width="9.5703125" style="523" bestFit="1" customWidth="1"/>
    <col min="1541" max="1541" width="15.28515625" style="523" customWidth="1"/>
    <col min="1542" max="1542" width="14.28515625" style="523" bestFit="1" customWidth="1"/>
    <col min="1543" max="1543" width="10.140625" style="523" bestFit="1" customWidth="1"/>
    <col min="1544" max="1544" width="15.42578125" style="523" bestFit="1" customWidth="1"/>
    <col min="1545" max="1545" width="13.7109375" style="523" bestFit="1" customWidth="1"/>
    <col min="1546" max="1546" width="16.140625" style="523" bestFit="1" customWidth="1"/>
    <col min="1547" max="1547" width="26.85546875" style="523" bestFit="1" customWidth="1"/>
    <col min="1548" max="1548" width="26.42578125" style="523" customWidth="1"/>
    <col min="1549" max="1792" width="9.140625" style="523"/>
    <col min="1793" max="1793" width="4.28515625" style="523" bestFit="1" customWidth="1"/>
    <col min="1794" max="1794" width="41" style="523" customWidth="1"/>
    <col min="1795" max="1795" width="7.85546875" style="523" bestFit="1" customWidth="1"/>
    <col min="1796" max="1796" width="9.5703125" style="523" bestFit="1" customWidth="1"/>
    <col min="1797" max="1797" width="15.28515625" style="523" customWidth="1"/>
    <col min="1798" max="1798" width="14.28515625" style="523" bestFit="1" customWidth="1"/>
    <col min="1799" max="1799" width="10.140625" style="523" bestFit="1" customWidth="1"/>
    <col min="1800" max="1800" width="15.42578125" style="523" bestFit="1" customWidth="1"/>
    <col min="1801" max="1801" width="13.7109375" style="523" bestFit="1" customWidth="1"/>
    <col min="1802" max="1802" width="16.140625" style="523" bestFit="1" customWidth="1"/>
    <col min="1803" max="1803" width="26.85546875" style="523" bestFit="1" customWidth="1"/>
    <col min="1804" max="1804" width="26.42578125" style="523" customWidth="1"/>
    <col min="1805" max="2048" width="9.140625" style="523"/>
    <col min="2049" max="2049" width="4.28515625" style="523" bestFit="1" customWidth="1"/>
    <col min="2050" max="2050" width="41" style="523" customWidth="1"/>
    <col min="2051" max="2051" width="7.85546875" style="523" bestFit="1" customWidth="1"/>
    <col min="2052" max="2052" width="9.5703125" style="523" bestFit="1" customWidth="1"/>
    <col min="2053" max="2053" width="15.28515625" style="523" customWidth="1"/>
    <col min="2054" max="2054" width="14.28515625" style="523" bestFit="1" customWidth="1"/>
    <col min="2055" max="2055" width="10.140625" style="523" bestFit="1" customWidth="1"/>
    <col min="2056" max="2056" width="15.42578125" style="523" bestFit="1" customWidth="1"/>
    <col min="2057" max="2057" width="13.7109375" style="523" bestFit="1" customWidth="1"/>
    <col min="2058" max="2058" width="16.140625" style="523" bestFit="1" customWidth="1"/>
    <col min="2059" max="2059" width="26.85546875" style="523" bestFit="1" customWidth="1"/>
    <col min="2060" max="2060" width="26.42578125" style="523" customWidth="1"/>
    <col min="2061" max="2304" width="9.140625" style="523"/>
    <col min="2305" max="2305" width="4.28515625" style="523" bestFit="1" customWidth="1"/>
    <col min="2306" max="2306" width="41" style="523" customWidth="1"/>
    <col min="2307" max="2307" width="7.85546875" style="523" bestFit="1" customWidth="1"/>
    <col min="2308" max="2308" width="9.5703125" style="523" bestFit="1" customWidth="1"/>
    <col min="2309" max="2309" width="15.28515625" style="523" customWidth="1"/>
    <col min="2310" max="2310" width="14.28515625" style="523" bestFit="1" customWidth="1"/>
    <col min="2311" max="2311" width="10.140625" style="523" bestFit="1" customWidth="1"/>
    <col min="2312" max="2312" width="15.42578125" style="523" bestFit="1" customWidth="1"/>
    <col min="2313" max="2313" width="13.7109375" style="523" bestFit="1" customWidth="1"/>
    <col min="2314" max="2314" width="16.140625" style="523" bestFit="1" customWidth="1"/>
    <col min="2315" max="2315" width="26.85546875" style="523" bestFit="1" customWidth="1"/>
    <col min="2316" max="2316" width="26.42578125" style="523" customWidth="1"/>
    <col min="2317" max="2560" width="9.140625" style="523"/>
    <col min="2561" max="2561" width="4.28515625" style="523" bestFit="1" customWidth="1"/>
    <col min="2562" max="2562" width="41" style="523" customWidth="1"/>
    <col min="2563" max="2563" width="7.85546875" style="523" bestFit="1" customWidth="1"/>
    <col min="2564" max="2564" width="9.5703125" style="523" bestFit="1" customWidth="1"/>
    <col min="2565" max="2565" width="15.28515625" style="523" customWidth="1"/>
    <col min="2566" max="2566" width="14.28515625" style="523" bestFit="1" customWidth="1"/>
    <col min="2567" max="2567" width="10.140625" style="523" bestFit="1" customWidth="1"/>
    <col min="2568" max="2568" width="15.42578125" style="523" bestFit="1" customWidth="1"/>
    <col min="2569" max="2569" width="13.7109375" style="523" bestFit="1" customWidth="1"/>
    <col min="2570" max="2570" width="16.140625" style="523" bestFit="1" customWidth="1"/>
    <col min="2571" max="2571" width="26.85546875" style="523" bestFit="1" customWidth="1"/>
    <col min="2572" max="2572" width="26.42578125" style="523" customWidth="1"/>
    <col min="2573" max="2816" width="9.140625" style="523"/>
    <col min="2817" max="2817" width="4.28515625" style="523" bestFit="1" customWidth="1"/>
    <col min="2818" max="2818" width="41" style="523" customWidth="1"/>
    <col min="2819" max="2819" width="7.85546875" style="523" bestFit="1" customWidth="1"/>
    <col min="2820" max="2820" width="9.5703125" style="523" bestFit="1" customWidth="1"/>
    <col min="2821" max="2821" width="15.28515625" style="523" customWidth="1"/>
    <col min="2822" max="2822" width="14.28515625" style="523" bestFit="1" customWidth="1"/>
    <col min="2823" max="2823" width="10.140625" style="523" bestFit="1" customWidth="1"/>
    <col min="2824" max="2824" width="15.42578125" style="523" bestFit="1" customWidth="1"/>
    <col min="2825" max="2825" width="13.7109375" style="523" bestFit="1" customWidth="1"/>
    <col min="2826" max="2826" width="16.140625" style="523" bestFit="1" customWidth="1"/>
    <col min="2827" max="2827" width="26.85546875" style="523" bestFit="1" customWidth="1"/>
    <col min="2828" max="2828" width="26.42578125" style="523" customWidth="1"/>
    <col min="2829" max="3072" width="9.140625" style="523"/>
    <col min="3073" max="3073" width="4.28515625" style="523" bestFit="1" customWidth="1"/>
    <col min="3074" max="3074" width="41" style="523" customWidth="1"/>
    <col min="3075" max="3075" width="7.85546875" style="523" bestFit="1" customWidth="1"/>
    <col min="3076" max="3076" width="9.5703125" style="523" bestFit="1" customWidth="1"/>
    <col min="3077" max="3077" width="15.28515625" style="523" customWidth="1"/>
    <col min="3078" max="3078" width="14.28515625" style="523" bestFit="1" customWidth="1"/>
    <col min="3079" max="3079" width="10.140625" style="523" bestFit="1" customWidth="1"/>
    <col min="3080" max="3080" width="15.42578125" style="523" bestFit="1" customWidth="1"/>
    <col min="3081" max="3081" width="13.7109375" style="523" bestFit="1" customWidth="1"/>
    <col min="3082" max="3082" width="16.140625" style="523" bestFit="1" customWidth="1"/>
    <col min="3083" max="3083" width="26.85546875" style="523" bestFit="1" customWidth="1"/>
    <col min="3084" max="3084" width="26.42578125" style="523" customWidth="1"/>
    <col min="3085" max="3328" width="9.140625" style="523"/>
    <col min="3329" max="3329" width="4.28515625" style="523" bestFit="1" customWidth="1"/>
    <col min="3330" max="3330" width="41" style="523" customWidth="1"/>
    <col min="3331" max="3331" width="7.85546875" style="523" bestFit="1" customWidth="1"/>
    <col min="3332" max="3332" width="9.5703125" style="523" bestFit="1" customWidth="1"/>
    <col min="3333" max="3333" width="15.28515625" style="523" customWidth="1"/>
    <col min="3334" max="3334" width="14.28515625" style="523" bestFit="1" customWidth="1"/>
    <col min="3335" max="3335" width="10.140625" style="523" bestFit="1" customWidth="1"/>
    <col min="3336" max="3336" width="15.42578125" style="523" bestFit="1" customWidth="1"/>
    <col min="3337" max="3337" width="13.7109375" style="523" bestFit="1" customWidth="1"/>
    <col min="3338" max="3338" width="16.140625" style="523" bestFit="1" customWidth="1"/>
    <col min="3339" max="3339" width="26.85546875" style="523" bestFit="1" customWidth="1"/>
    <col min="3340" max="3340" width="26.42578125" style="523" customWidth="1"/>
    <col min="3341" max="3584" width="9.140625" style="523"/>
    <col min="3585" max="3585" width="4.28515625" style="523" bestFit="1" customWidth="1"/>
    <col min="3586" max="3586" width="41" style="523" customWidth="1"/>
    <col min="3587" max="3587" width="7.85546875" style="523" bestFit="1" customWidth="1"/>
    <col min="3588" max="3588" width="9.5703125" style="523" bestFit="1" customWidth="1"/>
    <col min="3589" max="3589" width="15.28515625" style="523" customWidth="1"/>
    <col min="3590" max="3590" width="14.28515625" style="523" bestFit="1" customWidth="1"/>
    <col min="3591" max="3591" width="10.140625" style="523" bestFit="1" customWidth="1"/>
    <col min="3592" max="3592" width="15.42578125" style="523" bestFit="1" customWidth="1"/>
    <col min="3593" max="3593" width="13.7109375" style="523" bestFit="1" customWidth="1"/>
    <col min="3594" max="3594" width="16.140625" style="523" bestFit="1" customWidth="1"/>
    <col min="3595" max="3595" width="26.85546875" style="523" bestFit="1" customWidth="1"/>
    <col min="3596" max="3596" width="26.42578125" style="523" customWidth="1"/>
    <col min="3597" max="3840" width="9.140625" style="523"/>
    <col min="3841" max="3841" width="4.28515625" style="523" bestFit="1" customWidth="1"/>
    <col min="3842" max="3842" width="41" style="523" customWidth="1"/>
    <col min="3843" max="3843" width="7.85546875" style="523" bestFit="1" customWidth="1"/>
    <col min="3844" max="3844" width="9.5703125" style="523" bestFit="1" customWidth="1"/>
    <col min="3845" max="3845" width="15.28515625" style="523" customWidth="1"/>
    <col min="3846" max="3846" width="14.28515625" style="523" bestFit="1" customWidth="1"/>
    <col min="3847" max="3847" width="10.140625" style="523" bestFit="1" customWidth="1"/>
    <col min="3848" max="3848" width="15.42578125" style="523" bestFit="1" customWidth="1"/>
    <col min="3849" max="3849" width="13.7109375" style="523" bestFit="1" customWidth="1"/>
    <col min="3850" max="3850" width="16.140625" style="523" bestFit="1" customWidth="1"/>
    <col min="3851" max="3851" width="26.85546875" style="523" bestFit="1" customWidth="1"/>
    <col min="3852" max="3852" width="26.42578125" style="523" customWidth="1"/>
    <col min="3853" max="4096" width="9.140625" style="523"/>
    <col min="4097" max="4097" width="4.28515625" style="523" bestFit="1" customWidth="1"/>
    <col min="4098" max="4098" width="41" style="523" customWidth="1"/>
    <col min="4099" max="4099" width="7.85546875" style="523" bestFit="1" customWidth="1"/>
    <col min="4100" max="4100" width="9.5703125" style="523" bestFit="1" customWidth="1"/>
    <col min="4101" max="4101" width="15.28515625" style="523" customWidth="1"/>
    <col min="4102" max="4102" width="14.28515625" style="523" bestFit="1" customWidth="1"/>
    <col min="4103" max="4103" width="10.140625" style="523" bestFit="1" customWidth="1"/>
    <col min="4104" max="4104" width="15.42578125" style="523" bestFit="1" customWidth="1"/>
    <col min="4105" max="4105" width="13.7109375" style="523" bestFit="1" customWidth="1"/>
    <col min="4106" max="4106" width="16.140625" style="523" bestFit="1" customWidth="1"/>
    <col min="4107" max="4107" width="26.85546875" style="523" bestFit="1" customWidth="1"/>
    <col min="4108" max="4108" width="26.42578125" style="523" customWidth="1"/>
    <col min="4109" max="4352" width="9.140625" style="523"/>
    <col min="4353" max="4353" width="4.28515625" style="523" bestFit="1" customWidth="1"/>
    <col min="4354" max="4354" width="41" style="523" customWidth="1"/>
    <col min="4355" max="4355" width="7.85546875" style="523" bestFit="1" customWidth="1"/>
    <col min="4356" max="4356" width="9.5703125" style="523" bestFit="1" customWidth="1"/>
    <col min="4357" max="4357" width="15.28515625" style="523" customWidth="1"/>
    <col min="4358" max="4358" width="14.28515625" style="523" bestFit="1" customWidth="1"/>
    <col min="4359" max="4359" width="10.140625" style="523" bestFit="1" customWidth="1"/>
    <col min="4360" max="4360" width="15.42578125" style="523" bestFit="1" customWidth="1"/>
    <col min="4361" max="4361" width="13.7109375" style="523" bestFit="1" customWidth="1"/>
    <col min="4362" max="4362" width="16.140625" style="523" bestFit="1" customWidth="1"/>
    <col min="4363" max="4363" width="26.85546875" style="523" bestFit="1" customWidth="1"/>
    <col min="4364" max="4364" width="26.42578125" style="523" customWidth="1"/>
    <col min="4365" max="4608" width="9.140625" style="523"/>
    <col min="4609" max="4609" width="4.28515625" style="523" bestFit="1" customWidth="1"/>
    <col min="4610" max="4610" width="41" style="523" customWidth="1"/>
    <col min="4611" max="4611" width="7.85546875" style="523" bestFit="1" customWidth="1"/>
    <col min="4612" max="4612" width="9.5703125" style="523" bestFit="1" customWidth="1"/>
    <col min="4613" max="4613" width="15.28515625" style="523" customWidth="1"/>
    <col min="4614" max="4614" width="14.28515625" style="523" bestFit="1" customWidth="1"/>
    <col min="4615" max="4615" width="10.140625" style="523" bestFit="1" customWidth="1"/>
    <col min="4616" max="4616" width="15.42578125" style="523" bestFit="1" customWidth="1"/>
    <col min="4617" max="4617" width="13.7109375" style="523" bestFit="1" customWidth="1"/>
    <col min="4618" max="4618" width="16.140625" style="523" bestFit="1" customWidth="1"/>
    <col min="4619" max="4619" width="26.85546875" style="523" bestFit="1" customWidth="1"/>
    <col min="4620" max="4620" width="26.42578125" style="523" customWidth="1"/>
    <col min="4621" max="4864" width="9.140625" style="523"/>
    <col min="4865" max="4865" width="4.28515625" style="523" bestFit="1" customWidth="1"/>
    <col min="4866" max="4866" width="41" style="523" customWidth="1"/>
    <col min="4867" max="4867" width="7.85546875" style="523" bestFit="1" customWidth="1"/>
    <col min="4868" max="4868" width="9.5703125" style="523" bestFit="1" customWidth="1"/>
    <col min="4869" max="4869" width="15.28515625" style="523" customWidth="1"/>
    <col min="4870" max="4870" width="14.28515625" style="523" bestFit="1" customWidth="1"/>
    <col min="4871" max="4871" width="10.140625" style="523" bestFit="1" customWidth="1"/>
    <col min="4872" max="4872" width="15.42578125" style="523" bestFit="1" customWidth="1"/>
    <col min="4873" max="4873" width="13.7109375" style="523" bestFit="1" customWidth="1"/>
    <col min="4874" max="4874" width="16.140625" style="523" bestFit="1" customWidth="1"/>
    <col min="4875" max="4875" width="26.85546875" style="523" bestFit="1" customWidth="1"/>
    <col min="4876" max="4876" width="26.42578125" style="523" customWidth="1"/>
    <col min="4877" max="5120" width="9.140625" style="523"/>
    <col min="5121" max="5121" width="4.28515625" style="523" bestFit="1" customWidth="1"/>
    <col min="5122" max="5122" width="41" style="523" customWidth="1"/>
    <col min="5123" max="5123" width="7.85546875" style="523" bestFit="1" customWidth="1"/>
    <col min="5124" max="5124" width="9.5703125" style="523" bestFit="1" customWidth="1"/>
    <col min="5125" max="5125" width="15.28515625" style="523" customWidth="1"/>
    <col min="5126" max="5126" width="14.28515625" style="523" bestFit="1" customWidth="1"/>
    <col min="5127" max="5127" width="10.140625" style="523" bestFit="1" customWidth="1"/>
    <col min="5128" max="5128" width="15.42578125" style="523" bestFit="1" customWidth="1"/>
    <col min="5129" max="5129" width="13.7109375" style="523" bestFit="1" customWidth="1"/>
    <col min="5130" max="5130" width="16.140625" style="523" bestFit="1" customWidth="1"/>
    <col min="5131" max="5131" width="26.85546875" style="523" bestFit="1" customWidth="1"/>
    <col min="5132" max="5132" width="26.42578125" style="523" customWidth="1"/>
    <col min="5133" max="5376" width="9.140625" style="523"/>
    <col min="5377" max="5377" width="4.28515625" style="523" bestFit="1" customWidth="1"/>
    <col min="5378" max="5378" width="41" style="523" customWidth="1"/>
    <col min="5379" max="5379" width="7.85546875" style="523" bestFit="1" customWidth="1"/>
    <col min="5380" max="5380" width="9.5703125" style="523" bestFit="1" customWidth="1"/>
    <col min="5381" max="5381" width="15.28515625" style="523" customWidth="1"/>
    <col min="5382" max="5382" width="14.28515625" style="523" bestFit="1" customWidth="1"/>
    <col min="5383" max="5383" width="10.140625" style="523" bestFit="1" customWidth="1"/>
    <col min="5384" max="5384" width="15.42578125" style="523" bestFit="1" customWidth="1"/>
    <col min="5385" max="5385" width="13.7109375" style="523" bestFit="1" customWidth="1"/>
    <col min="5386" max="5386" width="16.140625" style="523" bestFit="1" customWidth="1"/>
    <col min="5387" max="5387" width="26.85546875" style="523" bestFit="1" customWidth="1"/>
    <col min="5388" max="5388" width="26.42578125" style="523" customWidth="1"/>
    <col min="5389" max="5632" width="9.140625" style="523"/>
    <col min="5633" max="5633" width="4.28515625" style="523" bestFit="1" customWidth="1"/>
    <col min="5634" max="5634" width="41" style="523" customWidth="1"/>
    <col min="5635" max="5635" width="7.85546875" style="523" bestFit="1" customWidth="1"/>
    <col min="5636" max="5636" width="9.5703125" style="523" bestFit="1" customWidth="1"/>
    <col min="5637" max="5637" width="15.28515625" style="523" customWidth="1"/>
    <col min="5638" max="5638" width="14.28515625" style="523" bestFit="1" customWidth="1"/>
    <col min="5639" max="5639" width="10.140625" style="523" bestFit="1" customWidth="1"/>
    <col min="5640" max="5640" width="15.42578125" style="523" bestFit="1" customWidth="1"/>
    <col min="5641" max="5641" width="13.7109375" style="523" bestFit="1" customWidth="1"/>
    <col min="5642" max="5642" width="16.140625" style="523" bestFit="1" customWidth="1"/>
    <col min="5643" max="5643" width="26.85546875" style="523" bestFit="1" customWidth="1"/>
    <col min="5644" max="5644" width="26.42578125" style="523" customWidth="1"/>
    <col min="5645" max="5888" width="9.140625" style="523"/>
    <col min="5889" max="5889" width="4.28515625" style="523" bestFit="1" customWidth="1"/>
    <col min="5890" max="5890" width="41" style="523" customWidth="1"/>
    <col min="5891" max="5891" width="7.85546875" style="523" bestFit="1" customWidth="1"/>
    <col min="5892" max="5892" width="9.5703125" style="523" bestFit="1" customWidth="1"/>
    <col min="5893" max="5893" width="15.28515625" style="523" customWidth="1"/>
    <col min="5894" max="5894" width="14.28515625" style="523" bestFit="1" customWidth="1"/>
    <col min="5895" max="5895" width="10.140625" style="523" bestFit="1" customWidth="1"/>
    <col min="5896" max="5896" width="15.42578125" style="523" bestFit="1" customWidth="1"/>
    <col min="5897" max="5897" width="13.7109375" style="523" bestFit="1" customWidth="1"/>
    <col min="5898" max="5898" width="16.140625" style="523" bestFit="1" customWidth="1"/>
    <col min="5899" max="5899" width="26.85546875" style="523" bestFit="1" customWidth="1"/>
    <col min="5900" max="5900" width="26.42578125" style="523" customWidth="1"/>
    <col min="5901" max="6144" width="9.140625" style="523"/>
    <col min="6145" max="6145" width="4.28515625" style="523" bestFit="1" customWidth="1"/>
    <col min="6146" max="6146" width="41" style="523" customWidth="1"/>
    <col min="6147" max="6147" width="7.85546875" style="523" bestFit="1" customWidth="1"/>
    <col min="6148" max="6148" width="9.5703125" style="523" bestFit="1" customWidth="1"/>
    <col min="6149" max="6149" width="15.28515625" style="523" customWidth="1"/>
    <col min="6150" max="6150" width="14.28515625" style="523" bestFit="1" customWidth="1"/>
    <col min="6151" max="6151" width="10.140625" style="523" bestFit="1" customWidth="1"/>
    <col min="6152" max="6152" width="15.42578125" style="523" bestFit="1" customWidth="1"/>
    <col min="6153" max="6153" width="13.7109375" style="523" bestFit="1" customWidth="1"/>
    <col min="6154" max="6154" width="16.140625" style="523" bestFit="1" customWidth="1"/>
    <col min="6155" max="6155" width="26.85546875" style="523" bestFit="1" customWidth="1"/>
    <col min="6156" max="6156" width="26.42578125" style="523" customWidth="1"/>
    <col min="6157" max="6400" width="9.140625" style="523"/>
    <col min="6401" max="6401" width="4.28515625" style="523" bestFit="1" customWidth="1"/>
    <col min="6402" max="6402" width="41" style="523" customWidth="1"/>
    <col min="6403" max="6403" width="7.85546875" style="523" bestFit="1" customWidth="1"/>
    <col min="6404" max="6404" width="9.5703125" style="523" bestFit="1" customWidth="1"/>
    <col min="6405" max="6405" width="15.28515625" style="523" customWidth="1"/>
    <col min="6406" max="6406" width="14.28515625" style="523" bestFit="1" customWidth="1"/>
    <col min="6407" max="6407" width="10.140625" style="523" bestFit="1" customWidth="1"/>
    <col min="6408" max="6408" width="15.42578125" style="523" bestFit="1" customWidth="1"/>
    <col min="6409" max="6409" width="13.7109375" style="523" bestFit="1" customWidth="1"/>
    <col min="6410" max="6410" width="16.140625" style="523" bestFit="1" customWidth="1"/>
    <col min="6411" max="6411" width="26.85546875" style="523" bestFit="1" customWidth="1"/>
    <col min="6412" max="6412" width="26.42578125" style="523" customWidth="1"/>
    <col min="6413" max="6656" width="9.140625" style="523"/>
    <col min="6657" max="6657" width="4.28515625" style="523" bestFit="1" customWidth="1"/>
    <col min="6658" max="6658" width="41" style="523" customWidth="1"/>
    <col min="6659" max="6659" width="7.85546875" style="523" bestFit="1" customWidth="1"/>
    <col min="6660" max="6660" width="9.5703125" style="523" bestFit="1" customWidth="1"/>
    <col min="6661" max="6661" width="15.28515625" style="523" customWidth="1"/>
    <col min="6662" max="6662" width="14.28515625" style="523" bestFit="1" customWidth="1"/>
    <col min="6663" max="6663" width="10.140625" style="523" bestFit="1" customWidth="1"/>
    <col min="6664" max="6664" width="15.42578125" style="523" bestFit="1" customWidth="1"/>
    <col min="6665" max="6665" width="13.7109375" style="523" bestFit="1" customWidth="1"/>
    <col min="6666" max="6666" width="16.140625" style="523" bestFit="1" customWidth="1"/>
    <col min="6667" max="6667" width="26.85546875" style="523" bestFit="1" customWidth="1"/>
    <col min="6668" max="6668" width="26.42578125" style="523" customWidth="1"/>
    <col min="6669" max="6912" width="9.140625" style="523"/>
    <col min="6913" max="6913" width="4.28515625" style="523" bestFit="1" customWidth="1"/>
    <col min="6914" max="6914" width="41" style="523" customWidth="1"/>
    <col min="6915" max="6915" width="7.85546875" style="523" bestFit="1" customWidth="1"/>
    <col min="6916" max="6916" width="9.5703125" style="523" bestFit="1" customWidth="1"/>
    <col min="6917" max="6917" width="15.28515625" style="523" customWidth="1"/>
    <col min="6918" max="6918" width="14.28515625" style="523" bestFit="1" customWidth="1"/>
    <col min="6919" max="6919" width="10.140625" style="523" bestFit="1" customWidth="1"/>
    <col min="6920" max="6920" width="15.42578125" style="523" bestFit="1" customWidth="1"/>
    <col min="6921" max="6921" width="13.7109375" style="523" bestFit="1" customWidth="1"/>
    <col min="6922" max="6922" width="16.140625" style="523" bestFit="1" customWidth="1"/>
    <col min="6923" max="6923" width="26.85546875" style="523" bestFit="1" customWidth="1"/>
    <col min="6924" max="6924" width="26.42578125" style="523" customWidth="1"/>
    <col min="6925" max="7168" width="9.140625" style="523"/>
    <col min="7169" max="7169" width="4.28515625" style="523" bestFit="1" customWidth="1"/>
    <col min="7170" max="7170" width="41" style="523" customWidth="1"/>
    <col min="7171" max="7171" width="7.85546875" style="523" bestFit="1" customWidth="1"/>
    <col min="7172" max="7172" width="9.5703125" style="523" bestFit="1" customWidth="1"/>
    <col min="7173" max="7173" width="15.28515625" style="523" customWidth="1"/>
    <col min="7174" max="7174" width="14.28515625" style="523" bestFit="1" customWidth="1"/>
    <col min="7175" max="7175" width="10.140625" style="523" bestFit="1" customWidth="1"/>
    <col min="7176" max="7176" width="15.42578125" style="523" bestFit="1" customWidth="1"/>
    <col min="7177" max="7177" width="13.7109375" style="523" bestFit="1" customWidth="1"/>
    <col min="7178" max="7178" width="16.140625" style="523" bestFit="1" customWidth="1"/>
    <col min="7179" max="7179" width="26.85546875" style="523" bestFit="1" customWidth="1"/>
    <col min="7180" max="7180" width="26.42578125" style="523" customWidth="1"/>
    <col min="7181" max="7424" width="9.140625" style="523"/>
    <col min="7425" max="7425" width="4.28515625" style="523" bestFit="1" customWidth="1"/>
    <col min="7426" max="7426" width="41" style="523" customWidth="1"/>
    <col min="7427" max="7427" width="7.85546875" style="523" bestFit="1" customWidth="1"/>
    <col min="7428" max="7428" width="9.5703125" style="523" bestFit="1" customWidth="1"/>
    <col min="7429" max="7429" width="15.28515625" style="523" customWidth="1"/>
    <col min="7430" max="7430" width="14.28515625" style="523" bestFit="1" customWidth="1"/>
    <col min="7431" max="7431" width="10.140625" style="523" bestFit="1" customWidth="1"/>
    <col min="7432" max="7432" width="15.42578125" style="523" bestFit="1" customWidth="1"/>
    <col min="7433" max="7433" width="13.7109375" style="523" bestFit="1" customWidth="1"/>
    <col min="7434" max="7434" width="16.140625" style="523" bestFit="1" customWidth="1"/>
    <col min="7435" max="7435" width="26.85546875" style="523" bestFit="1" customWidth="1"/>
    <col min="7436" max="7436" width="26.42578125" style="523" customWidth="1"/>
    <col min="7437" max="7680" width="9.140625" style="523"/>
    <col min="7681" max="7681" width="4.28515625" style="523" bestFit="1" customWidth="1"/>
    <col min="7682" max="7682" width="41" style="523" customWidth="1"/>
    <col min="7683" max="7683" width="7.85546875" style="523" bestFit="1" customWidth="1"/>
    <col min="7684" max="7684" width="9.5703125" style="523" bestFit="1" customWidth="1"/>
    <col min="7685" max="7685" width="15.28515625" style="523" customWidth="1"/>
    <col min="7686" max="7686" width="14.28515625" style="523" bestFit="1" customWidth="1"/>
    <col min="7687" max="7687" width="10.140625" style="523" bestFit="1" customWidth="1"/>
    <col min="7688" max="7688" width="15.42578125" style="523" bestFit="1" customWidth="1"/>
    <col min="7689" max="7689" width="13.7109375" style="523" bestFit="1" customWidth="1"/>
    <col min="7690" max="7690" width="16.140625" style="523" bestFit="1" customWidth="1"/>
    <col min="7691" max="7691" width="26.85546875" style="523" bestFit="1" customWidth="1"/>
    <col min="7692" max="7692" width="26.42578125" style="523" customWidth="1"/>
    <col min="7693" max="7936" width="9.140625" style="523"/>
    <col min="7937" max="7937" width="4.28515625" style="523" bestFit="1" customWidth="1"/>
    <col min="7938" max="7938" width="41" style="523" customWidth="1"/>
    <col min="7939" max="7939" width="7.85546875" style="523" bestFit="1" customWidth="1"/>
    <col min="7940" max="7940" width="9.5703125" style="523" bestFit="1" customWidth="1"/>
    <col min="7941" max="7941" width="15.28515625" style="523" customWidth="1"/>
    <col min="7942" max="7942" width="14.28515625" style="523" bestFit="1" customWidth="1"/>
    <col min="7943" max="7943" width="10.140625" style="523" bestFit="1" customWidth="1"/>
    <col min="7944" max="7944" width="15.42578125" style="523" bestFit="1" customWidth="1"/>
    <col min="7945" max="7945" width="13.7109375" style="523" bestFit="1" customWidth="1"/>
    <col min="7946" max="7946" width="16.140625" style="523" bestFit="1" customWidth="1"/>
    <col min="7947" max="7947" width="26.85546875" style="523" bestFit="1" customWidth="1"/>
    <col min="7948" max="7948" width="26.42578125" style="523" customWidth="1"/>
    <col min="7949" max="8192" width="9.140625" style="523"/>
    <col min="8193" max="8193" width="4.28515625" style="523" bestFit="1" customWidth="1"/>
    <col min="8194" max="8194" width="41" style="523" customWidth="1"/>
    <col min="8195" max="8195" width="7.85546875" style="523" bestFit="1" customWidth="1"/>
    <col min="8196" max="8196" width="9.5703125" style="523" bestFit="1" customWidth="1"/>
    <col min="8197" max="8197" width="15.28515625" style="523" customWidth="1"/>
    <col min="8198" max="8198" width="14.28515625" style="523" bestFit="1" customWidth="1"/>
    <col min="8199" max="8199" width="10.140625" style="523" bestFit="1" customWidth="1"/>
    <col min="8200" max="8200" width="15.42578125" style="523" bestFit="1" customWidth="1"/>
    <col min="8201" max="8201" width="13.7109375" style="523" bestFit="1" customWidth="1"/>
    <col min="8202" max="8202" width="16.140625" style="523" bestFit="1" customWidth="1"/>
    <col min="8203" max="8203" width="26.85546875" style="523" bestFit="1" customWidth="1"/>
    <col min="8204" max="8204" width="26.42578125" style="523" customWidth="1"/>
    <col min="8205" max="8448" width="9.140625" style="523"/>
    <col min="8449" max="8449" width="4.28515625" style="523" bestFit="1" customWidth="1"/>
    <col min="8450" max="8450" width="41" style="523" customWidth="1"/>
    <col min="8451" max="8451" width="7.85546875" style="523" bestFit="1" customWidth="1"/>
    <col min="8452" max="8452" width="9.5703125" style="523" bestFit="1" customWidth="1"/>
    <col min="8453" max="8453" width="15.28515625" style="523" customWidth="1"/>
    <col min="8454" max="8454" width="14.28515625" style="523" bestFit="1" customWidth="1"/>
    <col min="8455" max="8455" width="10.140625" style="523" bestFit="1" customWidth="1"/>
    <col min="8456" max="8456" width="15.42578125" style="523" bestFit="1" customWidth="1"/>
    <col min="8457" max="8457" width="13.7109375" style="523" bestFit="1" customWidth="1"/>
    <col min="8458" max="8458" width="16.140625" style="523" bestFit="1" customWidth="1"/>
    <col min="8459" max="8459" width="26.85546875" style="523" bestFit="1" customWidth="1"/>
    <col min="8460" max="8460" width="26.42578125" style="523" customWidth="1"/>
    <col min="8461" max="8704" width="9.140625" style="523"/>
    <col min="8705" max="8705" width="4.28515625" style="523" bestFit="1" customWidth="1"/>
    <col min="8706" max="8706" width="41" style="523" customWidth="1"/>
    <col min="8707" max="8707" width="7.85546875" style="523" bestFit="1" customWidth="1"/>
    <col min="8708" max="8708" width="9.5703125" style="523" bestFit="1" customWidth="1"/>
    <col min="8709" max="8709" width="15.28515625" style="523" customWidth="1"/>
    <col min="8710" max="8710" width="14.28515625" style="523" bestFit="1" customWidth="1"/>
    <col min="8711" max="8711" width="10.140625" style="523" bestFit="1" customWidth="1"/>
    <col min="8712" max="8712" width="15.42578125" style="523" bestFit="1" customWidth="1"/>
    <col min="8713" max="8713" width="13.7109375" style="523" bestFit="1" customWidth="1"/>
    <col min="8714" max="8714" width="16.140625" style="523" bestFit="1" customWidth="1"/>
    <col min="8715" max="8715" width="26.85546875" style="523" bestFit="1" customWidth="1"/>
    <col min="8716" max="8716" width="26.42578125" style="523" customWidth="1"/>
    <col min="8717" max="8960" width="9.140625" style="523"/>
    <col min="8961" max="8961" width="4.28515625" style="523" bestFit="1" customWidth="1"/>
    <col min="8962" max="8962" width="41" style="523" customWidth="1"/>
    <col min="8963" max="8963" width="7.85546875" style="523" bestFit="1" customWidth="1"/>
    <col min="8964" max="8964" width="9.5703125" style="523" bestFit="1" customWidth="1"/>
    <col min="8965" max="8965" width="15.28515625" style="523" customWidth="1"/>
    <col min="8966" max="8966" width="14.28515625" style="523" bestFit="1" customWidth="1"/>
    <col min="8967" max="8967" width="10.140625" style="523" bestFit="1" customWidth="1"/>
    <col min="8968" max="8968" width="15.42578125" style="523" bestFit="1" customWidth="1"/>
    <col min="8969" max="8969" width="13.7109375" style="523" bestFit="1" customWidth="1"/>
    <col min="8970" max="8970" width="16.140625" style="523" bestFit="1" customWidth="1"/>
    <col min="8971" max="8971" width="26.85546875" style="523" bestFit="1" customWidth="1"/>
    <col min="8972" max="8972" width="26.42578125" style="523" customWidth="1"/>
    <col min="8973" max="9216" width="9.140625" style="523"/>
    <col min="9217" max="9217" width="4.28515625" style="523" bestFit="1" customWidth="1"/>
    <col min="9218" max="9218" width="41" style="523" customWidth="1"/>
    <col min="9219" max="9219" width="7.85546875" style="523" bestFit="1" customWidth="1"/>
    <col min="9220" max="9220" width="9.5703125" style="523" bestFit="1" customWidth="1"/>
    <col min="9221" max="9221" width="15.28515625" style="523" customWidth="1"/>
    <col min="9222" max="9222" width="14.28515625" style="523" bestFit="1" customWidth="1"/>
    <col min="9223" max="9223" width="10.140625" style="523" bestFit="1" customWidth="1"/>
    <col min="9224" max="9224" width="15.42578125" style="523" bestFit="1" customWidth="1"/>
    <col min="9225" max="9225" width="13.7109375" style="523" bestFit="1" customWidth="1"/>
    <col min="9226" max="9226" width="16.140625" style="523" bestFit="1" customWidth="1"/>
    <col min="9227" max="9227" width="26.85546875" style="523" bestFit="1" customWidth="1"/>
    <col min="9228" max="9228" width="26.42578125" style="523" customWidth="1"/>
    <col min="9229" max="9472" width="9.140625" style="523"/>
    <col min="9473" max="9473" width="4.28515625" style="523" bestFit="1" customWidth="1"/>
    <col min="9474" max="9474" width="41" style="523" customWidth="1"/>
    <col min="9475" max="9475" width="7.85546875" style="523" bestFit="1" customWidth="1"/>
    <col min="9476" max="9476" width="9.5703125" style="523" bestFit="1" customWidth="1"/>
    <col min="9477" max="9477" width="15.28515625" style="523" customWidth="1"/>
    <col min="9478" max="9478" width="14.28515625" style="523" bestFit="1" customWidth="1"/>
    <col min="9479" max="9479" width="10.140625" style="523" bestFit="1" customWidth="1"/>
    <col min="9480" max="9480" width="15.42578125" style="523" bestFit="1" customWidth="1"/>
    <col min="9481" max="9481" width="13.7109375" style="523" bestFit="1" customWidth="1"/>
    <col min="9482" max="9482" width="16.140625" style="523" bestFit="1" customWidth="1"/>
    <col min="9483" max="9483" width="26.85546875" style="523" bestFit="1" customWidth="1"/>
    <col min="9484" max="9484" width="26.42578125" style="523" customWidth="1"/>
    <col min="9485" max="9728" width="9.140625" style="523"/>
    <col min="9729" max="9729" width="4.28515625" style="523" bestFit="1" customWidth="1"/>
    <col min="9730" max="9730" width="41" style="523" customWidth="1"/>
    <col min="9731" max="9731" width="7.85546875" style="523" bestFit="1" customWidth="1"/>
    <col min="9732" max="9732" width="9.5703125" style="523" bestFit="1" customWidth="1"/>
    <col min="9733" max="9733" width="15.28515625" style="523" customWidth="1"/>
    <col min="9734" max="9734" width="14.28515625" style="523" bestFit="1" customWidth="1"/>
    <col min="9735" max="9735" width="10.140625" style="523" bestFit="1" customWidth="1"/>
    <col min="9736" max="9736" width="15.42578125" style="523" bestFit="1" customWidth="1"/>
    <col min="9737" max="9737" width="13.7109375" style="523" bestFit="1" customWidth="1"/>
    <col min="9738" max="9738" width="16.140625" style="523" bestFit="1" customWidth="1"/>
    <col min="9739" max="9739" width="26.85546875" style="523" bestFit="1" customWidth="1"/>
    <col min="9740" max="9740" width="26.42578125" style="523" customWidth="1"/>
    <col min="9741" max="9984" width="9.140625" style="523"/>
    <col min="9985" max="9985" width="4.28515625" style="523" bestFit="1" customWidth="1"/>
    <col min="9986" max="9986" width="41" style="523" customWidth="1"/>
    <col min="9987" max="9987" width="7.85546875" style="523" bestFit="1" customWidth="1"/>
    <col min="9988" max="9988" width="9.5703125" style="523" bestFit="1" customWidth="1"/>
    <col min="9989" max="9989" width="15.28515625" style="523" customWidth="1"/>
    <col min="9990" max="9990" width="14.28515625" style="523" bestFit="1" customWidth="1"/>
    <col min="9991" max="9991" width="10.140625" style="523" bestFit="1" customWidth="1"/>
    <col min="9992" max="9992" width="15.42578125" style="523" bestFit="1" customWidth="1"/>
    <col min="9993" max="9993" width="13.7109375" style="523" bestFit="1" customWidth="1"/>
    <col min="9994" max="9994" width="16.140625" style="523" bestFit="1" customWidth="1"/>
    <col min="9995" max="9995" width="26.85546875" style="523" bestFit="1" customWidth="1"/>
    <col min="9996" max="9996" width="26.42578125" style="523" customWidth="1"/>
    <col min="9997" max="10240" width="9.140625" style="523"/>
    <col min="10241" max="10241" width="4.28515625" style="523" bestFit="1" customWidth="1"/>
    <col min="10242" max="10242" width="41" style="523" customWidth="1"/>
    <col min="10243" max="10243" width="7.85546875" style="523" bestFit="1" customWidth="1"/>
    <col min="10244" max="10244" width="9.5703125" style="523" bestFit="1" customWidth="1"/>
    <col min="10245" max="10245" width="15.28515625" style="523" customWidth="1"/>
    <col min="10246" max="10246" width="14.28515625" style="523" bestFit="1" customWidth="1"/>
    <col min="10247" max="10247" width="10.140625" style="523" bestFit="1" customWidth="1"/>
    <col min="10248" max="10248" width="15.42578125" style="523" bestFit="1" customWidth="1"/>
    <col min="10249" max="10249" width="13.7109375" style="523" bestFit="1" customWidth="1"/>
    <col min="10250" max="10250" width="16.140625" style="523" bestFit="1" customWidth="1"/>
    <col min="10251" max="10251" width="26.85546875" style="523" bestFit="1" customWidth="1"/>
    <col min="10252" max="10252" width="26.42578125" style="523" customWidth="1"/>
    <col min="10253" max="10496" width="9.140625" style="523"/>
    <col min="10497" max="10497" width="4.28515625" style="523" bestFit="1" customWidth="1"/>
    <col min="10498" max="10498" width="41" style="523" customWidth="1"/>
    <col min="10499" max="10499" width="7.85546875" style="523" bestFit="1" customWidth="1"/>
    <col min="10500" max="10500" width="9.5703125" style="523" bestFit="1" customWidth="1"/>
    <col min="10501" max="10501" width="15.28515625" style="523" customWidth="1"/>
    <col min="10502" max="10502" width="14.28515625" style="523" bestFit="1" customWidth="1"/>
    <col min="10503" max="10503" width="10.140625" style="523" bestFit="1" customWidth="1"/>
    <col min="10504" max="10504" width="15.42578125" style="523" bestFit="1" customWidth="1"/>
    <col min="10505" max="10505" width="13.7109375" style="523" bestFit="1" customWidth="1"/>
    <col min="10506" max="10506" width="16.140625" style="523" bestFit="1" customWidth="1"/>
    <col min="10507" max="10507" width="26.85546875" style="523" bestFit="1" customWidth="1"/>
    <col min="10508" max="10508" width="26.42578125" style="523" customWidth="1"/>
    <col min="10509" max="10752" width="9.140625" style="523"/>
    <col min="10753" max="10753" width="4.28515625" style="523" bestFit="1" customWidth="1"/>
    <col min="10754" max="10754" width="41" style="523" customWidth="1"/>
    <col min="10755" max="10755" width="7.85546875" style="523" bestFit="1" customWidth="1"/>
    <col min="10756" max="10756" width="9.5703125" style="523" bestFit="1" customWidth="1"/>
    <col min="10757" max="10757" width="15.28515625" style="523" customWidth="1"/>
    <col min="10758" max="10758" width="14.28515625" style="523" bestFit="1" customWidth="1"/>
    <col min="10759" max="10759" width="10.140625" style="523" bestFit="1" customWidth="1"/>
    <col min="10760" max="10760" width="15.42578125" style="523" bestFit="1" customWidth="1"/>
    <col min="10761" max="10761" width="13.7109375" style="523" bestFit="1" customWidth="1"/>
    <col min="10762" max="10762" width="16.140625" style="523" bestFit="1" customWidth="1"/>
    <col min="10763" max="10763" width="26.85546875" style="523" bestFit="1" customWidth="1"/>
    <col min="10764" max="10764" width="26.42578125" style="523" customWidth="1"/>
    <col min="10765" max="11008" width="9.140625" style="523"/>
    <col min="11009" max="11009" width="4.28515625" style="523" bestFit="1" customWidth="1"/>
    <col min="11010" max="11010" width="41" style="523" customWidth="1"/>
    <col min="11011" max="11011" width="7.85546875" style="523" bestFit="1" customWidth="1"/>
    <col min="11012" max="11012" width="9.5703125" style="523" bestFit="1" customWidth="1"/>
    <col min="11013" max="11013" width="15.28515625" style="523" customWidth="1"/>
    <col min="11014" max="11014" width="14.28515625" style="523" bestFit="1" customWidth="1"/>
    <col min="11015" max="11015" width="10.140625" style="523" bestFit="1" customWidth="1"/>
    <col min="11016" max="11016" width="15.42578125" style="523" bestFit="1" customWidth="1"/>
    <col min="11017" max="11017" width="13.7109375" style="523" bestFit="1" customWidth="1"/>
    <col min="11018" max="11018" width="16.140625" style="523" bestFit="1" customWidth="1"/>
    <col min="11019" max="11019" width="26.85546875" style="523" bestFit="1" customWidth="1"/>
    <col min="11020" max="11020" width="26.42578125" style="523" customWidth="1"/>
    <col min="11021" max="11264" width="9.140625" style="523"/>
    <col min="11265" max="11265" width="4.28515625" style="523" bestFit="1" customWidth="1"/>
    <col min="11266" max="11266" width="41" style="523" customWidth="1"/>
    <col min="11267" max="11267" width="7.85546875" style="523" bestFit="1" customWidth="1"/>
    <col min="11268" max="11268" width="9.5703125" style="523" bestFit="1" customWidth="1"/>
    <col min="11269" max="11269" width="15.28515625" style="523" customWidth="1"/>
    <col min="11270" max="11270" width="14.28515625" style="523" bestFit="1" customWidth="1"/>
    <col min="11271" max="11271" width="10.140625" style="523" bestFit="1" customWidth="1"/>
    <col min="11272" max="11272" width="15.42578125" style="523" bestFit="1" customWidth="1"/>
    <col min="11273" max="11273" width="13.7109375" style="523" bestFit="1" customWidth="1"/>
    <col min="11274" max="11274" width="16.140625" style="523" bestFit="1" customWidth="1"/>
    <col min="11275" max="11275" width="26.85546875" style="523" bestFit="1" customWidth="1"/>
    <col min="11276" max="11276" width="26.42578125" style="523" customWidth="1"/>
    <col min="11277" max="11520" width="9.140625" style="523"/>
    <col min="11521" max="11521" width="4.28515625" style="523" bestFit="1" customWidth="1"/>
    <col min="11522" max="11522" width="41" style="523" customWidth="1"/>
    <col min="11523" max="11523" width="7.85546875" style="523" bestFit="1" customWidth="1"/>
    <col min="11524" max="11524" width="9.5703125" style="523" bestFit="1" customWidth="1"/>
    <col min="11525" max="11525" width="15.28515625" style="523" customWidth="1"/>
    <col min="11526" max="11526" width="14.28515625" style="523" bestFit="1" customWidth="1"/>
    <col min="11527" max="11527" width="10.140625" style="523" bestFit="1" customWidth="1"/>
    <col min="11528" max="11528" width="15.42578125" style="523" bestFit="1" customWidth="1"/>
    <col min="11529" max="11529" width="13.7109375" style="523" bestFit="1" customWidth="1"/>
    <col min="11530" max="11530" width="16.140625" style="523" bestFit="1" customWidth="1"/>
    <col min="11531" max="11531" width="26.85546875" style="523" bestFit="1" customWidth="1"/>
    <col min="11532" max="11532" width="26.42578125" style="523" customWidth="1"/>
    <col min="11533" max="11776" width="9.140625" style="523"/>
    <col min="11777" max="11777" width="4.28515625" style="523" bestFit="1" customWidth="1"/>
    <col min="11778" max="11778" width="41" style="523" customWidth="1"/>
    <col min="11779" max="11779" width="7.85546875" style="523" bestFit="1" customWidth="1"/>
    <col min="11780" max="11780" width="9.5703125" style="523" bestFit="1" customWidth="1"/>
    <col min="11781" max="11781" width="15.28515625" style="523" customWidth="1"/>
    <col min="11782" max="11782" width="14.28515625" style="523" bestFit="1" customWidth="1"/>
    <col min="11783" max="11783" width="10.140625" style="523" bestFit="1" customWidth="1"/>
    <col min="11784" max="11784" width="15.42578125" style="523" bestFit="1" customWidth="1"/>
    <col min="11785" max="11785" width="13.7109375" style="523" bestFit="1" customWidth="1"/>
    <col min="11786" max="11786" width="16.140625" style="523" bestFit="1" customWidth="1"/>
    <col min="11787" max="11787" width="26.85546875" style="523" bestFit="1" customWidth="1"/>
    <col min="11788" max="11788" width="26.42578125" style="523" customWidth="1"/>
    <col min="11789" max="12032" width="9.140625" style="523"/>
    <col min="12033" max="12033" width="4.28515625" style="523" bestFit="1" customWidth="1"/>
    <col min="12034" max="12034" width="41" style="523" customWidth="1"/>
    <col min="12035" max="12035" width="7.85546875" style="523" bestFit="1" customWidth="1"/>
    <col min="12036" max="12036" width="9.5703125" style="523" bestFit="1" customWidth="1"/>
    <col min="12037" max="12037" width="15.28515625" style="523" customWidth="1"/>
    <col min="12038" max="12038" width="14.28515625" style="523" bestFit="1" customWidth="1"/>
    <col min="12039" max="12039" width="10.140625" style="523" bestFit="1" customWidth="1"/>
    <col min="12040" max="12040" width="15.42578125" style="523" bestFit="1" customWidth="1"/>
    <col min="12041" max="12041" width="13.7109375" style="523" bestFit="1" customWidth="1"/>
    <col min="12042" max="12042" width="16.140625" style="523" bestFit="1" customWidth="1"/>
    <col min="12043" max="12043" width="26.85546875" style="523" bestFit="1" customWidth="1"/>
    <col min="12044" max="12044" width="26.42578125" style="523" customWidth="1"/>
    <col min="12045" max="12288" width="9.140625" style="523"/>
    <col min="12289" max="12289" width="4.28515625" style="523" bestFit="1" customWidth="1"/>
    <col min="12290" max="12290" width="41" style="523" customWidth="1"/>
    <col min="12291" max="12291" width="7.85546875" style="523" bestFit="1" customWidth="1"/>
    <col min="12292" max="12292" width="9.5703125" style="523" bestFit="1" customWidth="1"/>
    <col min="12293" max="12293" width="15.28515625" style="523" customWidth="1"/>
    <col min="12294" max="12294" width="14.28515625" style="523" bestFit="1" customWidth="1"/>
    <col min="12295" max="12295" width="10.140625" style="523" bestFit="1" customWidth="1"/>
    <col min="12296" max="12296" width="15.42578125" style="523" bestFit="1" customWidth="1"/>
    <col min="12297" max="12297" width="13.7109375" style="523" bestFit="1" customWidth="1"/>
    <col min="12298" max="12298" width="16.140625" style="523" bestFit="1" customWidth="1"/>
    <col min="12299" max="12299" width="26.85546875" style="523" bestFit="1" customWidth="1"/>
    <col min="12300" max="12300" width="26.42578125" style="523" customWidth="1"/>
    <col min="12301" max="12544" width="9.140625" style="523"/>
    <col min="12545" max="12545" width="4.28515625" style="523" bestFit="1" customWidth="1"/>
    <col min="12546" max="12546" width="41" style="523" customWidth="1"/>
    <col min="12547" max="12547" width="7.85546875" style="523" bestFit="1" customWidth="1"/>
    <col min="12548" max="12548" width="9.5703125" style="523" bestFit="1" customWidth="1"/>
    <col min="12549" max="12549" width="15.28515625" style="523" customWidth="1"/>
    <col min="12550" max="12550" width="14.28515625" style="523" bestFit="1" customWidth="1"/>
    <col min="12551" max="12551" width="10.140625" style="523" bestFit="1" customWidth="1"/>
    <col min="12552" max="12552" width="15.42578125" style="523" bestFit="1" customWidth="1"/>
    <col min="12553" max="12553" width="13.7109375" style="523" bestFit="1" customWidth="1"/>
    <col min="12554" max="12554" width="16.140625" style="523" bestFit="1" customWidth="1"/>
    <col min="12555" max="12555" width="26.85546875" style="523" bestFit="1" customWidth="1"/>
    <col min="12556" max="12556" width="26.42578125" style="523" customWidth="1"/>
    <col min="12557" max="12800" width="9.140625" style="523"/>
    <col min="12801" max="12801" width="4.28515625" style="523" bestFit="1" customWidth="1"/>
    <col min="12802" max="12802" width="41" style="523" customWidth="1"/>
    <col min="12803" max="12803" width="7.85546875" style="523" bestFit="1" customWidth="1"/>
    <col min="12804" max="12804" width="9.5703125" style="523" bestFit="1" customWidth="1"/>
    <col min="12805" max="12805" width="15.28515625" style="523" customWidth="1"/>
    <col min="12806" max="12806" width="14.28515625" style="523" bestFit="1" customWidth="1"/>
    <col min="12807" max="12807" width="10.140625" style="523" bestFit="1" customWidth="1"/>
    <col min="12808" max="12808" width="15.42578125" style="523" bestFit="1" customWidth="1"/>
    <col min="12809" max="12809" width="13.7109375" style="523" bestFit="1" customWidth="1"/>
    <col min="12810" max="12810" width="16.140625" style="523" bestFit="1" customWidth="1"/>
    <col min="12811" max="12811" width="26.85546875" style="523" bestFit="1" customWidth="1"/>
    <col min="12812" max="12812" width="26.42578125" style="523" customWidth="1"/>
    <col min="12813" max="13056" width="9.140625" style="523"/>
    <col min="13057" max="13057" width="4.28515625" style="523" bestFit="1" customWidth="1"/>
    <col min="13058" max="13058" width="41" style="523" customWidth="1"/>
    <col min="13059" max="13059" width="7.85546875" style="523" bestFit="1" customWidth="1"/>
    <col min="13060" max="13060" width="9.5703125" style="523" bestFit="1" customWidth="1"/>
    <col min="13061" max="13061" width="15.28515625" style="523" customWidth="1"/>
    <col min="13062" max="13062" width="14.28515625" style="523" bestFit="1" customWidth="1"/>
    <col min="13063" max="13063" width="10.140625" style="523" bestFit="1" customWidth="1"/>
    <col min="13064" max="13064" width="15.42578125" style="523" bestFit="1" customWidth="1"/>
    <col min="13065" max="13065" width="13.7109375" style="523" bestFit="1" customWidth="1"/>
    <col min="13066" max="13066" width="16.140625" style="523" bestFit="1" customWidth="1"/>
    <col min="13067" max="13067" width="26.85546875" style="523" bestFit="1" customWidth="1"/>
    <col min="13068" max="13068" width="26.42578125" style="523" customWidth="1"/>
    <col min="13069" max="13312" width="9.140625" style="523"/>
    <col min="13313" max="13313" width="4.28515625" style="523" bestFit="1" customWidth="1"/>
    <col min="13314" max="13314" width="41" style="523" customWidth="1"/>
    <col min="13315" max="13315" width="7.85546875" style="523" bestFit="1" customWidth="1"/>
    <col min="13316" max="13316" width="9.5703125" style="523" bestFit="1" customWidth="1"/>
    <col min="13317" max="13317" width="15.28515625" style="523" customWidth="1"/>
    <col min="13318" max="13318" width="14.28515625" style="523" bestFit="1" customWidth="1"/>
    <col min="13319" max="13319" width="10.140625" style="523" bestFit="1" customWidth="1"/>
    <col min="13320" max="13320" width="15.42578125" style="523" bestFit="1" customWidth="1"/>
    <col min="13321" max="13321" width="13.7109375" style="523" bestFit="1" customWidth="1"/>
    <col min="13322" max="13322" width="16.140625" style="523" bestFit="1" customWidth="1"/>
    <col min="13323" max="13323" width="26.85546875" style="523" bestFit="1" customWidth="1"/>
    <col min="13324" max="13324" width="26.42578125" style="523" customWidth="1"/>
    <col min="13325" max="13568" width="9.140625" style="523"/>
    <col min="13569" max="13569" width="4.28515625" style="523" bestFit="1" customWidth="1"/>
    <col min="13570" max="13570" width="41" style="523" customWidth="1"/>
    <col min="13571" max="13571" width="7.85546875" style="523" bestFit="1" customWidth="1"/>
    <col min="13572" max="13572" width="9.5703125" style="523" bestFit="1" customWidth="1"/>
    <col min="13573" max="13573" width="15.28515625" style="523" customWidth="1"/>
    <col min="13574" max="13574" width="14.28515625" style="523" bestFit="1" customWidth="1"/>
    <col min="13575" max="13575" width="10.140625" style="523" bestFit="1" customWidth="1"/>
    <col min="13576" max="13576" width="15.42578125" style="523" bestFit="1" customWidth="1"/>
    <col min="13577" max="13577" width="13.7109375" style="523" bestFit="1" customWidth="1"/>
    <col min="13578" max="13578" width="16.140625" style="523" bestFit="1" customWidth="1"/>
    <col min="13579" max="13579" width="26.85546875" style="523" bestFit="1" customWidth="1"/>
    <col min="13580" max="13580" width="26.42578125" style="523" customWidth="1"/>
    <col min="13581" max="13824" width="9.140625" style="523"/>
    <col min="13825" max="13825" width="4.28515625" style="523" bestFit="1" customWidth="1"/>
    <col min="13826" max="13826" width="41" style="523" customWidth="1"/>
    <col min="13827" max="13827" width="7.85546875" style="523" bestFit="1" customWidth="1"/>
    <col min="13828" max="13828" width="9.5703125" style="523" bestFit="1" customWidth="1"/>
    <col min="13829" max="13829" width="15.28515625" style="523" customWidth="1"/>
    <col min="13830" max="13830" width="14.28515625" style="523" bestFit="1" customWidth="1"/>
    <col min="13831" max="13831" width="10.140625" style="523" bestFit="1" customWidth="1"/>
    <col min="13832" max="13832" width="15.42578125" style="523" bestFit="1" customWidth="1"/>
    <col min="13833" max="13833" width="13.7109375" style="523" bestFit="1" customWidth="1"/>
    <col min="13834" max="13834" width="16.140625" style="523" bestFit="1" customWidth="1"/>
    <col min="13835" max="13835" width="26.85546875" style="523" bestFit="1" customWidth="1"/>
    <col min="13836" max="13836" width="26.42578125" style="523" customWidth="1"/>
    <col min="13837" max="14080" width="9.140625" style="523"/>
    <col min="14081" max="14081" width="4.28515625" style="523" bestFit="1" customWidth="1"/>
    <col min="14082" max="14082" width="41" style="523" customWidth="1"/>
    <col min="14083" max="14083" width="7.85546875" style="523" bestFit="1" customWidth="1"/>
    <col min="14084" max="14084" width="9.5703125" style="523" bestFit="1" customWidth="1"/>
    <col min="14085" max="14085" width="15.28515625" style="523" customWidth="1"/>
    <col min="14086" max="14086" width="14.28515625" style="523" bestFit="1" customWidth="1"/>
    <col min="14087" max="14087" width="10.140625" style="523" bestFit="1" customWidth="1"/>
    <col min="14088" max="14088" width="15.42578125" style="523" bestFit="1" customWidth="1"/>
    <col min="14089" max="14089" width="13.7109375" style="523" bestFit="1" customWidth="1"/>
    <col min="14090" max="14090" width="16.140625" style="523" bestFit="1" customWidth="1"/>
    <col min="14091" max="14091" width="26.85546875" style="523" bestFit="1" customWidth="1"/>
    <col min="14092" max="14092" width="26.42578125" style="523" customWidth="1"/>
    <col min="14093" max="14336" width="9.140625" style="523"/>
    <col min="14337" max="14337" width="4.28515625" style="523" bestFit="1" customWidth="1"/>
    <col min="14338" max="14338" width="41" style="523" customWidth="1"/>
    <col min="14339" max="14339" width="7.85546875" style="523" bestFit="1" customWidth="1"/>
    <col min="14340" max="14340" width="9.5703125" style="523" bestFit="1" customWidth="1"/>
    <col min="14341" max="14341" width="15.28515625" style="523" customWidth="1"/>
    <col min="14342" max="14342" width="14.28515625" style="523" bestFit="1" customWidth="1"/>
    <col min="14343" max="14343" width="10.140625" style="523" bestFit="1" customWidth="1"/>
    <col min="14344" max="14344" width="15.42578125" style="523" bestFit="1" customWidth="1"/>
    <col min="14345" max="14345" width="13.7109375" style="523" bestFit="1" customWidth="1"/>
    <col min="14346" max="14346" width="16.140625" style="523" bestFit="1" customWidth="1"/>
    <col min="14347" max="14347" width="26.85546875" style="523" bestFit="1" customWidth="1"/>
    <col min="14348" max="14348" width="26.42578125" style="523" customWidth="1"/>
    <col min="14349" max="14592" width="9.140625" style="523"/>
    <col min="14593" max="14593" width="4.28515625" style="523" bestFit="1" customWidth="1"/>
    <col min="14594" max="14594" width="41" style="523" customWidth="1"/>
    <col min="14595" max="14595" width="7.85546875" style="523" bestFit="1" customWidth="1"/>
    <col min="14596" max="14596" width="9.5703125" style="523" bestFit="1" customWidth="1"/>
    <col min="14597" max="14597" width="15.28515625" style="523" customWidth="1"/>
    <col min="14598" max="14598" width="14.28515625" style="523" bestFit="1" customWidth="1"/>
    <col min="14599" max="14599" width="10.140625" style="523" bestFit="1" customWidth="1"/>
    <col min="14600" max="14600" width="15.42578125" style="523" bestFit="1" customWidth="1"/>
    <col min="14601" max="14601" width="13.7109375" style="523" bestFit="1" customWidth="1"/>
    <col min="14602" max="14602" width="16.140625" style="523" bestFit="1" customWidth="1"/>
    <col min="14603" max="14603" width="26.85546875" style="523" bestFit="1" customWidth="1"/>
    <col min="14604" max="14604" width="26.42578125" style="523" customWidth="1"/>
    <col min="14605" max="14848" width="9.140625" style="523"/>
    <col min="14849" max="14849" width="4.28515625" style="523" bestFit="1" customWidth="1"/>
    <col min="14850" max="14850" width="41" style="523" customWidth="1"/>
    <col min="14851" max="14851" width="7.85546875" style="523" bestFit="1" customWidth="1"/>
    <col min="14852" max="14852" width="9.5703125" style="523" bestFit="1" customWidth="1"/>
    <col min="14853" max="14853" width="15.28515625" style="523" customWidth="1"/>
    <col min="14854" max="14854" width="14.28515625" style="523" bestFit="1" customWidth="1"/>
    <col min="14855" max="14855" width="10.140625" style="523" bestFit="1" customWidth="1"/>
    <col min="14856" max="14856" width="15.42578125" style="523" bestFit="1" customWidth="1"/>
    <col min="14857" max="14857" width="13.7109375" style="523" bestFit="1" customWidth="1"/>
    <col min="14858" max="14858" width="16.140625" style="523" bestFit="1" customWidth="1"/>
    <col min="14859" max="14859" width="26.85546875" style="523" bestFit="1" customWidth="1"/>
    <col min="14860" max="14860" width="26.42578125" style="523" customWidth="1"/>
    <col min="14861" max="15104" width="9.140625" style="523"/>
    <col min="15105" max="15105" width="4.28515625" style="523" bestFit="1" customWidth="1"/>
    <col min="15106" max="15106" width="41" style="523" customWidth="1"/>
    <col min="15107" max="15107" width="7.85546875" style="523" bestFit="1" customWidth="1"/>
    <col min="15108" max="15108" width="9.5703125" style="523" bestFit="1" customWidth="1"/>
    <col min="15109" max="15109" width="15.28515625" style="523" customWidth="1"/>
    <col min="15110" max="15110" width="14.28515625" style="523" bestFit="1" customWidth="1"/>
    <col min="15111" max="15111" width="10.140625" style="523" bestFit="1" customWidth="1"/>
    <col min="15112" max="15112" width="15.42578125" style="523" bestFit="1" customWidth="1"/>
    <col min="15113" max="15113" width="13.7109375" style="523" bestFit="1" customWidth="1"/>
    <col min="15114" max="15114" width="16.140625" style="523" bestFit="1" customWidth="1"/>
    <col min="15115" max="15115" width="26.85546875" style="523" bestFit="1" customWidth="1"/>
    <col min="15116" max="15116" width="26.42578125" style="523" customWidth="1"/>
    <col min="15117" max="15360" width="9.140625" style="523"/>
    <col min="15361" max="15361" width="4.28515625" style="523" bestFit="1" customWidth="1"/>
    <col min="15362" max="15362" width="41" style="523" customWidth="1"/>
    <col min="15363" max="15363" width="7.85546875" style="523" bestFit="1" customWidth="1"/>
    <col min="15364" max="15364" width="9.5703125" style="523" bestFit="1" customWidth="1"/>
    <col min="15365" max="15365" width="15.28515625" style="523" customWidth="1"/>
    <col min="15366" max="15366" width="14.28515625" style="523" bestFit="1" customWidth="1"/>
    <col min="15367" max="15367" width="10.140625" style="523" bestFit="1" customWidth="1"/>
    <col min="15368" max="15368" width="15.42578125" style="523" bestFit="1" customWidth="1"/>
    <col min="15369" max="15369" width="13.7109375" style="523" bestFit="1" customWidth="1"/>
    <col min="15370" max="15370" width="16.140625" style="523" bestFit="1" customWidth="1"/>
    <col min="15371" max="15371" width="26.85546875" style="523" bestFit="1" customWidth="1"/>
    <col min="15372" max="15372" width="26.42578125" style="523" customWidth="1"/>
    <col min="15373" max="15616" width="9.140625" style="523"/>
    <col min="15617" max="15617" width="4.28515625" style="523" bestFit="1" customWidth="1"/>
    <col min="15618" max="15618" width="41" style="523" customWidth="1"/>
    <col min="15619" max="15619" width="7.85546875" style="523" bestFit="1" customWidth="1"/>
    <col min="15620" max="15620" width="9.5703125" style="523" bestFit="1" customWidth="1"/>
    <col min="15621" max="15621" width="15.28515625" style="523" customWidth="1"/>
    <col min="15622" max="15622" width="14.28515625" style="523" bestFit="1" customWidth="1"/>
    <col min="15623" max="15623" width="10.140625" style="523" bestFit="1" customWidth="1"/>
    <col min="15624" max="15624" width="15.42578125" style="523" bestFit="1" customWidth="1"/>
    <col min="15625" max="15625" width="13.7109375" style="523" bestFit="1" customWidth="1"/>
    <col min="15626" max="15626" width="16.140625" style="523" bestFit="1" customWidth="1"/>
    <col min="15627" max="15627" width="26.85546875" style="523" bestFit="1" customWidth="1"/>
    <col min="15628" max="15628" width="26.42578125" style="523" customWidth="1"/>
    <col min="15629" max="15872" width="9.140625" style="523"/>
    <col min="15873" max="15873" width="4.28515625" style="523" bestFit="1" customWidth="1"/>
    <col min="15874" max="15874" width="41" style="523" customWidth="1"/>
    <col min="15875" max="15875" width="7.85546875" style="523" bestFit="1" customWidth="1"/>
    <col min="15876" max="15876" width="9.5703125" style="523" bestFit="1" customWidth="1"/>
    <col min="15877" max="15877" width="15.28515625" style="523" customWidth="1"/>
    <col min="15878" max="15878" width="14.28515625" style="523" bestFit="1" customWidth="1"/>
    <col min="15879" max="15879" width="10.140625" style="523" bestFit="1" customWidth="1"/>
    <col min="15880" max="15880" width="15.42578125" style="523" bestFit="1" customWidth="1"/>
    <col min="15881" max="15881" width="13.7109375" style="523" bestFit="1" customWidth="1"/>
    <col min="15882" max="15882" width="16.140625" style="523" bestFit="1" customWidth="1"/>
    <col min="15883" max="15883" width="26.85546875" style="523" bestFit="1" customWidth="1"/>
    <col min="15884" max="15884" width="26.42578125" style="523" customWidth="1"/>
    <col min="15885" max="16128" width="9.140625" style="523"/>
    <col min="16129" max="16129" width="4.28515625" style="523" bestFit="1" customWidth="1"/>
    <col min="16130" max="16130" width="41" style="523" customWidth="1"/>
    <col min="16131" max="16131" width="7.85546875" style="523" bestFit="1" customWidth="1"/>
    <col min="16132" max="16132" width="9.5703125" style="523" bestFit="1" customWidth="1"/>
    <col min="16133" max="16133" width="15.28515625" style="523" customWidth="1"/>
    <col min="16134" max="16134" width="14.28515625" style="523" bestFit="1" customWidth="1"/>
    <col min="16135" max="16135" width="10.140625" style="523" bestFit="1" customWidth="1"/>
    <col min="16136" max="16136" width="15.42578125" style="523" bestFit="1" customWidth="1"/>
    <col min="16137" max="16137" width="13.7109375" style="523" bestFit="1" customWidth="1"/>
    <col min="16138" max="16138" width="16.140625" style="523" bestFit="1" customWidth="1"/>
    <col min="16139" max="16139" width="26.85546875" style="523" bestFit="1" customWidth="1"/>
    <col min="16140" max="16140" width="26.42578125" style="523" customWidth="1"/>
    <col min="16141" max="16384" width="9.140625" style="523"/>
  </cols>
  <sheetData>
    <row r="1" spans="1:18">
      <c r="C1" s="523" t="s">
        <v>1566</v>
      </c>
      <c r="G1" s="1383" t="s">
        <v>1020</v>
      </c>
    </row>
    <row r="4" spans="1:18" ht="19.5" customHeight="1">
      <c r="B4" s="700" t="s">
        <v>1545</v>
      </c>
      <c r="C4" s="2428">
        <f>F12*1000</f>
        <v>569600000</v>
      </c>
      <c r="D4" s="2428"/>
      <c r="E4" s="700" t="s">
        <v>202</v>
      </c>
      <c r="F4" s="2302"/>
      <c r="H4" s="2302"/>
      <c r="I4" s="2302"/>
      <c r="J4" s="2302"/>
      <c r="K4" s="695"/>
      <c r="L4" s="699"/>
      <c r="M4" s="699"/>
      <c r="N4" s="695"/>
      <c r="O4" s="695"/>
      <c r="P4" s="695"/>
      <c r="Q4" s="695"/>
    </row>
    <row r="5" spans="1:18" ht="19.5" customHeight="1">
      <c r="B5" s="700" t="s">
        <v>1544</v>
      </c>
      <c r="C5" s="2428">
        <f>C4-C6</f>
        <v>269600000</v>
      </c>
      <c r="D5" s="2428"/>
      <c r="E5" s="700" t="s">
        <v>202</v>
      </c>
      <c r="F5" s="2302"/>
      <c r="H5" s="2302"/>
      <c r="I5" s="2302"/>
      <c r="J5" s="2302"/>
      <c r="K5" s="695"/>
      <c r="L5" s="699"/>
      <c r="M5" s="699"/>
      <c r="N5" s="695"/>
      <c r="O5" s="695"/>
      <c r="P5" s="695"/>
      <c r="Q5" s="695"/>
    </row>
    <row r="6" spans="1:18" ht="19.5" customHeight="1">
      <c r="B6" s="700" t="s">
        <v>1543</v>
      </c>
      <c r="C6" s="2428">
        <f>L8</f>
        <v>300000000</v>
      </c>
      <c r="D6" s="2428"/>
      <c r="E6" s="700" t="s">
        <v>202</v>
      </c>
      <c r="F6" s="2302"/>
      <c r="H6" s="2302"/>
      <c r="I6" s="2302"/>
      <c r="J6" s="2302"/>
      <c r="K6" s="695" t="s">
        <v>1565</v>
      </c>
      <c r="L6" s="699"/>
      <c r="M6" s="699"/>
      <c r="N6" s="695"/>
      <c r="O6" s="695"/>
      <c r="P6" s="695"/>
      <c r="Q6" s="695"/>
    </row>
    <row r="7" spans="1:18">
      <c r="K7" s="699" t="s">
        <v>1564</v>
      </c>
      <c r="L7" s="697">
        <v>20</v>
      </c>
      <c r="M7" s="695" t="s">
        <v>8</v>
      </c>
      <c r="O7" s="695"/>
      <c r="P7" s="695"/>
      <c r="Q7" s="695"/>
    </row>
    <row r="8" spans="1:18" ht="17.25" thickBot="1">
      <c r="D8" s="538"/>
      <c r="J8" s="701" t="s">
        <v>1547</v>
      </c>
      <c r="K8" s="699" t="s">
        <v>12</v>
      </c>
      <c r="L8" s="698">
        <v>300000000</v>
      </c>
      <c r="M8" s="695" t="s">
        <v>1539</v>
      </c>
      <c r="N8" s="695"/>
      <c r="O8" s="695"/>
      <c r="P8" s="695"/>
      <c r="Q8" s="695"/>
    </row>
    <row r="9" spans="1:18" ht="18" thickTop="1" thickBot="1">
      <c r="A9" s="649" t="s">
        <v>97</v>
      </c>
      <c r="B9" s="2310" t="s">
        <v>1294</v>
      </c>
      <c r="C9" s="2310" t="s">
        <v>2</v>
      </c>
      <c r="D9" s="713" t="s">
        <v>3</v>
      </c>
      <c r="E9" s="2429" t="s">
        <v>1035</v>
      </c>
      <c r="F9" s="2430"/>
      <c r="G9" s="2429" t="s">
        <v>1034</v>
      </c>
      <c r="H9" s="2430"/>
      <c r="I9" s="2429" t="s">
        <v>1033</v>
      </c>
      <c r="J9" s="2430"/>
      <c r="K9" s="695" t="s">
        <v>1538</v>
      </c>
      <c r="L9" s="697">
        <v>10</v>
      </c>
      <c r="M9" s="695" t="s">
        <v>1537</v>
      </c>
      <c r="N9" s="695"/>
      <c r="O9" s="695"/>
      <c r="P9" s="695"/>
      <c r="Q9" s="695"/>
    </row>
    <row r="10" spans="1:18" ht="21.75" customHeight="1" thickTop="1">
      <c r="A10" s="712"/>
      <c r="B10" s="711"/>
      <c r="C10" s="711"/>
      <c r="D10" s="710"/>
      <c r="E10" s="2310" t="s">
        <v>1</v>
      </c>
      <c r="F10" s="709" t="s">
        <v>4</v>
      </c>
      <c r="G10" s="2310" t="s">
        <v>1</v>
      </c>
      <c r="H10" s="709" t="s">
        <v>4</v>
      </c>
      <c r="I10" s="2310" t="s">
        <v>1</v>
      </c>
      <c r="J10" s="709" t="s">
        <v>4</v>
      </c>
      <c r="K10" s="696"/>
      <c r="L10" s="696"/>
      <c r="M10" s="696"/>
      <c r="N10" s="696"/>
      <c r="O10" s="695"/>
      <c r="P10" s="695"/>
      <c r="Q10" s="695"/>
    </row>
    <row r="11" spans="1:18" s="588" customFormat="1" ht="21.75" customHeight="1">
      <c r="A11" s="647" t="s">
        <v>1534</v>
      </c>
      <c r="B11" s="706" t="s">
        <v>677</v>
      </c>
      <c r="C11" s="576"/>
      <c r="D11" s="705"/>
      <c r="E11" s="671"/>
      <c r="F11" s="704">
        <f>F12+F22</f>
        <v>669600</v>
      </c>
      <c r="G11" s="671"/>
      <c r="H11" s="704">
        <f>H12+H22</f>
        <v>469600</v>
      </c>
      <c r="I11" s="671"/>
      <c r="J11" s="704">
        <f>J12+J22</f>
        <v>455600</v>
      </c>
      <c r="K11" s="523"/>
      <c r="L11" s="523"/>
      <c r="M11" s="523"/>
      <c r="N11" s="523"/>
      <c r="O11" s="523"/>
      <c r="P11" s="523"/>
      <c r="Q11" s="523"/>
      <c r="R11" s="523"/>
    </row>
    <row r="12" spans="1:18" s="588" customFormat="1" ht="21.75" customHeight="1">
      <c r="A12" s="647"/>
      <c r="B12" s="706" t="s">
        <v>1344</v>
      </c>
      <c r="C12" s="678"/>
      <c r="D12" s="705"/>
      <c r="E12" s="675"/>
      <c r="F12" s="704">
        <f>F14+F13</f>
        <v>569600</v>
      </c>
      <c r="G12" s="675"/>
      <c r="H12" s="704">
        <f>H14+H13</f>
        <v>369600</v>
      </c>
      <c r="I12" s="675"/>
      <c r="J12" s="704">
        <f>J14+J13</f>
        <v>369600</v>
      </c>
      <c r="K12" s="688">
        <f>C5/$C$4</f>
        <v>0.47331460674157305</v>
      </c>
      <c r="L12" s="523"/>
      <c r="M12" s="523"/>
      <c r="N12" s="523"/>
      <c r="O12" s="523"/>
      <c r="P12" s="523"/>
      <c r="Q12" s="523"/>
      <c r="R12" s="523"/>
    </row>
    <row r="13" spans="1:18" ht="21.75" customHeight="1">
      <c r="A13" s="647">
        <v>1</v>
      </c>
      <c r="B13" s="589" t="s">
        <v>1532</v>
      </c>
      <c r="C13" s="676" t="s">
        <v>8</v>
      </c>
      <c r="D13" s="674">
        <v>10000</v>
      </c>
      <c r="E13" s="675">
        <f>L7</f>
        <v>20</v>
      </c>
      <c r="F13" s="707">
        <f>E13*D13</f>
        <v>200000</v>
      </c>
      <c r="G13" s="675"/>
      <c r="H13" s="707"/>
      <c r="I13" s="675"/>
      <c r="J13" s="707"/>
      <c r="K13" s="688">
        <f>C6/$C$4</f>
        <v>0.526685393258427</v>
      </c>
    </row>
    <row r="14" spans="1:18" ht="21.75" customHeight="1">
      <c r="A14" s="647"/>
      <c r="B14" s="706" t="s">
        <v>1563</v>
      </c>
      <c r="C14" s="676"/>
      <c r="D14" s="674"/>
      <c r="E14" s="675"/>
      <c r="F14" s="708">
        <f>SUM(F15:F21)</f>
        <v>369600</v>
      </c>
      <c r="G14" s="675"/>
      <c r="H14" s="708">
        <f>SUM(H15:H21)</f>
        <v>369600</v>
      </c>
      <c r="I14" s="675"/>
      <c r="J14" s="708">
        <f>SUM(J15:J21)</f>
        <v>369600</v>
      </c>
    </row>
    <row r="15" spans="1:18" ht="21.75" customHeight="1">
      <c r="A15" s="647">
        <v>2</v>
      </c>
      <c r="B15" s="589" t="s">
        <v>1247</v>
      </c>
      <c r="C15" s="676" t="s">
        <v>11</v>
      </c>
      <c r="D15" s="674">
        <v>9</v>
      </c>
      <c r="E15" s="675">
        <f>900*$E$13</f>
        <v>18000</v>
      </c>
      <c r="F15" s="707">
        <f>E15*D15</f>
        <v>162000</v>
      </c>
      <c r="G15" s="675">
        <f>900*$E$13</f>
        <v>18000</v>
      </c>
      <c r="H15" s="707">
        <f>G15*$D$15</f>
        <v>162000</v>
      </c>
      <c r="I15" s="675">
        <f>900*$E$13</f>
        <v>18000</v>
      </c>
      <c r="J15" s="707">
        <f>I15*$D$15</f>
        <v>162000</v>
      </c>
    </row>
    <row r="16" spans="1:18" ht="21.75" customHeight="1">
      <c r="A16" s="647">
        <v>3</v>
      </c>
      <c r="B16" s="589" t="s">
        <v>1562</v>
      </c>
      <c r="C16" s="676" t="s">
        <v>8</v>
      </c>
      <c r="D16" s="674">
        <v>200</v>
      </c>
      <c r="E16" s="675">
        <f>$E$13</f>
        <v>20</v>
      </c>
      <c r="F16" s="707">
        <f>D16*E16</f>
        <v>4000</v>
      </c>
      <c r="G16" s="675">
        <f>$E$13</f>
        <v>20</v>
      </c>
      <c r="H16" s="707">
        <f>G16*$D$16</f>
        <v>4000</v>
      </c>
      <c r="I16" s="675">
        <f>$E$13</f>
        <v>20</v>
      </c>
      <c r="J16" s="707">
        <f>I16*$D$16</f>
        <v>4000</v>
      </c>
    </row>
    <row r="17" spans="1:18" ht="21.75" customHeight="1">
      <c r="A17" s="647">
        <v>4</v>
      </c>
      <c r="B17" s="589" t="s">
        <v>1561</v>
      </c>
      <c r="C17" s="676" t="s">
        <v>149</v>
      </c>
      <c r="D17" s="674">
        <v>150</v>
      </c>
      <c r="E17" s="675">
        <f>+$E$13*4</f>
        <v>80</v>
      </c>
      <c r="F17" s="707">
        <f>E17*D17</f>
        <v>12000</v>
      </c>
      <c r="G17" s="675">
        <f>+$E$13*4</f>
        <v>80</v>
      </c>
      <c r="H17" s="707">
        <f>G17*$D$17</f>
        <v>12000</v>
      </c>
      <c r="I17" s="675">
        <f>+$E$13*4</f>
        <v>80</v>
      </c>
      <c r="J17" s="707">
        <f>I17*$D$17</f>
        <v>12000</v>
      </c>
    </row>
    <row r="18" spans="1:18" ht="21.75" customHeight="1">
      <c r="A18" s="647">
        <v>5</v>
      </c>
      <c r="B18" s="589" t="s">
        <v>1239</v>
      </c>
      <c r="C18" s="676" t="s">
        <v>511</v>
      </c>
      <c r="D18" s="674">
        <v>150</v>
      </c>
      <c r="E18" s="675">
        <f>18*$E$13</f>
        <v>360</v>
      </c>
      <c r="F18" s="707">
        <f>E18*D18</f>
        <v>54000</v>
      </c>
      <c r="G18" s="675">
        <f>18*$E$13</f>
        <v>360</v>
      </c>
      <c r="H18" s="707">
        <f>G18*$D$18</f>
        <v>54000</v>
      </c>
      <c r="I18" s="675">
        <f>18*$E$13</f>
        <v>360</v>
      </c>
      <c r="J18" s="707">
        <f>I18*$D$18</f>
        <v>54000</v>
      </c>
      <c r="K18" s="588"/>
      <c r="L18" s="588"/>
      <c r="M18" s="588"/>
      <c r="N18" s="588"/>
      <c r="O18" s="588"/>
      <c r="P18" s="588"/>
      <c r="Q18" s="588"/>
      <c r="R18" s="588"/>
    </row>
    <row r="19" spans="1:18" ht="21.75" customHeight="1">
      <c r="A19" s="647">
        <v>6</v>
      </c>
      <c r="B19" s="589" t="s">
        <v>217</v>
      </c>
      <c r="C19" s="676" t="s">
        <v>1555</v>
      </c>
      <c r="D19" s="674">
        <v>200</v>
      </c>
      <c r="E19" s="675">
        <f>$E$13</f>
        <v>20</v>
      </c>
      <c r="F19" s="707">
        <f>E19*D19</f>
        <v>4000</v>
      </c>
      <c r="G19" s="675">
        <f>$E$13</f>
        <v>20</v>
      </c>
      <c r="H19" s="707">
        <f>G19*$D$19</f>
        <v>4000</v>
      </c>
      <c r="I19" s="675">
        <f>$E$13</f>
        <v>20</v>
      </c>
      <c r="J19" s="707">
        <f>I19*$D$19</f>
        <v>4000</v>
      </c>
      <c r="K19" s="588"/>
      <c r="L19" s="588"/>
      <c r="M19" s="588"/>
      <c r="N19" s="588"/>
      <c r="O19" s="588"/>
      <c r="P19" s="588"/>
      <c r="Q19" s="588"/>
      <c r="R19" s="588"/>
    </row>
    <row r="20" spans="1:18" ht="21.75" customHeight="1">
      <c r="A20" s="647">
        <v>7</v>
      </c>
      <c r="B20" s="589" t="s">
        <v>1560</v>
      </c>
      <c r="C20" s="676" t="s">
        <v>11</v>
      </c>
      <c r="D20" s="674">
        <v>12</v>
      </c>
      <c r="E20" s="675">
        <f>540*$E$13</f>
        <v>10800</v>
      </c>
      <c r="F20" s="707">
        <f>D20*E20</f>
        <v>129600</v>
      </c>
      <c r="G20" s="675">
        <f>540*$E$13</f>
        <v>10800</v>
      </c>
      <c r="H20" s="707">
        <f>G20*$D$20</f>
        <v>129600</v>
      </c>
      <c r="I20" s="675">
        <f>540*$E$13</f>
        <v>10800</v>
      </c>
      <c r="J20" s="707">
        <f>I20*$D$20</f>
        <v>129600</v>
      </c>
    </row>
    <row r="21" spans="1:18" ht="21.75" customHeight="1">
      <c r="A21" s="647">
        <v>8</v>
      </c>
      <c r="B21" s="589" t="s">
        <v>1559</v>
      </c>
      <c r="C21" s="676" t="s">
        <v>8</v>
      </c>
      <c r="D21" s="674">
        <v>10</v>
      </c>
      <c r="E21" s="675">
        <f>20*$E$13</f>
        <v>400</v>
      </c>
      <c r="F21" s="707">
        <f>D21*E21</f>
        <v>4000</v>
      </c>
      <c r="G21" s="675">
        <f>20*$E$13</f>
        <v>400</v>
      </c>
      <c r="H21" s="707">
        <f>G21*$D$21</f>
        <v>4000</v>
      </c>
      <c r="I21" s="675">
        <f>20*$E$13</f>
        <v>400</v>
      </c>
      <c r="J21" s="707">
        <f>I21*$D$21</f>
        <v>4000</v>
      </c>
    </row>
    <row r="22" spans="1:18" s="588" customFormat="1" ht="21.75" customHeight="1">
      <c r="A22" s="647"/>
      <c r="B22" s="706" t="s">
        <v>1558</v>
      </c>
      <c r="C22" s="678"/>
      <c r="D22" s="705"/>
      <c r="E22" s="675"/>
      <c r="F22" s="704">
        <f>SUM(F23:F25)</f>
        <v>100000</v>
      </c>
      <c r="G22" s="675"/>
      <c r="H22" s="704">
        <f>SUM(H23:H25)</f>
        <v>100000</v>
      </c>
      <c r="I22" s="675"/>
      <c r="J22" s="704">
        <f>SUM(J23:J25)</f>
        <v>86000</v>
      </c>
      <c r="K22" s="523"/>
      <c r="L22" s="523"/>
      <c r="M22" s="523"/>
      <c r="N22" s="523"/>
      <c r="O22" s="523"/>
      <c r="P22" s="523"/>
      <c r="Q22" s="523"/>
      <c r="R22" s="523"/>
    </row>
    <row r="23" spans="1:18" s="588" customFormat="1" ht="21.75" customHeight="1">
      <c r="A23" s="647">
        <v>1</v>
      </c>
      <c r="B23" s="589" t="s">
        <v>1557</v>
      </c>
      <c r="C23" s="676" t="s">
        <v>1555</v>
      </c>
      <c r="D23" s="679">
        <v>0.25</v>
      </c>
      <c r="E23" s="675">
        <f>F13</f>
        <v>200000</v>
      </c>
      <c r="F23" s="707">
        <f>$D$23*E23</f>
        <v>50000</v>
      </c>
      <c r="G23" s="675">
        <f>E23</f>
        <v>200000</v>
      </c>
      <c r="H23" s="707">
        <f>$D$23*G23</f>
        <v>50000</v>
      </c>
      <c r="I23" s="675">
        <f>G23</f>
        <v>200000</v>
      </c>
      <c r="J23" s="707">
        <f>$D$23*I23</f>
        <v>50000</v>
      </c>
      <c r="K23" s="523"/>
      <c r="L23" s="523"/>
      <c r="M23" s="523"/>
      <c r="N23" s="523"/>
      <c r="O23" s="523"/>
      <c r="P23" s="523"/>
      <c r="Q23" s="523"/>
      <c r="R23" s="523"/>
    </row>
    <row r="24" spans="1:18" ht="21.75" customHeight="1">
      <c r="A24" s="647">
        <v>2</v>
      </c>
      <c r="B24" s="589" t="s">
        <v>1521</v>
      </c>
      <c r="C24" s="676" t="s">
        <v>1555</v>
      </c>
      <c r="D24" s="679">
        <v>0.1</v>
      </c>
      <c r="E24" s="675">
        <f>+E13*5*2000</f>
        <v>200000</v>
      </c>
      <c r="F24" s="707">
        <f>$D$24*E24</f>
        <v>20000</v>
      </c>
      <c r="G24" s="675">
        <f>E24</f>
        <v>200000</v>
      </c>
      <c r="H24" s="707">
        <f>$D$24*G24</f>
        <v>20000</v>
      </c>
      <c r="I24" s="675">
        <f>G24</f>
        <v>200000</v>
      </c>
      <c r="J24" s="707">
        <f>$D$24*I24</f>
        <v>20000</v>
      </c>
    </row>
    <row r="25" spans="1:18" ht="21.75" customHeight="1">
      <c r="A25" s="647">
        <v>3</v>
      </c>
      <c r="B25" s="589" t="s">
        <v>1556</v>
      </c>
      <c r="C25" s="676" t="s">
        <v>1555</v>
      </c>
      <c r="D25" s="679">
        <f>L9/100</f>
        <v>0.1</v>
      </c>
      <c r="E25" s="675">
        <f>C6/1000</f>
        <v>300000</v>
      </c>
      <c r="F25" s="707">
        <f>$D$25*F26</f>
        <v>30000</v>
      </c>
      <c r="G25" s="675">
        <f>E25</f>
        <v>300000</v>
      </c>
      <c r="H25" s="707">
        <f>$D$25*H26</f>
        <v>30000</v>
      </c>
      <c r="I25" s="675">
        <f>G25</f>
        <v>300000</v>
      </c>
      <c r="J25" s="707">
        <f>$D$25*J26</f>
        <v>16000</v>
      </c>
    </row>
    <row r="26" spans="1:18" ht="21.75" customHeight="1">
      <c r="A26" s="647"/>
      <c r="B26" s="589" t="s">
        <v>1554</v>
      </c>
      <c r="C26" s="676"/>
      <c r="D26" s="679"/>
      <c r="E26" s="675"/>
      <c r="F26" s="707">
        <f>C52</f>
        <v>300000</v>
      </c>
      <c r="G26" s="675"/>
      <c r="H26" s="707">
        <f>C53</f>
        <v>300000</v>
      </c>
      <c r="I26" s="675"/>
      <c r="J26" s="707">
        <f>C54</f>
        <v>160000</v>
      </c>
    </row>
    <row r="27" spans="1:18" s="588" customFormat="1" ht="21.75" customHeight="1">
      <c r="A27" s="647" t="s">
        <v>485</v>
      </c>
      <c r="B27" s="706" t="s">
        <v>1516</v>
      </c>
      <c r="C27" s="678"/>
      <c r="D27" s="705"/>
      <c r="E27" s="675"/>
      <c r="F27" s="704">
        <f>F28+F29</f>
        <v>492000</v>
      </c>
      <c r="G27" s="675"/>
      <c r="H27" s="704">
        <f>H28+H29</f>
        <v>492000</v>
      </c>
      <c r="I27" s="675"/>
      <c r="J27" s="704">
        <f>J28+J29</f>
        <v>492000</v>
      </c>
      <c r="K27" s="523"/>
      <c r="L27" s="523"/>
      <c r="M27" s="523"/>
      <c r="N27" s="523"/>
      <c r="O27" s="523"/>
      <c r="P27" s="523"/>
      <c r="Q27" s="523"/>
      <c r="R27" s="523"/>
    </row>
    <row r="28" spans="1:18" ht="21.75" customHeight="1">
      <c r="A28" s="647">
        <v>1</v>
      </c>
      <c r="B28" s="589" t="s">
        <v>1553</v>
      </c>
      <c r="C28" s="676" t="s">
        <v>228</v>
      </c>
      <c r="D28" s="674">
        <v>200</v>
      </c>
      <c r="E28" s="675">
        <f>$E$13*3</f>
        <v>60</v>
      </c>
      <c r="F28" s="707">
        <f>E28*D28</f>
        <v>12000</v>
      </c>
      <c r="G28" s="675">
        <f>$E$13*3</f>
        <v>60</v>
      </c>
      <c r="H28" s="707">
        <f>G28*D28</f>
        <v>12000</v>
      </c>
      <c r="I28" s="675">
        <f>$E$13*3</f>
        <v>60</v>
      </c>
      <c r="J28" s="707">
        <f>I28*D28</f>
        <v>12000</v>
      </c>
    </row>
    <row r="29" spans="1:18" ht="21.75" customHeight="1">
      <c r="A29" s="647">
        <v>2</v>
      </c>
      <c r="B29" s="589" t="s">
        <v>1552</v>
      </c>
      <c r="C29" s="676" t="s">
        <v>8</v>
      </c>
      <c r="D29" s="674">
        <v>1200</v>
      </c>
      <c r="E29" s="675">
        <f>20*$E$13</f>
        <v>400</v>
      </c>
      <c r="F29" s="707">
        <f>E29*D29</f>
        <v>480000</v>
      </c>
      <c r="G29" s="675">
        <f>20*$E$13</f>
        <v>400</v>
      </c>
      <c r="H29" s="707">
        <f>G29*D29</f>
        <v>480000</v>
      </c>
      <c r="I29" s="675">
        <f>20*$E$13</f>
        <v>400</v>
      </c>
      <c r="J29" s="707">
        <f>I29*D29</f>
        <v>480000</v>
      </c>
      <c r="K29" s="588"/>
      <c r="L29" s="588"/>
      <c r="M29" s="588"/>
      <c r="N29" s="588"/>
      <c r="O29" s="588"/>
      <c r="P29" s="588"/>
      <c r="Q29" s="588"/>
      <c r="R29" s="588"/>
    </row>
    <row r="30" spans="1:18" s="588" customFormat="1" ht="21.75" customHeight="1">
      <c r="A30" s="647" t="s">
        <v>489</v>
      </c>
      <c r="B30" s="706" t="s">
        <v>1551</v>
      </c>
      <c r="C30" s="576"/>
      <c r="D30" s="705"/>
      <c r="E30" s="671"/>
      <c r="F30" s="704">
        <f>F27-F11</f>
        <v>-177600</v>
      </c>
      <c r="G30" s="671"/>
      <c r="H30" s="704">
        <f>H27-H11</f>
        <v>22400</v>
      </c>
      <c r="I30" s="671"/>
      <c r="J30" s="704">
        <f>J27-J11</f>
        <v>36400</v>
      </c>
    </row>
    <row r="31" spans="1:18" ht="21.75" customHeight="1">
      <c r="A31" s="647" t="s">
        <v>547</v>
      </c>
      <c r="B31" s="706" t="s">
        <v>1511</v>
      </c>
      <c r="C31" s="576"/>
      <c r="D31" s="705"/>
      <c r="E31" s="671"/>
      <c r="F31" s="704"/>
      <c r="G31" s="671"/>
      <c r="H31" s="704">
        <f>H13*20%</f>
        <v>0</v>
      </c>
      <c r="I31" s="671"/>
      <c r="J31" s="704">
        <f>F13-F23-H23</f>
        <v>100000</v>
      </c>
    </row>
    <row r="32" spans="1:18" ht="21.75" customHeight="1">
      <c r="B32" s="582"/>
      <c r="C32" s="581"/>
      <c r="D32" s="538"/>
      <c r="E32" s="620"/>
      <c r="F32" s="703"/>
      <c r="I32" s="523"/>
    </row>
    <row r="33" spans="1:18" s="588" customFormat="1" ht="21" customHeight="1" thickBot="1">
      <c r="A33" s="524" t="s">
        <v>1510</v>
      </c>
      <c r="B33" s="652" t="s">
        <v>1509</v>
      </c>
      <c r="C33" s="580"/>
      <c r="D33" s="580"/>
      <c r="E33" s="663"/>
      <c r="F33" s="662"/>
      <c r="G33" s="662"/>
      <c r="H33" s="701" t="s">
        <v>1547</v>
      </c>
      <c r="I33" s="662"/>
      <c r="K33" s="523"/>
      <c r="L33" s="523"/>
      <c r="M33" s="523"/>
      <c r="N33" s="523"/>
      <c r="O33" s="523"/>
      <c r="P33" s="523"/>
      <c r="Q33" s="523"/>
      <c r="R33" s="523"/>
    </row>
    <row r="34" spans="1:18" s="588" customFormat="1" ht="21" customHeight="1" thickTop="1">
      <c r="A34" s="661" t="s">
        <v>1058</v>
      </c>
      <c r="B34" s="660" t="s">
        <v>64</v>
      </c>
      <c r="C34" s="2432" t="s">
        <v>1035</v>
      </c>
      <c r="D34" s="2432"/>
      <c r="E34" s="2432" t="s">
        <v>1034</v>
      </c>
      <c r="F34" s="2432"/>
      <c r="G34" s="2432" t="s">
        <v>1033</v>
      </c>
      <c r="H34" s="2432"/>
      <c r="I34" s="523"/>
      <c r="J34" s="523"/>
    </row>
    <row r="35" spans="1:18" s="588" customFormat="1" ht="21" customHeight="1">
      <c r="A35" s="657">
        <v>1</v>
      </c>
      <c r="B35" s="636" t="s">
        <v>242</v>
      </c>
      <c r="C35" s="2424">
        <f>F27</f>
        <v>492000</v>
      </c>
      <c r="D35" s="2424"/>
      <c r="E35" s="2413">
        <f>H27</f>
        <v>492000</v>
      </c>
      <c r="F35" s="2413"/>
      <c r="G35" s="2413">
        <f>J27</f>
        <v>492000</v>
      </c>
      <c r="H35" s="2413"/>
      <c r="I35" s="523"/>
      <c r="J35" s="523"/>
      <c r="K35" s="523"/>
      <c r="L35" s="523"/>
      <c r="M35" s="523"/>
      <c r="N35" s="523"/>
      <c r="O35" s="523"/>
      <c r="P35" s="523"/>
      <c r="Q35" s="523"/>
      <c r="R35" s="523"/>
    </row>
    <row r="36" spans="1:18" s="588" customFormat="1" ht="21" customHeight="1">
      <c r="A36" s="657">
        <v>2</v>
      </c>
      <c r="B36" s="636" t="s">
        <v>22</v>
      </c>
      <c r="C36" s="2431">
        <f>F11</f>
        <v>669600</v>
      </c>
      <c r="D36" s="2431"/>
      <c r="E36" s="2427">
        <f>H11</f>
        <v>469600</v>
      </c>
      <c r="F36" s="2427"/>
      <c r="G36" s="2427">
        <f>J11</f>
        <v>455600</v>
      </c>
      <c r="H36" s="2427"/>
      <c r="I36" s="523"/>
      <c r="J36" s="523"/>
      <c r="K36" s="523"/>
      <c r="L36" s="523"/>
      <c r="M36" s="523"/>
      <c r="N36" s="523"/>
      <c r="O36" s="523"/>
      <c r="P36" s="523"/>
      <c r="Q36" s="523"/>
      <c r="R36" s="523"/>
    </row>
    <row r="37" spans="1:18" s="588" customFormat="1" ht="21" customHeight="1">
      <c r="A37" s="659" t="s">
        <v>1223</v>
      </c>
      <c r="B37" s="658" t="s">
        <v>1248</v>
      </c>
      <c r="C37" s="2425">
        <f>F12</f>
        <v>569600</v>
      </c>
      <c r="D37" s="2425"/>
      <c r="E37" s="2427">
        <f>H12</f>
        <v>369600</v>
      </c>
      <c r="F37" s="2427"/>
      <c r="G37" s="2427">
        <f>J12</f>
        <v>369600</v>
      </c>
      <c r="H37" s="2427"/>
      <c r="I37" s="523"/>
      <c r="J37" s="523"/>
    </row>
    <row r="38" spans="1:18" s="588" customFormat="1" ht="21" customHeight="1">
      <c r="A38" s="659" t="s">
        <v>1221</v>
      </c>
      <c r="B38" s="658" t="s">
        <v>801</v>
      </c>
      <c r="C38" s="2425">
        <f>F25</f>
        <v>30000</v>
      </c>
      <c r="D38" s="2425"/>
      <c r="E38" s="2426">
        <f>H25</f>
        <v>30000</v>
      </c>
      <c r="F38" s="2426"/>
      <c r="G38" s="2426">
        <f>J25</f>
        <v>16000</v>
      </c>
      <c r="H38" s="2426"/>
      <c r="I38" s="523"/>
      <c r="J38" s="523"/>
      <c r="K38" s="523"/>
      <c r="L38" s="523"/>
      <c r="M38" s="523"/>
      <c r="N38" s="523"/>
      <c r="O38" s="523"/>
      <c r="P38" s="523"/>
      <c r="Q38" s="523"/>
      <c r="R38" s="523"/>
    </row>
    <row r="39" spans="1:18" s="588" customFormat="1" ht="21" customHeight="1">
      <c r="A39" s="659" t="s">
        <v>1219</v>
      </c>
      <c r="B39" s="658" t="s">
        <v>1550</v>
      </c>
      <c r="C39" s="2425">
        <f>F23+F24</f>
        <v>70000</v>
      </c>
      <c r="D39" s="2425"/>
      <c r="E39" s="2426">
        <f>C39</f>
        <v>70000</v>
      </c>
      <c r="F39" s="2426"/>
      <c r="G39" s="2426">
        <f>E39</f>
        <v>70000</v>
      </c>
      <c r="H39" s="2426"/>
      <c r="I39" s="523"/>
      <c r="J39" s="523"/>
      <c r="K39" s="523"/>
      <c r="L39" s="523"/>
      <c r="M39" s="523"/>
      <c r="N39" s="523"/>
      <c r="O39" s="523"/>
      <c r="P39" s="523"/>
      <c r="Q39" s="523"/>
      <c r="R39" s="523"/>
    </row>
    <row r="40" spans="1:18" s="588" customFormat="1" ht="21" customHeight="1">
      <c r="A40" s="657">
        <v>3</v>
      </c>
      <c r="B40" s="636" t="s">
        <v>1507</v>
      </c>
      <c r="C40" s="2424">
        <f>C35-C36</f>
        <v>-177600</v>
      </c>
      <c r="D40" s="2424"/>
      <c r="E40" s="2413">
        <f>E35-E36</f>
        <v>22400</v>
      </c>
      <c r="F40" s="2413"/>
      <c r="G40" s="2413">
        <f>G35-G36</f>
        <v>36400</v>
      </c>
      <c r="H40" s="2413"/>
      <c r="I40" s="523"/>
      <c r="J40" s="523"/>
    </row>
    <row r="41" spans="1:18" s="588" customFormat="1" ht="21" customHeight="1">
      <c r="A41" s="657">
        <v>4</v>
      </c>
      <c r="B41" s="636" t="s">
        <v>1506</v>
      </c>
      <c r="C41" s="2424">
        <f>C40</f>
        <v>-177600</v>
      </c>
      <c r="D41" s="2424"/>
      <c r="E41" s="2424">
        <f>E40</f>
        <v>22400</v>
      </c>
      <c r="F41" s="2424"/>
      <c r="G41" s="2424">
        <f>G40+J31</f>
        <v>136400</v>
      </c>
      <c r="H41" s="2424"/>
      <c r="I41" s="523"/>
      <c r="J41" s="523"/>
    </row>
    <row r="42" spans="1:18" s="588" customFormat="1" ht="21" customHeight="1">
      <c r="A42" s="657">
        <v>5</v>
      </c>
      <c r="B42" s="636" t="s">
        <v>1505</v>
      </c>
      <c r="C42" s="2420">
        <f>L9/100</f>
        <v>0.1</v>
      </c>
      <c r="D42" s="2420"/>
      <c r="E42" s="2421"/>
      <c r="F42" s="2421"/>
      <c r="G42" s="2421"/>
      <c r="H42" s="2421"/>
      <c r="I42" s="523"/>
      <c r="J42" s="523"/>
    </row>
    <row r="43" spans="1:18" ht="21" customHeight="1">
      <c r="A43" s="656">
        <v>6</v>
      </c>
      <c r="B43" s="589" t="s">
        <v>1504</v>
      </c>
      <c r="C43" s="2422">
        <f>IRR(C41:H41)</f>
        <v>-5.8304495047315608E-2</v>
      </c>
      <c r="D43" s="2422"/>
      <c r="E43" s="2423"/>
      <c r="F43" s="2423"/>
      <c r="G43" s="2423"/>
      <c r="H43" s="2423"/>
      <c r="I43" s="523"/>
      <c r="K43" s="588"/>
      <c r="L43" s="588"/>
      <c r="M43" s="588"/>
      <c r="N43" s="588"/>
      <c r="O43" s="588"/>
      <c r="P43" s="588"/>
      <c r="Q43" s="588"/>
      <c r="R43" s="588"/>
    </row>
    <row r="44" spans="1:18" ht="21" customHeight="1">
      <c r="A44" s="656">
        <v>7</v>
      </c>
      <c r="B44" s="589" t="s">
        <v>1503</v>
      </c>
      <c r="C44" s="2417">
        <f>NPV(C42,E41:H41)+C41</f>
        <v>-44509.090909090912</v>
      </c>
      <c r="D44" s="2417"/>
      <c r="E44" s="2418"/>
      <c r="F44" s="2418"/>
      <c r="G44" s="2418"/>
      <c r="H44" s="2418"/>
      <c r="I44" s="523"/>
      <c r="K44" s="588"/>
      <c r="L44" s="588"/>
      <c r="M44" s="588"/>
      <c r="N44" s="588"/>
      <c r="O44" s="588"/>
      <c r="P44" s="588"/>
      <c r="Q44" s="588"/>
      <c r="R44" s="588"/>
    </row>
    <row r="45" spans="1:18" ht="21" customHeight="1">
      <c r="A45" s="656">
        <v>8</v>
      </c>
      <c r="B45" s="589" t="s">
        <v>1549</v>
      </c>
      <c r="C45" s="2419">
        <v>0</v>
      </c>
      <c r="D45" s="2419"/>
      <c r="E45" s="2419">
        <f>(E40+E39)*0.8</f>
        <v>73920</v>
      </c>
      <c r="F45" s="2419"/>
      <c r="G45" s="2419">
        <f>(G40+G39)*0.8</f>
        <v>85120</v>
      </c>
      <c r="H45" s="2419"/>
      <c r="I45" s="523"/>
      <c r="K45" s="588"/>
      <c r="L45" s="588"/>
      <c r="M45" s="588"/>
      <c r="N45" s="588"/>
      <c r="O45" s="588"/>
      <c r="P45" s="588"/>
      <c r="Q45" s="588"/>
      <c r="R45" s="588"/>
    </row>
    <row r="46" spans="1:18" ht="21" customHeight="1" thickBot="1">
      <c r="A46" s="702">
        <v>9</v>
      </c>
      <c r="B46" s="644" t="s">
        <v>1548</v>
      </c>
      <c r="C46" s="2415">
        <v>0</v>
      </c>
      <c r="D46" s="2415"/>
      <c r="E46" s="2415">
        <f>E53</f>
        <v>140000</v>
      </c>
      <c r="F46" s="2415"/>
      <c r="G46" s="2415">
        <f>E54</f>
        <v>160000</v>
      </c>
      <c r="H46" s="2415"/>
      <c r="I46" s="523"/>
      <c r="K46" s="588"/>
      <c r="L46" s="588"/>
      <c r="M46" s="588"/>
      <c r="N46" s="588"/>
      <c r="O46" s="588"/>
      <c r="P46" s="588"/>
      <c r="Q46" s="588"/>
      <c r="R46" s="588"/>
    </row>
    <row r="47" spans="1:18" ht="17.25" thickTop="1">
      <c r="B47" s="575"/>
      <c r="D47" s="523"/>
      <c r="I47" s="523"/>
      <c r="K47" s="588"/>
      <c r="L47" s="588"/>
      <c r="M47" s="588"/>
      <c r="N47" s="588"/>
      <c r="O47" s="588"/>
      <c r="P47" s="588"/>
      <c r="Q47" s="588"/>
      <c r="R47" s="588"/>
    </row>
    <row r="48" spans="1:18">
      <c r="A48" s="524" t="s">
        <v>1513</v>
      </c>
      <c r="B48" s="642" t="s">
        <v>1494</v>
      </c>
      <c r="I48" s="523"/>
      <c r="K48" s="588"/>
      <c r="L48" s="588"/>
      <c r="M48" s="588"/>
      <c r="N48" s="588"/>
      <c r="O48" s="588"/>
      <c r="P48" s="588"/>
      <c r="Q48" s="588"/>
      <c r="R48" s="588"/>
    </row>
    <row r="49" spans="1:18">
      <c r="A49" s="524" t="s">
        <v>1493</v>
      </c>
      <c r="B49" s="642" t="s">
        <v>1492</v>
      </c>
      <c r="C49" s="524">
        <v>36</v>
      </c>
      <c r="D49" s="643" t="s">
        <v>74</v>
      </c>
      <c r="I49" s="523"/>
      <c r="K49" s="588"/>
      <c r="L49" s="588"/>
      <c r="M49" s="588"/>
      <c r="N49" s="588"/>
      <c r="O49" s="588"/>
      <c r="P49" s="588"/>
      <c r="Q49" s="588"/>
      <c r="R49" s="588"/>
    </row>
    <row r="50" spans="1:18" ht="17.25" thickBot="1">
      <c r="A50" s="524" t="s">
        <v>1491</v>
      </c>
      <c r="B50" s="642" t="s">
        <v>1490</v>
      </c>
      <c r="H50" s="701" t="s">
        <v>1547</v>
      </c>
      <c r="I50" s="523"/>
    </row>
    <row r="51" spans="1:18" ht="15.75" customHeight="1" thickTop="1">
      <c r="A51" s="641" t="s">
        <v>1058</v>
      </c>
      <c r="B51" s="640" t="s">
        <v>1488</v>
      </c>
      <c r="C51" s="2416" t="s">
        <v>1487</v>
      </c>
      <c r="D51" s="2416"/>
      <c r="E51" s="639" t="s">
        <v>1486</v>
      </c>
      <c r="F51" s="639"/>
      <c r="G51" s="639" t="s">
        <v>1485</v>
      </c>
      <c r="H51" s="638"/>
      <c r="I51" s="523"/>
    </row>
    <row r="52" spans="1:18">
      <c r="A52" s="637">
        <v>1</v>
      </c>
      <c r="B52" s="636" t="s">
        <v>1484</v>
      </c>
      <c r="C52" s="2413">
        <f>C6/1000</f>
        <v>300000</v>
      </c>
      <c r="D52" s="2413"/>
      <c r="E52" s="2413">
        <v>0</v>
      </c>
      <c r="F52" s="2413" t="e">
        <f>#REF!</f>
        <v>#REF!</v>
      </c>
      <c r="G52" s="2413">
        <f>C52-E52</f>
        <v>300000</v>
      </c>
      <c r="H52" s="2414"/>
      <c r="I52" s="523"/>
    </row>
    <row r="53" spans="1:18">
      <c r="A53" s="637">
        <f>+A52+1</f>
        <v>2</v>
      </c>
      <c r="B53" s="636" t="s">
        <v>1483</v>
      </c>
      <c r="C53" s="2413">
        <f>G52</f>
        <v>300000</v>
      </c>
      <c r="D53" s="2413"/>
      <c r="E53" s="2413">
        <f>ROUND($C$53*0.45,-4)</f>
        <v>140000</v>
      </c>
      <c r="F53" s="2413" t="e">
        <f>+#REF!</f>
        <v>#REF!</v>
      </c>
      <c r="G53" s="2413">
        <f>C53-E53</f>
        <v>160000</v>
      </c>
      <c r="H53" s="2414"/>
      <c r="I53" s="2306"/>
      <c r="J53" s="2306"/>
    </row>
    <row r="54" spans="1:18">
      <c r="A54" s="637">
        <f>+A53+1</f>
        <v>3</v>
      </c>
      <c r="B54" s="636" t="s">
        <v>1482</v>
      </c>
      <c r="C54" s="2413">
        <f>G53</f>
        <v>160000</v>
      </c>
      <c r="D54" s="2413"/>
      <c r="E54" s="2413">
        <f>C54</f>
        <v>160000</v>
      </c>
      <c r="F54" s="2413" t="e">
        <f>+#REF!</f>
        <v>#REF!</v>
      </c>
      <c r="G54" s="2413">
        <f>C54-E54</f>
        <v>0</v>
      </c>
      <c r="H54" s="2414"/>
      <c r="I54" s="2302"/>
      <c r="J54" s="2302"/>
    </row>
    <row r="55" spans="1:18" ht="17.25" thickBot="1">
      <c r="A55" s="635"/>
      <c r="B55" s="634" t="s">
        <v>288</v>
      </c>
      <c r="C55" s="2410">
        <f>SUM(D52:D54)</f>
        <v>0</v>
      </c>
      <c r="D55" s="2410"/>
      <c r="E55" s="2410" t="e">
        <f>SUM(E52:F54)</f>
        <v>#REF!</v>
      </c>
      <c r="F55" s="2410"/>
      <c r="G55" s="2411"/>
      <c r="H55" s="2412"/>
    </row>
    <row r="56" spans="1:18" ht="17.25" thickTop="1"/>
  </sheetData>
  <mergeCells count="58">
    <mergeCell ref="I9:J9"/>
    <mergeCell ref="C34:D34"/>
    <mergeCell ref="E34:F34"/>
    <mergeCell ref="G34:H34"/>
    <mergeCell ref="C6:D6"/>
    <mergeCell ref="C37:D37"/>
    <mergeCell ref="E37:F37"/>
    <mergeCell ref="G37:H37"/>
    <mergeCell ref="C5:D5"/>
    <mergeCell ref="C4:D4"/>
    <mergeCell ref="C35:D35"/>
    <mergeCell ref="E35:F35"/>
    <mergeCell ref="G35:H35"/>
    <mergeCell ref="E9:F9"/>
    <mergeCell ref="G9:H9"/>
    <mergeCell ref="C36:D36"/>
    <mergeCell ref="E36:F36"/>
    <mergeCell ref="G36:H36"/>
    <mergeCell ref="C38:D38"/>
    <mergeCell ref="E38:F38"/>
    <mergeCell ref="G38:H38"/>
    <mergeCell ref="C39:D39"/>
    <mergeCell ref="E39:F39"/>
    <mergeCell ref="G39:H39"/>
    <mergeCell ref="C40:D40"/>
    <mergeCell ref="E40:F40"/>
    <mergeCell ref="G40:H40"/>
    <mergeCell ref="C41:D41"/>
    <mergeCell ref="E41:F41"/>
    <mergeCell ref="G41:H41"/>
    <mergeCell ref="C42:D42"/>
    <mergeCell ref="E42:F42"/>
    <mergeCell ref="G42:H42"/>
    <mergeCell ref="C43:D43"/>
    <mergeCell ref="E43:F43"/>
    <mergeCell ref="G43:H43"/>
    <mergeCell ref="C44:D44"/>
    <mergeCell ref="E44:F44"/>
    <mergeCell ref="G44:H44"/>
    <mergeCell ref="C45:D45"/>
    <mergeCell ref="E45:F45"/>
    <mergeCell ref="G45:H45"/>
    <mergeCell ref="C46:D46"/>
    <mergeCell ref="E46:F46"/>
    <mergeCell ref="G46:H46"/>
    <mergeCell ref="C51:D51"/>
    <mergeCell ref="C52:D52"/>
    <mergeCell ref="E52:F52"/>
    <mergeCell ref="G52:H52"/>
    <mergeCell ref="C55:D55"/>
    <mergeCell ref="E55:F55"/>
    <mergeCell ref="G55:H55"/>
    <mergeCell ref="C53:D53"/>
    <mergeCell ref="E53:F53"/>
    <mergeCell ref="G53:H53"/>
    <mergeCell ref="C54:D54"/>
    <mergeCell ref="E54:F54"/>
    <mergeCell ref="G54:H54"/>
  </mergeCells>
  <pageMargins left="1" right="0.5" top="0.75" bottom="0.75" header="0.5" footer="0.5"/>
  <pageSetup paperSize="9" orientation="portrait" horizontalDpi="300" verticalDpi="300" r:id="rId1"/>
  <headerFooter alignWithMargins="0">
    <oddFooter>&amp;CTrang</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M45"/>
  <sheetViews>
    <sheetView zoomScaleNormal="100" workbookViewId="0">
      <selection activeCell="J13" sqref="J13"/>
    </sheetView>
  </sheetViews>
  <sheetFormatPr defaultColWidth="10.42578125" defaultRowHeight="16.5"/>
  <cols>
    <col min="1" max="1" width="5" style="151" customWidth="1"/>
    <col min="2" max="2" width="30.85546875" style="151" customWidth="1"/>
    <col min="3" max="3" width="8.28515625" style="151" customWidth="1"/>
    <col min="4" max="4" width="15.7109375" style="151" customWidth="1"/>
    <col min="5" max="5" width="17.140625" style="151" customWidth="1"/>
    <col min="6" max="6" width="20.5703125" style="151" customWidth="1"/>
    <col min="7" max="12" width="10.42578125" style="151"/>
    <col min="13" max="13" width="15.85546875" style="151" bestFit="1" customWidth="1"/>
    <col min="14" max="16384" width="10.42578125" style="151"/>
  </cols>
  <sheetData>
    <row r="1" spans="1:13">
      <c r="C1" s="151" t="s">
        <v>2292</v>
      </c>
      <c r="G1" s="309" t="s">
        <v>1020</v>
      </c>
    </row>
    <row r="5" spans="1:13" ht="17.25">
      <c r="A5" s="2434" t="s">
        <v>2291</v>
      </c>
      <c r="B5" s="2434"/>
      <c r="C5" s="2434"/>
      <c r="D5" s="2434"/>
      <c r="E5" s="1359"/>
      <c r="F5" s="1359"/>
    </row>
    <row r="6" spans="1:13" ht="33">
      <c r="A6" s="2318" t="s">
        <v>0</v>
      </c>
      <c r="B6" s="2318" t="s">
        <v>2290</v>
      </c>
      <c r="C6" s="2318" t="s">
        <v>1056</v>
      </c>
      <c r="D6" s="2318" t="s">
        <v>1</v>
      </c>
      <c r="E6" s="1337" t="s">
        <v>2279</v>
      </c>
      <c r="F6" s="1337" t="s">
        <v>1139</v>
      </c>
    </row>
    <row r="7" spans="1:13">
      <c r="A7" s="1358" t="s">
        <v>2278</v>
      </c>
      <c r="B7" s="1358" t="s">
        <v>2277</v>
      </c>
      <c r="C7" s="1358" t="s">
        <v>2276</v>
      </c>
      <c r="D7" s="1358" t="s">
        <v>2275</v>
      </c>
      <c r="E7" s="1358" t="s">
        <v>2274</v>
      </c>
      <c r="F7" s="1357" t="s">
        <v>2273</v>
      </c>
    </row>
    <row r="8" spans="1:13" s="1355" customFormat="1" ht="33">
      <c r="A8" s="1356" t="s">
        <v>480</v>
      </c>
      <c r="B8" s="1330" t="s">
        <v>2289</v>
      </c>
      <c r="C8" s="1329"/>
      <c r="D8" s="1327"/>
      <c r="E8" s="1327"/>
      <c r="F8" s="1327">
        <f>SUM(F9:F15)</f>
        <v>58000000</v>
      </c>
    </row>
    <row r="9" spans="1:13" s="1316" customFormat="1">
      <c r="A9" s="1320" t="s">
        <v>615</v>
      </c>
      <c r="B9" s="1333" t="s">
        <v>2288</v>
      </c>
      <c r="C9" s="1332" t="s">
        <v>523</v>
      </c>
      <c r="D9" s="1331">
        <v>15</v>
      </c>
      <c r="E9" s="1331">
        <v>2000000</v>
      </c>
      <c r="F9" s="1331">
        <f t="shared" ref="F9:F15" si="0">E9*D9</f>
        <v>30000000</v>
      </c>
    </row>
    <row r="10" spans="1:13" s="1316" customFormat="1" ht="33">
      <c r="A10" s="1320" t="s">
        <v>615</v>
      </c>
      <c r="B10" s="1333" t="s">
        <v>2287</v>
      </c>
      <c r="C10" s="1332" t="s">
        <v>829</v>
      </c>
      <c r="D10" s="1331">
        <f>1*D9*100</f>
        <v>1500</v>
      </c>
      <c r="E10" s="1331">
        <v>10000</v>
      </c>
      <c r="F10" s="1331">
        <f t="shared" si="0"/>
        <v>15000000</v>
      </c>
    </row>
    <row r="11" spans="1:13" s="1316" customFormat="1">
      <c r="A11" s="1320" t="s">
        <v>615</v>
      </c>
      <c r="B11" s="1333" t="s">
        <v>2286</v>
      </c>
      <c r="C11" s="1332" t="s">
        <v>523</v>
      </c>
      <c r="D11" s="1331">
        <f>D9</f>
        <v>15</v>
      </c>
      <c r="E11" s="1331">
        <v>100000</v>
      </c>
      <c r="F11" s="1331">
        <f t="shared" si="0"/>
        <v>1500000</v>
      </c>
    </row>
    <row r="12" spans="1:13" s="1316" customFormat="1">
      <c r="A12" s="1320" t="s">
        <v>615</v>
      </c>
      <c r="B12" s="1353" t="s">
        <v>2285</v>
      </c>
      <c r="C12" s="1332" t="s">
        <v>2271</v>
      </c>
      <c r="D12" s="1331">
        <v>1</v>
      </c>
      <c r="E12" s="1351">
        <v>500000</v>
      </c>
      <c r="F12" s="1331">
        <f t="shared" si="0"/>
        <v>500000</v>
      </c>
    </row>
    <row r="13" spans="1:13" s="1316" customFormat="1">
      <c r="A13" s="1320" t="s">
        <v>615</v>
      </c>
      <c r="B13" s="1353" t="s">
        <v>2284</v>
      </c>
      <c r="C13" s="1332" t="s">
        <v>2271</v>
      </c>
      <c r="D13" s="1331">
        <v>1</v>
      </c>
      <c r="E13" s="1351">
        <v>500000</v>
      </c>
      <c r="F13" s="1331">
        <f t="shared" si="0"/>
        <v>500000</v>
      </c>
      <c r="M13" s="1354"/>
    </row>
    <row r="14" spans="1:13" s="1316" customFormat="1">
      <c r="A14" s="1320" t="s">
        <v>615</v>
      </c>
      <c r="B14" s="1353" t="s">
        <v>2283</v>
      </c>
      <c r="C14" s="1332" t="s">
        <v>358</v>
      </c>
      <c r="D14" s="1331">
        <v>1</v>
      </c>
      <c r="E14" s="1351">
        <v>1500000</v>
      </c>
      <c r="F14" s="1331">
        <f t="shared" si="0"/>
        <v>1500000</v>
      </c>
      <c r="M14" s="1354"/>
    </row>
    <row r="15" spans="1:13" s="1316" customFormat="1">
      <c r="A15" s="1320" t="s">
        <v>615</v>
      </c>
      <c r="B15" s="1353" t="s">
        <v>1523</v>
      </c>
      <c r="C15" s="1332" t="s">
        <v>358</v>
      </c>
      <c r="D15" s="1331">
        <v>3</v>
      </c>
      <c r="E15" s="1351">
        <v>3000000</v>
      </c>
      <c r="F15" s="1331">
        <f t="shared" si="0"/>
        <v>9000000</v>
      </c>
    </row>
    <row r="16" spans="1:13" s="1316" customFormat="1" ht="33">
      <c r="A16" s="1320"/>
      <c r="B16" s="1352" t="s">
        <v>2282</v>
      </c>
      <c r="C16" s="1332"/>
      <c r="D16" s="1331"/>
      <c r="E16" s="1351"/>
      <c r="F16" s="1327">
        <f>F8*3</f>
        <v>174000000</v>
      </c>
    </row>
    <row r="17" spans="1:13" s="156" customFormat="1">
      <c r="A17" s="1350"/>
      <c r="B17" s="1349" t="s">
        <v>288</v>
      </c>
      <c r="C17" s="2295"/>
      <c r="D17" s="1348"/>
      <c r="E17" s="1347"/>
      <c r="F17" s="1346">
        <f>F16</f>
        <v>174000000</v>
      </c>
      <c r="M17" s="1345">
        <f>(F17-E33)/F17</f>
        <v>0.65517241379310343</v>
      </c>
    </row>
    <row r="18" spans="1:13" s="156" customFormat="1">
      <c r="A18" s="1344"/>
      <c r="B18" s="1343"/>
      <c r="C18" s="1294"/>
      <c r="D18" s="1341"/>
      <c r="E18" s="1342"/>
      <c r="F18" s="1341"/>
    </row>
    <row r="19" spans="1:13" s="1311" customFormat="1">
      <c r="A19" s="2435" t="s">
        <v>2281</v>
      </c>
      <c r="B19" s="2435"/>
      <c r="C19" s="2435"/>
      <c r="D19" s="2435"/>
      <c r="E19" s="1340"/>
      <c r="F19" s="1339"/>
      <c r="M19" s="1338">
        <f>16000000/100</f>
        <v>160000</v>
      </c>
    </row>
    <row r="20" spans="1:13" ht="33">
      <c r="A20" s="2318" t="s">
        <v>1058</v>
      </c>
      <c r="B20" s="2318" t="s">
        <v>2280</v>
      </c>
      <c r="C20" s="2318" t="s">
        <v>1056</v>
      </c>
      <c r="D20" s="2318" t="s">
        <v>1</v>
      </c>
      <c r="E20" s="1337" t="s">
        <v>2279</v>
      </c>
      <c r="F20" s="1337" t="s">
        <v>1139</v>
      </c>
    </row>
    <row r="21" spans="1:13" s="1334" customFormat="1">
      <c r="A21" s="1336" t="s">
        <v>2278</v>
      </c>
      <c r="B21" s="1336" t="s">
        <v>2277</v>
      </c>
      <c r="C21" s="1336" t="s">
        <v>2276</v>
      </c>
      <c r="D21" s="1336" t="s">
        <v>2275</v>
      </c>
      <c r="E21" s="1336" t="s">
        <v>2274</v>
      </c>
      <c r="F21" s="1335" t="s">
        <v>2273</v>
      </c>
    </row>
    <row r="22" spans="1:13">
      <c r="A22" s="1315" t="s">
        <v>480</v>
      </c>
      <c r="B22" s="2433" t="s">
        <v>2272</v>
      </c>
      <c r="C22" s="2433"/>
      <c r="D22" s="2433"/>
      <c r="E22" s="2433"/>
      <c r="F22" s="1322">
        <f>F31+F32</f>
        <v>180600000</v>
      </c>
    </row>
    <row r="23" spans="1:13">
      <c r="A23" s="1315"/>
      <c r="B23" s="2436" t="s">
        <v>1248</v>
      </c>
      <c r="C23" s="2437"/>
      <c r="D23" s="2437"/>
      <c r="E23" s="2438"/>
      <c r="F23" s="1322">
        <f>SUM(F24:F30)</f>
        <v>58000000</v>
      </c>
    </row>
    <row r="24" spans="1:13">
      <c r="A24" s="1320" t="s">
        <v>615</v>
      </c>
      <c r="B24" s="1333" t="str">
        <f t="shared" ref="B24:B31" si="1">B9</f>
        <v>Mua heo con</v>
      </c>
      <c r="C24" s="1332" t="s">
        <v>523</v>
      </c>
      <c r="D24" s="1331">
        <f t="shared" ref="D24:E30" si="2">D9</f>
        <v>15</v>
      </c>
      <c r="E24" s="1331">
        <f t="shared" si="2"/>
        <v>2000000</v>
      </c>
      <c r="F24" s="1331">
        <f t="shared" ref="F24:F30" si="3">E24*D24</f>
        <v>30000000</v>
      </c>
    </row>
    <row r="25" spans="1:13" ht="33">
      <c r="A25" s="1320" t="s">
        <v>615</v>
      </c>
      <c r="B25" s="1333" t="str">
        <f t="shared" si="1"/>
        <v>Mua cám (1 kg/con/ngày x 15 con x 100 ngày)</v>
      </c>
      <c r="C25" s="1332" t="s">
        <v>829</v>
      </c>
      <c r="D25" s="1331">
        <f t="shared" si="2"/>
        <v>1500</v>
      </c>
      <c r="E25" s="1331">
        <f t="shared" si="2"/>
        <v>10000</v>
      </c>
      <c r="F25" s="1331">
        <f t="shared" si="3"/>
        <v>15000000</v>
      </c>
      <c r="M25" s="152">
        <f>F22-E33</f>
        <v>120600000</v>
      </c>
    </row>
    <row r="26" spans="1:13">
      <c r="A26" s="1320" t="s">
        <v>615</v>
      </c>
      <c r="B26" s="1333" t="str">
        <f t="shared" si="1"/>
        <v>Chi thú y (100.000 đ/con)</v>
      </c>
      <c r="C26" s="1332" t="s">
        <v>829</v>
      </c>
      <c r="D26" s="1331">
        <f t="shared" si="2"/>
        <v>15</v>
      </c>
      <c r="E26" s="1331">
        <f t="shared" si="2"/>
        <v>100000</v>
      </c>
      <c r="F26" s="1331">
        <f t="shared" si="3"/>
        <v>1500000</v>
      </c>
      <c r="M26" s="153">
        <f>M25/F22</f>
        <v>0.66777408637873759</v>
      </c>
    </row>
    <row r="27" spans="1:13">
      <c r="A27" s="1320" t="s">
        <v>615</v>
      </c>
      <c r="B27" s="1333" t="str">
        <f t="shared" si="1"/>
        <v>Phun Thuốc sát trùng</v>
      </c>
      <c r="C27" s="1332" t="s">
        <v>2271</v>
      </c>
      <c r="D27" s="1331">
        <f t="shared" si="2"/>
        <v>1</v>
      </c>
      <c r="E27" s="1331">
        <f t="shared" si="2"/>
        <v>500000</v>
      </c>
      <c r="F27" s="1331">
        <f t="shared" si="3"/>
        <v>500000</v>
      </c>
    </row>
    <row r="28" spans="1:13">
      <c r="A28" s="1320" t="s">
        <v>615</v>
      </c>
      <c r="B28" s="1333" t="str">
        <f t="shared" si="1"/>
        <v>Tẩy Ký sinh trùng</v>
      </c>
      <c r="C28" s="1332" t="s">
        <v>2271</v>
      </c>
      <c r="D28" s="1331">
        <f t="shared" si="2"/>
        <v>1</v>
      </c>
      <c r="E28" s="1331">
        <f t="shared" si="2"/>
        <v>500000</v>
      </c>
      <c r="F28" s="1331">
        <f t="shared" si="3"/>
        <v>500000</v>
      </c>
    </row>
    <row r="29" spans="1:13">
      <c r="A29" s="1320"/>
      <c r="B29" s="1333" t="str">
        <f t="shared" si="1"/>
        <v>Chi điện, nước</v>
      </c>
      <c r="C29" s="1332" t="s">
        <v>2271</v>
      </c>
      <c r="D29" s="1331">
        <f t="shared" si="2"/>
        <v>1</v>
      </c>
      <c r="E29" s="1331">
        <f t="shared" si="2"/>
        <v>1500000</v>
      </c>
      <c r="F29" s="1331">
        <f t="shared" si="3"/>
        <v>1500000</v>
      </c>
      <c r="M29" s="153">
        <f>F37/M25</f>
        <v>0.85976368159203975</v>
      </c>
    </row>
    <row r="30" spans="1:13">
      <c r="A30" s="1320" t="s">
        <v>615</v>
      </c>
      <c r="B30" s="1333" t="str">
        <f t="shared" si="1"/>
        <v xml:space="preserve">Công lao động </v>
      </c>
      <c r="C30" s="1332" t="s">
        <v>2271</v>
      </c>
      <c r="D30" s="1331">
        <f t="shared" si="2"/>
        <v>3</v>
      </c>
      <c r="E30" s="1331">
        <f t="shared" si="2"/>
        <v>3000000</v>
      </c>
      <c r="F30" s="1331">
        <f t="shared" si="3"/>
        <v>9000000</v>
      </c>
    </row>
    <row r="31" spans="1:13" ht="33">
      <c r="A31" s="1320"/>
      <c r="B31" s="1330" t="str">
        <f t="shared" si="1"/>
        <v>=&gt; Chi phí trực tiếp cho 3 lứa heo:</v>
      </c>
      <c r="C31" s="1329"/>
      <c r="D31" s="1327"/>
      <c r="E31" s="1328"/>
      <c r="F31" s="1327">
        <f>F16</f>
        <v>174000000</v>
      </c>
    </row>
    <row r="32" spans="1:13">
      <c r="A32" s="1315"/>
      <c r="B32" s="2436" t="s">
        <v>1225</v>
      </c>
      <c r="C32" s="2437"/>
      <c r="D32" s="2437"/>
      <c r="E32" s="2438"/>
      <c r="F32" s="1322">
        <f>SUM(F33:F33)</f>
        <v>6600000</v>
      </c>
    </row>
    <row r="33" spans="1:6">
      <c r="A33" s="1325" t="s">
        <v>615</v>
      </c>
      <c r="B33" s="1326" t="s">
        <v>2270</v>
      </c>
      <c r="C33" s="1325" t="s">
        <v>90</v>
      </c>
      <c r="D33" s="1324">
        <v>11</v>
      </c>
      <c r="E33" s="1323">
        <v>60000000</v>
      </c>
      <c r="F33" s="1323">
        <f>E33*D33/100</f>
        <v>6600000</v>
      </c>
    </row>
    <row r="34" spans="1:6">
      <c r="A34" s="1315" t="s">
        <v>485</v>
      </c>
      <c r="B34" s="2433" t="s">
        <v>2269</v>
      </c>
      <c r="C34" s="2433"/>
      <c r="D34" s="2433"/>
      <c r="E34" s="2433"/>
      <c r="F34" s="1322">
        <f>F36</f>
        <v>284287500</v>
      </c>
    </row>
    <row r="35" spans="1:6" s="1316" customFormat="1">
      <c r="A35" s="1321"/>
      <c r="B35" s="2441" t="s">
        <v>2268</v>
      </c>
      <c r="C35" s="2442"/>
      <c r="D35" s="2442"/>
      <c r="E35" s="2442"/>
      <c r="F35" s="2443"/>
    </row>
    <row r="36" spans="1:6" s="1316" customFormat="1" ht="49.5">
      <c r="A36" s="1320" t="s">
        <v>615</v>
      </c>
      <c r="B36" s="1319" t="s">
        <v>2267</v>
      </c>
      <c r="C36" s="1318" t="s">
        <v>829</v>
      </c>
      <c r="D36" s="1317">
        <f>95*D9*3*0.95</f>
        <v>4061.25</v>
      </c>
      <c r="E36" s="1317">
        <v>70000</v>
      </c>
      <c r="F36" s="1317">
        <f>D36*E36</f>
        <v>284287500</v>
      </c>
    </row>
    <row r="37" spans="1:6">
      <c r="A37" s="1315" t="s">
        <v>489</v>
      </c>
      <c r="B37" s="2433" t="s">
        <v>2266</v>
      </c>
      <c r="C37" s="2433"/>
      <c r="D37" s="2433"/>
      <c r="E37" s="2433"/>
      <c r="F37" s="1314">
        <f>F34-F22</f>
        <v>103687500</v>
      </c>
    </row>
    <row r="38" spans="1:6" s="1311" customFormat="1">
      <c r="A38" s="2444" t="s">
        <v>2265</v>
      </c>
      <c r="B38" s="2444"/>
      <c r="C38" s="2444"/>
      <c r="D38" s="2444"/>
    </row>
    <row r="39" spans="1:6">
      <c r="B39" s="1313">
        <v>12</v>
      </c>
    </row>
    <row r="40" spans="1:6">
      <c r="B40" s="304" t="s">
        <v>2264</v>
      </c>
      <c r="E40" s="1312">
        <f>ROUND(E33*12/B39,-6)</f>
        <v>60000000</v>
      </c>
    </row>
    <row r="41" spans="1:6">
      <c r="B41" s="2445">
        <f>E41/F37*100</f>
        <v>57.866184448462931</v>
      </c>
      <c r="C41" s="2445"/>
      <c r="D41" s="2445"/>
      <c r="E41" s="1312">
        <f>E40</f>
        <v>60000000</v>
      </c>
    </row>
    <row r="42" spans="1:6">
      <c r="B42" s="2446" t="s">
        <v>2263</v>
      </c>
      <c r="C42" s="2446"/>
      <c r="D42" s="2446"/>
      <c r="E42" s="2446"/>
      <c r="F42" s="2446"/>
    </row>
    <row r="43" spans="1:6" s="1311" customFormat="1">
      <c r="A43" s="2447" t="s">
        <v>2262</v>
      </c>
      <c r="B43" s="2447"/>
    </row>
    <row r="44" spans="1:6">
      <c r="B44" s="2439">
        <f>B39/12</f>
        <v>1</v>
      </c>
      <c r="C44" s="2439"/>
      <c r="D44" s="2439"/>
      <c r="E44" s="2439"/>
      <c r="F44" s="2439"/>
    </row>
    <row r="45" spans="1:6">
      <c r="B45" s="2440" t="s">
        <v>2261</v>
      </c>
      <c r="C45" s="2440"/>
      <c r="D45" s="2440"/>
      <c r="E45" s="2440"/>
      <c r="F45" s="2440"/>
    </row>
  </sheetData>
  <mergeCells count="14">
    <mergeCell ref="B44:F44"/>
    <mergeCell ref="B45:F45"/>
    <mergeCell ref="B35:F35"/>
    <mergeCell ref="B37:E37"/>
    <mergeCell ref="A38:D38"/>
    <mergeCell ref="B41:D41"/>
    <mergeCell ref="B42:F42"/>
    <mergeCell ref="A43:B43"/>
    <mergeCell ref="B34:E34"/>
    <mergeCell ref="A5:D5"/>
    <mergeCell ref="A19:D19"/>
    <mergeCell ref="B22:E22"/>
    <mergeCell ref="B23:E23"/>
    <mergeCell ref="B32:E32"/>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G28"/>
  <sheetViews>
    <sheetView workbookViewId="0">
      <selection activeCell="B5" sqref="B5"/>
    </sheetView>
  </sheetViews>
  <sheetFormatPr defaultRowHeight="16.5"/>
  <cols>
    <col min="1" max="1" width="32.5703125" style="523" customWidth="1"/>
    <col min="2" max="2" width="12.28515625" style="523" customWidth="1"/>
    <col min="3" max="3" width="12.5703125" style="616" customWidth="1"/>
    <col min="4" max="4" width="15.85546875" style="523" bestFit="1" customWidth="1"/>
    <col min="5" max="5" width="15" style="523" customWidth="1"/>
    <col min="6" max="6" width="10.28515625" style="616" bestFit="1" customWidth="1"/>
    <col min="7" max="256" width="9.140625" style="523"/>
    <col min="257" max="257" width="32.5703125" style="523" customWidth="1"/>
    <col min="258" max="258" width="12.28515625" style="523" customWidth="1"/>
    <col min="259" max="259" width="12.5703125" style="523" customWidth="1"/>
    <col min="260" max="260" width="13.42578125" style="523" customWidth="1"/>
    <col min="261" max="261" width="15" style="523" customWidth="1"/>
    <col min="262" max="262" width="10.28515625" style="523" bestFit="1" customWidth="1"/>
    <col min="263" max="512" width="9.140625" style="523"/>
    <col min="513" max="513" width="32.5703125" style="523" customWidth="1"/>
    <col min="514" max="514" width="12.28515625" style="523" customWidth="1"/>
    <col min="515" max="515" width="12.5703125" style="523" customWidth="1"/>
    <col min="516" max="516" width="13.42578125" style="523" customWidth="1"/>
    <col min="517" max="517" width="15" style="523" customWidth="1"/>
    <col min="518" max="518" width="10.28515625" style="523" bestFit="1" customWidth="1"/>
    <col min="519" max="768" width="9.140625" style="523"/>
    <col min="769" max="769" width="32.5703125" style="523" customWidth="1"/>
    <col min="770" max="770" width="12.28515625" style="523" customWidth="1"/>
    <col min="771" max="771" width="12.5703125" style="523" customWidth="1"/>
    <col min="772" max="772" width="13.42578125" style="523" customWidth="1"/>
    <col min="773" max="773" width="15" style="523" customWidth="1"/>
    <col min="774" max="774" width="10.28515625" style="523" bestFit="1" customWidth="1"/>
    <col min="775" max="1024" width="9.140625" style="523"/>
    <col min="1025" max="1025" width="32.5703125" style="523" customWidth="1"/>
    <col min="1026" max="1026" width="12.28515625" style="523" customWidth="1"/>
    <col min="1027" max="1027" width="12.5703125" style="523" customWidth="1"/>
    <col min="1028" max="1028" width="13.42578125" style="523" customWidth="1"/>
    <col min="1029" max="1029" width="15" style="523" customWidth="1"/>
    <col min="1030" max="1030" width="10.28515625" style="523" bestFit="1" customWidth="1"/>
    <col min="1031" max="1280" width="9.140625" style="523"/>
    <col min="1281" max="1281" width="32.5703125" style="523" customWidth="1"/>
    <col min="1282" max="1282" width="12.28515625" style="523" customWidth="1"/>
    <col min="1283" max="1283" width="12.5703125" style="523" customWidth="1"/>
    <col min="1284" max="1284" width="13.42578125" style="523" customWidth="1"/>
    <col min="1285" max="1285" width="15" style="523" customWidth="1"/>
    <col min="1286" max="1286" width="10.28515625" style="523" bestFit="1" customWidth="1"/>
    <col min="1287" max="1536" width="9.140625" style="523"/>
    <col min="1537" max="1537" width="32.5703125" style="523" customWidth="1"/>
    <col min="1538" max="1538" width="12.28515625" style="523" customWidth="1"/>
    <col min="1539" max="1539" width="12.5703125" style="523" customWidth="1"/>
    <col min="1540" max="1540" width="13.42578125" style="523" customWidth="1"/>
    <col min="1541" max="1541" width="15" style="523" customWidth="1"/>
    <col min="1542" max="1542" width="10.28515625" style="523" bestFit="1" customWidth="1"/>
    <col min="1543" max="1792" width="9.140625" style="523"/>
    <col min="1793" max="1793" width="32.5703125" style="523" customWidth="1"/>
    <col min="1794" max="1794" width="12.28515625" style="523" customWidth="1"/>
    <col min="1795" max="1795" width="12.5703125" style="523" customWidth="1"/>
    <col min="1796" max="1796" width="13.42578125" style="523" customWidth="1"/>
    <col min="1797" max="1797" width="15" style="523" customWidth="1"/>
    <col min="1798" max="1798" width="10.28515625" style="523" bestFit="1" customWidth="1"/>
    <col min="1799" max="2048" width="9.140625" style="523"/>
    <col min="2049" max="2049" width="32.5703125" style="523" customWidth="1"/>
    <col min="2050" max="2050" width="12.28515625" style="523" customWidth="1"/>
    <col min="2051" max="2051" width="12.5703125" style="523" customWidth="1"/>
    <col min="2052" max="2052" width="13.42578125" style="523" customWidth="1"/>
    <col min="2053" max="2053" width="15" style="523" customWidth="1"/>
    <col min="2054" max="2054" width="10.28515625" style="523" bestFit="1" customWidth="1"/>
    <col min="2055" max="2304" width="9.140625" style="523"/>
    <col min="2305" max="2305" width="32.5703125" style="523" customWidth="1"/>
    <col min="2306" max="2306" width="12.28515625" style="523" customWidth="1"/>
    <col min="2307" max="2307" width="12.5703125" style="523" customWidth="1"/>
    <col min="2308" max="2308" width="13.42578125" style="523" customWidth="1"/>
    <col min="2309" max="2309" width="15" style="523" customWidth="1"/>
    <col min="2310" max="2310" width="10.28515625" style="523" bestFit="1" customWidth="1"/>
    <col min="2311" max="2560" width="9.140625" style="523"/>
    <col min="2561" max="2561" width="32.5703125" style="523" customWidth="1"/>
    <col min="2562" max="2562" width="12.28515625" style="523" customWidth="1"/>
    <col min="2563" max="2563" width="12.5703125" style="523" customWidth="1"/>
    <col min="2564" max="2564" width="13.42578125" style="523" customWidth="1"/>
    <col min="2565" max="2565" width="15" style="523" customWidth="1"/>
    <col min="2566" max="2566" width="10.28515625" style="523" bestFit="1" customWidth="1"/>
    <col min="2567" max="2816" width="9.140625" style="523"/>
    <col min="2817" max="2817" width="32.5703125" style="523" customWidth="1"/>
    <col min="2818" max="2818" width="12.28515625" style="523" customWidth="1"/>
    <col min="2819" max="2819" width="12.5703125" style="523" customWidth="1"/>
    <col min="2820" max="2820" width="13.42578125" style="523" customWidth="1"/>
    <col min="2821" max="2821" width="15" style="523" customWidth="1"/>
    <col min="2822" max="2822" width="10.28515625" style="523" bestFit="1" customWidth="1"/>
    <col min="2823" max="3072" width="9.140625" style="523"/>
    <col min="3073" max="3073" width="32.5703125" style="523" customWidth="1"/>
    <col min="3074" max="3074" width="12.28515625" style="523" customWidth="1"/>
    <col min="3075" max="3075" width="12.5703125" style="523" customWidth="1"/>
    <col min="3076" max="3076" width="13.42578125" style="523" customWidth="1"/>
    <col min="3077" max="3077" width="15" style="523" customWidth="1"/>
    <col min="3078" max="3078" width="10.28515625" style="523" bestFit="1" customWidth="1"/>
    <col min="3079" max="3328" width="9.140625" style="523"/>
    <col min="3329" max="3329" width="32.5703125" style="523" customWidth="1"/>
    <col min="3330" max="3330" width="12.28515625" style="523" customWidth="1"/>
    <col min="3331" max="3331" width="12.5703125" style="523" customWidth="1"/>
    <col min="3332" max="3332" width="13.42578125" style="523" customWidth="1"/>
    <col min="3333" max="3333" width="15" style="523" customWidth="1"/>
    <col min="3334" max="3334" width="10.28515625" style="523" bestFit="1" customWidth="1"/>
    <col min="3335" max="3584" width="9.140625" style="523"/>
    <col min="3585" max="3585" width="32.5703125" style="523" customWidth="1"/>
    <col min="3586" max="3586" width="12.28515625" style="523" customWidth="1"/>
    <col min="3587" max="3587" width="12.5703125" style="523" customWidth="1"/>
    <col min="3588" max="3588" width="13.42578125" style="523" customWidth="1"/>
    <col min="3589" max="3589" width="15" style="523" customWidth="1"/>
    <col min="3590" max="3590" width="10.28515625" style="523" bestFit="1" customWidth="1"/>
    <col min="3591" max="3840" width="9.140625" style="523"/>
    <col min="3841" max="3841" width="32.5703125" style="523" customWidth="1"/>
    <col min="3842" max="3842" width="12.28515625" style="523" customWidth="1"/>
    <col min="3843" max="3843" width="12.5703125" style="523" customWidth="1"/>
    <col min="3844" max="3844" width="13.42578125" style="523" customWidth="1"/>
    <col min="3845" max="3845" width="15" style="523" customWidth="1"/>
    <col min="3846" max="3846" width="10.28515625" style="523" bestFit="1" customWidth="1"/>
    <col min="3847" max="4096" width="9.140625" style="523"/>
    <col min="4097" max="4097" width="32.5703125" style="523" customWidth="1"/>
    <col min="4098" max="4098" width="12.28515625" style="523" customWidth="1"/>
    <col min="4099" max="4099" width="12.5703125" style="523" customWidth="1"/>
    <col min="4100" max="4100" width="13.42578125" style="523" customWidth="1"/>
    <col min="4101" max="4101" width="15" style="523" customWidth="1"/>
    <col min="4102" max="4102" width="10.28515625" style="523" bestFit="1" customWidth="1"/>
    <col min="4103" max="4352" width="9.140625" style="523"/>
    <col min="4353" max="4353" width="32.5703125" style="523" customWidth="1"/>
    <col min="4354" max="4354" width="12.28515625" style="523" customWidth="1"/>
    <col min="4355" max="4355" width="12.5703125" style="523" customWidth="1"/>
    <col min="4356" max="4356" width="13.42578125" style="523" customWidth="1"/>
    <col min="4357" max="4357" width="15" style="523" customWidth="1"/>
    <col min="4358" max="4358" width="10.28515625" style="523" bestFit="1" customWidth="1"/>
    <col min="4359" max="4608" width="9.140625" style="523"/>
    <col min="4609" max="4609" width="32.5703125" style="523" customWidth="1"/>
    <col min="4610" max="4610" width="12.28515625" style="523" customWidth="1"/>
    <col min="4611" max="4611" width="12.5703125" style="523" customWidth="1"/>
    <col min="4612" max="4612" width="13.42578125" style="523" customWidth="1"/>
    <col min="4613" max="4613" width="15" style="523" customWidth="1"/>
    <col min="4614" max="4614" width="10.28515625" style="523" bestFit="1" customWidth="1"/>
    <col min="4615" max="4864" width="9.140625" style="523"/>
    <col min="4865" max="4865" width="32.5703125" style="523" customWidth="1"/>
    <col min="4866" max="4866" width="12.28515625" style="523" customWidth="1"/>
    <col min="4867" max="4867" width="12.5703125" style="523" customWidth="1"/>
    <col min="4868" max="4868" width="13.42578125" style="523" customWidth="1"/>
    <col min="4869" max="4869" width="15" style="523" customWidth="1"/>
    <col min="4870" max="4870" width="10.28515625" style="523" bestFit="1" customWidth="1"/>
    <col min="4871" max="5120" width="9.140625" style="523"/>
    <col min="5121" max="5121" width="32.5703125" style="523" customWidth="1"/>
    <col min="5122" max="5122" width="12.28515625" style="523" customWidth="1"/>
    <col min="5123" max="5123" width="12.5703125" style="523" customWidth="1"/>
    <col min="5124" max="5124" width="13.42578125" style="523" customWidth="1"/>
    <col min="5125" max="5125" width="15" style="523" customWidth="1"/>
    <col min="5126" max="5126" width="10.28515625" style="523" bestFit="1" customWidth="1"/>
    <col min="5127" max="5376" width="9.140625" style="523"/>
    <col min="5377" max="5377" width="32.5703125" style="523" customWidth="1"/>
    <col min="5378" max="5378" width="12.28515625" style="523" customWidth="1"/>
    <col min="5379" max="5379" width="12.5703125" style="523" customWidth="1"/>
    <col min="5380" max="5380" width="13.42578125" style="523" customWidth="1"/>
    <col min="5381" max="5381" width="15" style="523" customWidth="1"/>
    <col min="5382" max="5382" width="10.28515625" style="523" bestFit="1" customWidth="1"/>
    <col min="5383" max="5632" width="9.140625" style="523"/>
    <col min="5633" max="5633" width="32.5703125" style="523" customWidth="1"/>
    <col min="5634" max="5634" width="12.28515625" style="523" customWidth="1"/>
    <col min="5635" max="5635" width="12.5703125" style="523" customWidth="1"/>
    <col min="5636" max="5636" width="13.42578125" style="523" customWidth="1"/>
    <col min="5637" max="5637" width="15" style="523" customWidth="1"/>
    <col min="5638" max="5638" width="10.28515625" style="523" bestFit="1" customWidth="1"/>
    <col min="5639" max="5888" width="9.140625" style="523"/>
    <col min="5889" max="5889" width="32.5703125" style="523" customWidth="1"/>
    <col min="5890" max="5890" width="12.28515625" style="523" customWidth="1"/>
    <col min="5891" max="5891" width="12.5703125" style="523" customWidth="1"/>
    <col min="5892" max="5892" width="13.42578125" style="523" customWidth="1"/>
    <col min="5893" max="5893" width="15" style="523" customWidth="1"/>
    <col min="5894" max="5894" width="10.28515625" style="523" bestFit="1" customWidth="1"/>
    <col min="5895" max="6144" width="9.140625" style="523"/>
    <col min="6145" max="6145" width="32.5703125" style="523" customWidth="1"/>
    <col min="6146" max="6146" width="12.28515625" style="523" customWidth="1"/>
    <col min="6147" max="6147" width="12.5703125" style="523" customWidth="1"/>
    <col min="6148" max="6148" width="13.42578125" style="523" customWidth="1"/>
    <col min="6149" max="6149" width="15" style="523" customWidth="1"/>
    <col min="6150" max="6150" width="10.28515625" style="523" bestFit="1" customWidth="1"/>
    <col min="6151" max="6400" width="9.140625" style="523"/>
    <col min="6401" max="6401" width="32.5703125" style="523" customWidth="1"/>
    <col min="6402" max="6402" width="12.28515625" style="523" customWidth="1"/>
    <col min="6403" max="6403" width="12.5703125" style="523" customWidth="1"/>
    <col min="6404" max="6404" width="13.42578125" style="523" customWidth="1"/>
    <col min="6405" max="6405" width="15" style="523" customWidth="1"/>
    <col min="6406" max="6406" width="10.28515625" style="523" bestFit="1" customWidth="1"/>
    <col min="6407" max="6656" width="9.140625" style="523"/>
    <col min="6657" max="6657" width="32.5703125" style="523" customWidth="1"/>
    <col min="6658" max="6658" width="12.28515625" style="523" customWidth="1"/>
    <col min="6659" max="6659" width="12.5703125" style="523" customWidth="1"/>
    <col min="6660" max="6660" width="13.42578125" style="523" customWidth="1"/>
    <col min="6661" max="6661" width="15" style="523" customWidth="1"/>
    <col min="6662" max="6662" width="10.28515625" style="523" bestFit="1" customWidth="1"/>
    <col min="6663" max="6912" width="9.140625" style="523"/>
    <col min="6913" max="6913" width="32.5703125" style="523" customWidth="1"/>
    <col min="6914" max="6914" width="12.28515625" style="523" customWidth="1"/>
    <col min="6915" max="6915" width="12.5703125" style="523" customWidth="1"/>
    <col min="6916" max="6916" width="13.42578125" style="523" customWidth="1"/>
    <col min="6917" max="6917" width="15" style="523" customWidth="1"/>
    <col min="6918" max="6918" width="10.28515625" style="523" bestFit="1" customWidth="1"/>
    <col min="6919" max="7168" width="9.140625" style="523"/>
    <col min="7169" max="7169" width="32.5703125" style="523" customWidth="1"/>
    <col min="7170" max="7170" width="12.28515625" style="523" customWidth="1"/>
    <col min="7171" max="7171" width="12.5703125" style="523" customWidth="1"/>
    <col min="7172" max="7172" width="13.42578125" style="523" customWidth="1"/>
    <col min="7173" max="7173" width="15" style="523" customWidth="1"/>
    <col min="7174" max="7174" width="10.28515625" style="523" bestFit="1" customWidth="1"/>
    <col min="7175" max="7424" width="9.140625" style="523"/>
    <col min="7425" max="7425" width="32.5703125" style="523" customWidth="1"/>
    <col min="7426" max="7426" width="12.28515625" style="523" customWidth="1"/>
    <col min="7427" max="7427" width="12.5703125" style="523" customWidth="1"/>
    <col min="7428" max="7428" width="13.42578125" style="523" customWidth="1"/>
    <col min="7429" max="7429" width="15" style="523" customWidth="1"/>
    <col min="7430" max="7430" width="10.28515625" style="523" bestFit="1" customWidth="1"/>
    <col min="7431" max="7680" width="9.140625" style="523"/>
    <col min="7681" max="7681" width="32.5703125" style="523" customWidth="1"/>
    <col min="7682" max="7682" width="12.28515625" style="523" customWidth="1"/>
    <col min="7683" max="7683" width="12.5703125" style="523" customWidth="1"/>
    <col min="7684" max="7684" width="13.42578125" style="523" customWidth="1"/>
    <col min="7685" max="7685" width="15" style="523" customWidth="1"/>
    <col min="7686" max="7686" width="10.28515625" style="523" bestFit="1" customWidth="1"/>
    <col min="7687" max="7936" width="9.140625" style="523"/>
    <col min="7937" max="7937" width="32.5703125" style="523" customWidth="1"/>
    <col min="7938" max="7938" width="12.28515625" style="523" customWidth="1"/>
    <col min="7939" max="7939" width="12.5703125" style="523" customWidth="1"/>
    <col min="7940" max="7940" width="13.42578125" style="523" customWidth="1"/>
    <col min="7941" max="7941" width="15" style="523" customWidth="1"/>
    <col min="7942" max="7942" width="10.28515625" style="523" bestFit="1" customWidth="1"/>
    <col min="7943" max="8192" width="9.140625" style="523"/>
    <col min="8193" max="8193" width="32.5703125" style="523" customWidth="1"/>
    <col min="8194" max="8194" width="12.28515625" style="523" customWidth="1"/>
    <col min="8195" max="8195" width="12.5703125" style="523" customWidth="1"/>
    <col min="8196" max="8196" width="13.42578125" style="523" customWidth="1"/>
    <col min="8197" max="8197" width="15" style="523" customWidth="1"/>
    <col min="8198" max="8198" width="10.28515625" style="523" bestFit="1" customWidth="1"/>
    <col min="8199" max="8448" width="9.140625" style="523"/>
    <col min="8449" max="8449" width="32.5703125" style="523" customWidth="1"/>
    <col min="8450" max="8450" width="12.28515625" style="523" customWidth="1"/>
    <col min="8451" max="8451" width="12.5703125" style="523" customWidth="1"/>
    <col min="8452" max="8452" width="13.42578125" style="523" customWidth="1"/>
    <col min="8453" max="8453" width="15" style="523" customWidth="1"/>
    <col min="8454" max="8454" width="10.28515625" style="523" bestFit="1" customWidth="1"/>
    <col min="8455" max="8704" width="9.140625" style="523"/>
    <col min="8705" max="8705" width="32.5703125" style="523" customWidth="1"/>
    <col min="8706" max="8706" width="12.28515625" style="523" customWidth="1"/>
    <col min="8707" max="8707" width="12.5703125" style="523" customWidth="1"/>
    <col min="8708" max="8708" width="13.42578125" style="523" customWidth="1"/>
    <col min="8709" max="8709" width="15" style="523" customWidth="1"/>
    <col min="8710" max="8710" width="10.28515625" style="523" bestFit="1" customWidth="1"/>
    <col min="8711" max="8960" width="9.140625" style="523"/>
    <col min="8961" max="8961" width="32.5703125" style="523" customWidth="1"/>
    <col min="8962" max="8962" width="12.28515625" style="523" customWidth="1"/>
    <col min="8963" max="8963" width="12.5703125" style="523" customWidth="1"/>
    <col min="8964" max="8964" width="13.42578125" style="523" customWidth="1"/>
    <col min="8965" max="8965" width="15" style="523" customWidth="1"/>
    <col min="8966" max="8966" width="10.28515625" style="523" bestFit="1" customWidth="1"/>
    <col min="8967" max="9216" width="9.140625" style="523"/>
    <col min="9217" max="9217" width="32.5703125" style="523" customWidth="1"/>
    <col min="9218" max="9218" width="12.28515625" style="523" customWidth="1"/>
    <col min="9219" max="9219" width="12.5703125" style="523" customWidth="1"/>
    <col min="9220" max="9220" width="13.42578125" style="523" customWidth="1"/>
    <col min="9221" max="9221" width="15" style="523" customWidth="1"/>
    <col min="9222" max="9222" width="10.28515625" style="523" bestFit="1" customWidth="1"/>
    <col min="9223" max="9472" width="9.140625" style="523"/>
    <col min="9473" max="9473" width="32.5703125" style="523" customWidth="1"/>
    <col min="9474" max="9474" width="12.28515625" style="523" customWidth="1"/>
    <col min="9475" max="9475" width="12.5703125" style="523" customWidth="1"/>
    <col min="9476" max="9476" width="13.42578125" style="523" customWidth="1"/>
    <col min="9477" max="9477" width="15" style="523" customWidth="1"/>
    <col min="9478" max="9478" width="10.28515625" style="523" bestFit="1" customWidth="1"/>
    <col min="9479" max="9728" width="9.140625" style="523"/>
    <col min="9729" max="9729" width="32.5703125" style="523" customWidth="1"/>
    <col min="9730" max="9730" width="12.28515625" style="523" customWidth="1"/>
    <col min="9731" max="9731" width="12.5703125" style="523" customWidth="1"/>
    <col min="9732" max="9732" width="13.42578125" style="523" customWidth="1"/>
    <col min="9733" max="9733" width="15" style="523" customWidth="1"/>
    <col min="9734" max="9734" width="10.28515625" style="523" bestFit="1" customWidth="1"/>
    <col min="9735" max="9984" width="9.140625" style="523"/>
    <col min="9985" max="9985" width="32.5703125" style="523" customWidth="1"/>
    <col min="9986" max="9986" width="12.28515625" style="523" customWidth="1"/>
    <col min="9987" max="9987" width="12.5703125" style="523" customWidth="1"/>
    <col min="9988" max="9988" width="13.42578125" style="523" customWidth="1"/>
    <col min="9989" max="9989" width="15" style="523" customWidth="1"/>
    <col min="9990" max="9990" width="10.28515625" style="523" bestFit="1" customWidth="1"/>
    <col min="9991" max="10240" width="9.140625" style="523"/>
    <col min="10241" max="10241" width="32.5703125" style="523" customWidth="1"/>
    <col min="10242" max="10242" width="12.28515625" style="523" customWidth="1"/>
    <col min="10243" max="10243" width="12.5703125" style="523" customWidth="1"/>
    <col min="10244" max="10244" width="13.42578125" style="523" customWidth="1"/>
    <col min="10245" max="10245" width="15" style="523" customWidth="1"/>
    <col min="10246" max="10246" width="10.28515625" style="523" bestFit="1" customWidth="1"/>
    <col min="10247" max="10496" width="9.140625" style="523"/>
    <col min="10497" max="10497" width="32.5703125" style="523" customWidth="1"/>
    <col min="10498" max="10498" width="12.28515625" style="523" customWidth="1"/>
    <col min="10499" max="10499" width="12.5703125" style="523" customWidth="1"/>
    <col min="10500" max="10500" width="13.42578125" style="523" customWidth="1"/>
    <col min="10501" max="10501" width="15" style="523" customWidth="1"/>
    <col min="10502" max="10502" width="10.28515625" style="523" bestFit="1" customWidth="1"/>
    <col min="10503" max="10752" width="9.140625" style="523"/>
    <col min="10753" max="10753" width="32.5703125" style="523" customWidth="1"/>
    <col min="10754" max="10754" width="12.28515625" style="523" customWidth="1"/>
    <col min="10755" max="10755" width="12.5703125" style="523" customWidth="1"/>
    <col min="10756" max="10756" width="13.42578125" style="523" customWidth="1"/>
    <col min="10757" max="10757" width="15" style="523" customWidth="1"/>
    <col min="10758" max="10758" width="10.28515625" style="523" bestFit="1" customWidth="1"/>
    <col min="10759" max="11008" width="9.140625" style="523"/>
    <col min="11009" max="11009" width="32.5703125" style="523" customWidth="1"/>
    <col min="11010" max="11010" width="12.28515625" style="523" customWidth="1"/>
    <col min="11011" max="11011" width="12.5703125" style="523" customWidth="1"/>
    <col min="11012" max="11012" width="13.42578125" style="523" customWidth="1"/>
    <col min="11013" max="11013" width="15" style="523" customWidth="1"/>
    <col min="11014" max="11014" width="10.28515625" style="523" bestFit="1" customWidth="1"/>
    <col min="11015" max="11264" width="9.140625" style="523"/>
    <col min="11265" max="11265" width="32.5703125" style="523" customWidth="1"/>
    <col min="11266" max="11266" width="12.28515625" style="523" customWidth="1"/>
    <col min="11267" max="11267" width="12.5703125" style="523" customWidth="1"/>
    <col min="11268" max="11268" width="13.42578125" style="523" customWidth="1"/>
    <col min="11269" max="11269" width="15" style="523" customWidth="1"/>
    <col min="11270" max="11270" width="10.28515625" style="523" bestFit="1" customWidth="1"/>
    <col min="11271" max="11520" width="9.140625" style="523"/>
    <col min="11521" max="11521" width="32.5703125" style="523" customWidth="1"/>
    <col min="11522" max="11522" width="12.28515625" style="523" customWidth="1"/>
    <col min="11523" max="11523" width="12.5703125" style="523" customWidth="1"/>
    <col min="11524" max="11524" width="13.42578125" style="523" customWidth="1"/>
    <col min="11525" max="11525" width="15" style="523" customWidth="1"/>
    <col min="11526" max="11526" width="10.28515625" style="523" bestFit="1" customWidth="1"/>
    <col min="11527" max="11776" width="9.140625" style="523"/>
    <col min="11777" max="11777" width="32.5703125" style="523" customWidth="1"/>
    <col min="11778" max="11778" width="12.28515625" style="523" customWidth="1"/>
    <col min="11779" max="11779" width="12.5703125" style="523" customWidth="1"/>
    <col min="11780" max="11780" width="13.42578125" style="523" customWidth="1"/>
    <col min="11781" max="11781" width="15" style="523" customWidth="1"/>
    <col min="11782" max="11782" width="10.28515625" style="523" bestFit="1" customWidth="1"/>
    <col min="11783" max="12032" width="9.140625" style="523"/>
    <col min="12033" max="12033" width="32.5703125" style="523" customWidth="1"/>
    <col min="12034" max="12034" width="12.28515625" style="523" customWidth="1"/>
    <col min="12035" max="12035" width="12.5703125" style="523" customWidth="1"/>
    <col min="12036" max="12036" width="13.42578125" style="523" customWidth="1"/>
    <col min="12037" max="12037" width="15" style="523" customWidth="1"/>
    <col min="12038" max="12038" width="10.28515625" style="523" bestFit="1" customWidth="1"/>
    <col min="12039" max="12288" width="9.140625" style="523"/>
    <col min="12289" max="12289" width="32.5703125" style="523" customWidth="1"/>
    <col min="12290" max="12290" width="12.28515625" style="523" customWidth="1"/>
    <col min="12291" max="12291" width="12.5703125" style="523" customWidth="1"/>
    <col min="12292" max="12292" width="13.42578125" style="523" customWidth="1"/>
    <col min="12293" max="12293" width="15" style="523" customWidth="1"/>
    <col min="12294" max="12294" width="10.28515625" style="523" bestFit="1" customWidth="1"/>
    <col min="12295" max="12544" width="9.140625" style="523"/>
    <col min="12545" max="12545" width="32.5703125" style="523" customWidth="1"/>
    <col min="12546" max="12546" width="12.28515625" style="523" customWidth="1"/>
    <col min="12547" max="12547" width="12.5703125" style="523" customWidth="1"/>
    <col min="12548" max="12548" width="13.42578125" style="523" customWidth="1"/>
    <col min="12549" max="12549" width="15" style="523" customWidth="1"/>
    <col min="12550" max="12550" width="10.28515625" style="523" bestFit="1" customWidth="1"/>
    <col min="12551" max="12800" width="9.140625" style="523"/>
    <col min="12801" max="12801" width="32.5703125" style="523" customWidth="1"/>
    <col min="12802" max="12802" width="12.28515625" style="523" customWidth="1"/>
    <col min="12803" max="12803" width="12.5703125" style="523" customWidth="1"/>
    <col min="12804" max="12804" width="13.42578125" style="523" customWidth="1"/>
    <col min="12805" max="12805" width="15" style="523" customWidth="1"/>
    <col min="12806" max="12806" width="10.28515625" style="523" bestFit="1" customWidth="1"/>
    <col min="12807" max="13056" width="9.140625" style="523"/>
    <col min="13057" max="13057" width="32.5703125" style="523" customWidth="1"/>
    <col min="13058" max="13058" width="12.28515625" style="523" customWidth="1"/>
    <col min="13059" max="13059" width="12.5703125" style="523" customWidth="1"/>
    <col min="13060" max="13060" width="13.42578125" style="523" customWidth="1"/>
    <col min="13061" max="13061" width="15" style="523" customWidth="1"/>
    <col min="13062" max="13062" width="10.28515625" style="523" bestFit="1" customWidth="1"/>
    <col min="13063" max="13312" width="9.140625" style="523"/>
    <col min="13313" max="13313" width="32.5703125" style="523" customWidth="1"/>
    <col min="13314" max="13314" width="12.28515625" style="523" customWidth="1"/>
    <col min="13315" max="13315" width="12.5703125" style="523" customWidth="1"/>
    <col min="13316" max="13316" width="13.42578125" style="523" customWidth="1"/>
    <col min="13317" max="13317" width="15" style="523" customWidth="1"/>
    <col min="13318" max="13318" width="10.28515625" style="523" bestFit="1" customWidth="1"/>
    <col min="13319" max="13568" width="9.140625" style="523"/>
    <col min="13569" max="13569" width="32.5703125" style="523" customWidth="1"/>
    <col min="13570" max="13570" width="12.28515625" style="523" customWidth="1"/>
    <col min="13571" max="13571" width="12.5703125" style="523" customWidth="1"/>
    <col min="13572" max="13572" width="13.42578125" style="523" customWidth="1"/>
    <col min="13573" max="13573" width="15" style="523" customWidth="1"/>
    <col min="13574" max="13574" width="10.28515625" style="523" bestFit="1" customWidth="1"/>
    <col min="13575" max="13824" width="9.140625" style="523"/>
    <col min="13825" max="13825" width="32.5703125" style="523" customWidth="1"/>
    <col min="13826" max="13826" width="12.28515625" style="523" customWidth="1"/>
    <col min="13827" max="13827" width="12.5703125" style="523" customWidth="1"/>
    <col min="13828" max="13828" width="13.42578125" style="523" customWidth="1"/>
    <col min="13829" max="13829" width="15" style="523" customWidth="1"/>
    <col min="13830" max="13830" width="10.28515625" style="523" bestFit="1" customWidth="1"/>
    <col min="13831" max="14080" width="9.140625" style="523"/>
    <col min="14081" max="14081" width="32.5703125" style="523" customWidth="1"/>
    <col min="14082" max="14082" width="12.28515625" style="523" customWidth="1"/>
    <col min="14083" max="14083" width="12.5703125" style="523" customWidth="1"/>
    <col min="14084" max="14084" width="13.42578125" style="523" customWidth="1"/>
    <col min="14085" max="14085" width="15" style="523" customWidth="1"/>
    <col min="14086" max="14086" width="10.28515625" style="523" bestFit="1" customWidth="1"/>
    <col min="14087" max="14336" width="9.140625" style="523"/>
    <col min="14337" max="14337" width="32.5703125" style="523" customWidth="1"/>
    <col min="14338" max="14338" width="12.28515625" style="523" customWidth="1"/>
    <col min="14339" max="14339" width="12.5703125" style="523" customWidth="1"/>
    <col min="14340" max="14340" width="13.42578125" style="523" customWidth="1"/>
    <col min="14341" max="14341" width="15" style="523" customWidth="1"/>
    <col min="14342" max="14342" width="10.28515625" style="523" bestFit="1" customWidth="1"/>
    <col min="14343" max="14592" width="9.140625" style="523"/>
    <col min="14593" max="14593" width="32.5703125" style="523" customWidth="1"/>
    <col min="14594" max="14594" width="12.28515625" style="523" customWidth="1"/>
    <col min="14595" max="14595" width="12.5703125" style="523" customWidth="1"/>
    <col min="14596" max="14596" width="13.42578125" style="523" customWidth="1"/>
    <col min="14597" max="14597" width="15" style="523" customWidth="1"/>
    <col min="14598" max="14598" width="10.28515625" style="523" bestFit="1" customWidth="1"/>
    <col min="14599" max="14848" width="9.140625" style="523"/>
    <col min="14849" max="14849" width="32.5703125" style="523" customWidth="1"/>
    <col min="14850" max="14850" width="12.28515625" style="523" customWidth="1"/>
    <col min="14851" max="14851" width="12.5703125" style="523" customWidth="1"/>
    <col min="14852" max="14852" width="13.42578125" style="523" customWidth="1"/>
    <col min="14853" max="14853" width="15" style="523" customWidth="1"/>
    <col min="14854" max="14854" width="10.28515625" style="523" bestFit="1" customWidth="1"/>
    <col min="14855" max="15104" width="9.140625" style="523"/>
    <col min="15105" max="15105" width="32.5703125" style="523" customWidth="1"/>
    <col min="15106" max="15106" width="12.28515625" style="523" customWidth="1"/>
    <col min="15107" max="15107" width="12.5703125" style="523" customWidth="1"/>
    <col min="15108" max="15108" width="13.42578125" style="523" customWidth="1"/>
    <col min="15109" max="15109" width="15" style="523" customWidth="1"/>
    <col min="15110" max="15110" width="10.28515625" style="523" bestFit="1" customWidth="1"/>
    <col min="15111" max="15360" width="9.140625" style="523"/>
    <col min="15361" max="15361" width="32.5703125" style="523" customWidth="1"/>
    <col min="15362" max="15362" width="12.28515625" style="523" customWidth="1"/>
    <col min="15363" max="15363" width="12.5703125" style="523" customWidth="1"/>
    <col min="15364" max="15364" width="13.42578125" style="523" customWidth="1"/>
    <col min="15365" max="15365" width="15" style="523" customWidth="1"/>
    <col min="15366" max="15366" width="10.28515625" style="523" bestFit="1" customWidth="1"/>
    <col min="15367" max="15616" width="9.140625" style="523"/>
    <col min="15617" max="15617" width="32.5703125" style="523" customWidth="1"/>
    <col min="15618" max="15618" width="12.28515625" style="523" customWidth="1"/>
    <col min="15619" max="15619" width="12.5703125" style="523" customWidth="1"/>
    <col min="15620" max="15620" width="13.42578125" style="523" customWidth="1"/>
    <col min="15621" max="15621" width="15" style="523" customWidth="1"/>
    <col min="15622" max="15622" width="10.28515625" style="523" bestFit="1" customWidth="1"/>
    <col min="15623" max="15872" width="9.140625" style="523"/>
    <col min="15873" max="15873" width="32.5703125" style="523" customWidth="1"/>
    <col min="15874" max="15874" width="12.28515625" style="523" customWidth="1"/>
    <col min="15875" max="15875" width="12.5703125" style="523" customWidth="1"/>
    <col min="15876" max="15876" width="13.42578125" style="523" customWidth="1"/>
    <col min="15877" max="15877" width="15" style="523" customWidth="1"/>
    <col min="15878" max="15878" width="10.28515625" style="523" bestFit="1" customWidth="1"/>
    <col min="15879" max="16128" width="9.140625" style="523"/>
    <col min="16129" max="16129" width="32.5703125" style="523" customWidth="1"/>
    <col min="16130" max="16130" width="12.28515625" style="523" customWidth="1"/>
    <col min="16131" max="16131" width="12.5703125" style="523" customWidth="1"/>
    <col min="16132" max="16132" width="13.42578125" style="523" customWidth="1"/>
    <col min="16133" max="16133" width="15" style="523" customWidth="1"/>
    <col min="16134" max="16134" width="10.28515625" style="523" bestFit="1" customWidth="1"/>
    <col min="16135" max="16384" width="9.140625" style="523"/>
  </cols>
  <sheetData>
    <row r="1" spans="1:7">
      <c r="C1" s="616" t="s">
        <v>1480</v>
      </c>
      <c r="G1" s="1383" t="s">
        <v>1020</v>
      </c>
    </row>
    <row r="5" spans="1:7" ht="18" customHeight="1"/>
    <row r="6" spans="1:7">
      <c r="A6" s="2409" t="s">
        <v>1479</v>
      </c>
      <c r="B6" s="2409"/>
      <c r="C6" s="2409"/>
      <c r="D6" s="2409"/>
      <c r="E6" s="2409"/>
    </row>
    <row r="7" spans="1:7">
      <c r="A7" s="2409" t="s">
        <v>1468</v>
      </c>
      <c r="B7" s="2409"/>
      <c r="C7" s="2409"/>
      <c r="D7" s="2409"/>
      <c r="E7" s="2409"/>
      <c r="F7" s="633"/>
      <c r="G7" s="632"/>
    </row>
    <row r="8" spans="1:7" ht="17.25" thickBot="1">
      <c r="C8" s="621"/>
      <c r="E8" s="615" t="s">
        <v>1263</v>
      </c>
    </row>
    <row r="9" spans="1:7" ht="20.25" customHeight="1" thickTop="1">
      <c r="A9" s="614" t="s">
        <v>1294</v>
      </c>
      <c r="B9" s="612" t="s">
        <v>235</v>
      </c>
      <c r="C9" s="631" t="s">
        <v>3</v>
      </c>
      <c r="D9" s="613" t="s">
        <v>1</v>
      </c>
      <c r="E9" s="611" t="s">
        <v>4</v>
      </c>
    </row>
    <row r="10" spans="1:7" s="588" customFormat="1" ht="20.25" customHeight="1">
      <c r="A10" s="609" t="s">
        <v>1351</v>
      </c>
      <c r="B10" s="607"/>
      <c r="C10" s="630"/>
      <c r="D10" s="608"/>
      <c r="E10" s="606">
        <f>SUM(E16:E18)</f>
        <v>153740000</v>
      </c>
      <c r="F10" s="625"/>
    </row>
    <row r="11" spans="1:7" ht="20.25" customHeight="1">
      <c r="A11" s="599" t="s">
        <v>1466</v>
      </c>
      <c r="B11" s="598" t="s">
        <v>8</v>
      </c>
      <c r="C11" s="596">
        <v>1800000</v>
      </c>
      <c r="D11" s="597">
        <v>40</v>
      </c>
      <c r="E11" s="595">
        <f>D11*C11</f>
        <v>72000000</v>
      </c>
      <c r="F11" s="616">
        <v>100</v>
      </c>
    </row>
    <row r="12" spans="1:7" ht="20.25" customHeight="1">
      <c r="A12" s="599" t="s">
        <v>1478</v>
      </c>
      <c r="B12" s="598" t="s">
        <v>11</v>
      </c>
      <c r="C12" s="627">
        <v>9000</v>
      </c>
      <c r="D12" s="597">
        <f>F12*$D$11/$F$11</f>
        <v>8000</v>
      </c>
      <c r="E12" s="595">
        <f>D12*C12</f>
        <v>72000000</v>
      </c>
      <c r="F12" s="616">
        <v>20000</v>
      </c>
    </row>
    <row r="13" spans="1:7" ht="20.25" customHeight="1">
      <c r="A13" s="599" t="s">
        <v>1477</v>
      </c>
      <c r="B13" s="598"/>
      <c r="C13" s="627">
        <v>20000</v>
      </c>
      <c r="D13" s="597">
        <f>F13*$D$11/F11</f>
        <v>40</v>
      </c>
      <c r="E13" s="595">
        <f>C13*D13</f>
        <v>800000</v>
      </c>
      <c r="F13" s="616">
        <v>100</v>
      </c>
    </row>
    <row r="14" spans="1:7" ht="20.25" customHeight="1">
      <c r="A14" s="599" t="s">
        <v>1476</v>
      </c>
      <c r="B14" s="598" t="s">
        <v>511</v>
      </c>
      <c r="C14" s="627">
        <v>150000</v>
      </c>
      <c r="D14" s="597">
        <f>F14*$D$11/F11</f>
        <v>9.6</v>
      </c>
      <c r="E14" s="595">
        <f>D14*C14</f>
        <v>1440000</v>
      </c>
      <c r="F14" s="616">
        <v>24</v>
      </c>
    </row>
    <row r="15" spans="1:7" ht="20.25" customHeight="1">
      <c r="A15" s="599" t="s">
        <v>1475</v>
      </c>
      <c r="B15" s="598" t="s">
        <v>1270</v>
      </c>
      <c r="C15" s="627"/>
      <c r="D15" s="597">
        <f>F14*F15/D14</f>
        <v>0</v>
      </c>
      <c r="E15" s="595">
        <v>2000000</v>
      </c>
    </row>
    <row r="16" spans="1:7" s="588" customFormat="1" ht="20.25" customHeight="1">
      <c r="A16" s="603" t="s">
        <v>1344</v>
      </c>
      <c r="B16" s="602"/>
      <c r="C16" s="628"/>
      <c r="D16" s="597"/>
      <c r="E16" s="600">
        <f>SUM(E11:E15)</f>
        <v>148240000</v>
      </c>
      <c r="F16" s="625"/>
    </row>
    <row r="17" spans="1:6" ht="20.25" customHeight="1">
      <c r="A17" s="599" t="s">
        <v>1474</v>
      </c>
      <c r="B17" s="598" t="s">
        <v>1270</v>
      </c>
      <c r="C17" s="627"/>
      <c r="D17" s="597"/>
      <c r="E17" s="595">
        <v>2000000</v>
      </c>
    </row>
    <row r="18" spans="1:6" ht="20.25" customHeight="1">
      <c r="A18" s="599" t="s">
        <v>1460</v>
      </c>
      <c r="B18" s="598" t="s">
        <v>1270</v>
      </c>
      <c r="C18" s="627"/>
      <c r="D18" s="597"/>
      <c r="E18" s="595">
        <f>D25*F18/2</f>
        <v>3500000.0000000005</v>
      </c>
      <c r="F18" s="629">
        <v>7.0000000000000007E-2</v>
      </c>
    </row>
    <row r="19" spans="1:6" s="588" customFormat="1" ht="20.25" customHeight="1">
      <c r="A19" s="603" t="s">
        <v>1341</v>
      </c>
      <c r="B19" s="602"/>
      <c r="C19" s="628"/>
      <c r="D19" s="597"/>
      <c r="E19" s="600">
        <f>E20+E21</f>
        <v>187200000</v>
      </c>
      <c r="F19" s="625"/>
    </row>
    <row r="20" spans="1:6" ht="20.25" customHeight="1">
      <c r="A20" s="599" t="s">
        <v>1459</v>
      </c>
      <c r="B20" s="598" t="s">
        <v>228</v>
      </c>
      <c r="C20" s="627">
        <v>200000</v>
      </c>
      <c r="D20" s="597">
        <f>F20*$D$11/$F$11</f>
        <v>16</v>
      </c>
      <c r="E20" s="595">
        <f>D20*C20</f>
        <v>3200000</v>
      </c>
      <c r="F20" s="616">
        <v>40</v>
      </c>
    </row>
    <row r="21" spans="1:6" ht="20.25" customHeight="1">
      <c r="A21" s="599" t="s">
        <v>1473</v>
      </c>
      <c r="B21" s="598" t="s">
        <v>11</v>
      </c>
      <c r="C21" s="627">
        <v>46000</v>
      </c>
      <c r="D21" s="597">
        <f>F21*$D$11/F11</f>
        <v>4000</v>
      </c>
      <c r="E21" s="595">
        <f>D21*C21</f>
        <v>184000000</v>
      </c>
      <c r="F21" s="616">
        <v>10000</v>
      </c>
    </row>
    <row r="22" spans="1:6" s="588" customFormat="1" ht="20.25" customHeight="1">
      <c r="A22" s="594" t="s">
        <v>1337</v>
      </c>
      <c r="B22" s="593"/>
      <c r="C22" s="626"/>
      <c r="D22" s="592"/>
      <c r="E22" s="590">
        <f>E19-E10</f>
        <v>33460000</v>
      </c>
      <c r="F22" s="625"/>
    </row>
    <row r="23" spans="1:6" ht="20.25" customHeight="1" thickBot="1">
      <c r="A23" s="587" t="s">
        <v>1269</v>
      </c>
      <c r="B23" s="586" t="s">
        <v>90</v>
      </c>
      <c r="C23" s="624"/>
      <c r="D23" s="623"/>
      <c r="E23" s="622">
        <f>E22/E19</f>
        <v>0.17873931623931624</v>
      </c>
    </row>
    <row r="24" spans="1:6" ht="20.25" customHeight="1" thickTop="1">
      <c r="A24" s="582"/>
      <c r="B24" s="581"/>
      <c r="C24" s="621"/>
      <c r="D24" s="620"/>
      <c r="E24" s="619"/>
    </row>
    <row r="25" spans="1:6" ht="20.25" customHeight="1">
      <c r="A25" s="577" t="s">
        <v>1268</v>
      </c>
      <c r="C25" s="616" t="s">
        <v>12</v>
      </c>
      <c r="D25" s="616">
        <v>100000000</v>
      </c>
    </row>
    <row r="26" spans="1:6" ht="20.25" customHeight="1">
      <c r="A26" s="617" t="s">
        <v>1472</v>
      </c>
      <c r="B26" s="618"/>
      <c r="D26" s="617"/>
    </row>
    <row r="27" spans="1:6" ht="20.25" customHeight="1">
      <c r="A27" s="617" t="s">
        <v>1471</v>
      </c>
      <c r="B27" s="618"/>
      <c r="D27" s="617"/>
    </row>
    <row r="28" spans="1:6" ht="20.25" customHeight="1">
      <c r="A28" s="617" t="s">
        <v>1265</v>
      </c>
      <c r="B28" s="618"/>
      <c r="D28" s="617"/>
    </row>
  </sheetData>
  <mergeCells count="2">
    <mergeCell ref="A6:E6"/>
    <mergeCell ref="A7:E7"/>
  </mergeCells>
  <pageMargins left="1" right="0.5" top="0.75" bottom="0.75" header="0.5" footer="0.5"/>
  <pageSetup paperSize="9" orientation="portrait" r:id="rId1"/>
  <headerFooter alignWithMargins="0">
    <oddFooter>&amp;CTrang</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5"/>
  <sheetViews>
    <sheetView workbookViewId="0">
      <selection activeCell="C22" sqref="C22"/>
    </sheetView>
  </sheetViews>
  <sheetFormatPr defaultColWidth="9.140625" defaultRowHeight="16.5"/>
  <cols>
    <col min="1" max="1" width="4.7109375" style="6" bestFit="1" customWidth="1"/>
    <col min="2" max="2" width="28.28515625" style="6" customWidth="1"/>
    <col min="3" max="3" width="16.5703125" style="6" customWidth="1"/>
    <col min="4" max="4" width="23.7109375" style="6" customWidth="1"/>
    <col min="5" max="5" width="19" style="8" customWidth="1"/>
    <col min="6" max="6" width="11.5703125" style="6" customWidth="1"/>
    <col min="7" max="16384" width="9.140625" style="6"/>
  </cols>
  <sheetData>
    <row r="1" spans="1:7">
      <c r="C1" s="164" t="s">
        <v>526</v>
      </c>
      <c r="D1" s="164"/>
      <c r="E1" s="164"/>
      <c r="G1" s="308" t="s">
        <v>1020</v>
      </c>
    </row>
    <row r="3" spans="1:7">
      <c r="A3" s="164"/>
      <c r="B3" s="164"/>
      <c r="C3" s="164"/>
      <c r="D3" s="164"/>
      <c r="E3" s="164"/>
      <c r="F3" s="164"/>
    </row>
    <row r="4" spans="1:7" ht="38.25" customHeight="1">
      <c r="A4" s="16" t="s">
        <v>0</v>
      </c>
      <c r="B4" s="53" t="s">
        <v>14</v>
      </c>
      <c r="C4" s="53" t="s">
        <v>1</v>
      </c>
      <c r="D4" s="53" t="s">
        <v>15</v>
      </c>
      <c r="E4" s="2342" t="s">
        <v>29</v>
      </c>
    </row>
    <row r="5" spans="1:7" s="28" customFormat="1">
      <c r="A5" s="16" t="s">
        <v>30</v>
      </c>
      <c r="B5" s="17" t="s">
        <v>22</v>
      </c>
      <c r="C5" s="145"/>
      <c r="D5" s="71"/>
      <c r="E5" s="71">
        <f>SUM(E6:E12)</f>
        <v>465570833.33333331</v>
      </c>
    </row>
    <row r="6" spans="1:7">
      <c r="A6" s="47">
        <v>1</v>
      </c>
      <c r="B6" s="18" t="s">
        <v>16</v>
      </c>
      <c r="C6" s="143" t="str">
        <f>C18&amp;" con"</f>
        <v>120 con</v>
      </c>
      <c r="D6" s="20">
        <f>C19</f>
        <v>1250000</v>
      </c>
      <c r="E6" s="20">
        <f>D6*C18</f>
        <v>150000000</v>
      </c>
    </row>
    <row r="7" spans="1:7">
      <c r="A7" s="47">
        <v>2</v>
      </c>
      <c r="B7" s="18" t="s">
        <v>17</v>
      </c>
      <c r="C7" s="144" t="str">
        <f>C6</f>
        <v>120 con</v>
      </c>
      <c r="D7" s="20" t="s">
        <v>31</v>
      </c>
      <c r="E7" s="20">
        <f>2390000*C18</f>
        <v>286800000</v>
      </c>
    </row>
    <row r="8" spans="1:7">
      <c r="A8" s="47">
        <v>3</v>
      </c>
      <c r="B8" s="18" t="s">
        <v>18</v>
      </c>
      <c r="C8" s="143"/>
      <c r="D8" s="20">
        <f>C16/120</f>
        <v>416666.66666666669</v>
      </c>
      <c r="E8" s="20">
        <f>D8*3.5</f>
        <v>1458333.3333333335</v>
      </c>
    </row>
    <row r="9" spans="1:7">
      <c r="A9" s="47">
        <v>4</v>
      </c>
      <c r="B9" s="18" t="s">
        <v>9</v>
      </c>
      <c r="C9" s="143">
        <v>1</v>
      </c>
      <c r="D9" s="20">
        <v>2500000</v>
      </c>
      <c r="E9" s="20">
        <f>D9*C9*3.5</f>
        <v>8750000</v>
      </c>
    </row>
    <row r="10" spans="1:7">
      <c r="A10" s="47">
        <v>5</v>
      </c>
      <c r="B10" s="18" t="s">
        <v>19</v>
      </c>
      <c r="C10" s="143"/>
      <c r="D10" s="20"/>
      <c r="E10" s="20">
        <f>C23*C25/12*3.5</f>
        <v>3062500.0000000005</v>
      </c>
    </row>
    <row r="11" spans="1:7">
      <c r="A11" s="47">
        <v>6</v>
      </c>
      <c r="B11" s="18" t="s">
        <v>20</v>
      </c>
      <c r="C11" s="143" t="str">
        <f>C6</f>
        <v>120 con</v>
      </c>
      <c r="D11" s="20" t="s">
        <v>32</v>
      </c>
      <c r="E11" s="20">
        <f>100000*C18</f>
        <v>12000000</v>
      </c>
    </row>
    <row r="12" spans="1:7">
      <c r="A12" s="47">
        <v>7</v>
      </c>
      <c r="B12" s="18" t="s">
        <v>21</v>
      </c>
      <c r="C12" s="143"/>
      <c r="D12" s="20"/>
      <c r="E12" s="20">
        <v>3500000</v>
      </c>
    </row>
    <row r="13" spans="1:7">
      <c r="A13" s="16" t="s">
        <v>30</v>
      </c>
      <c r="B13" s="17" t="s">
        <v>23</v>
      </c>
      <c r="C13" s="143" t="str">
        <f>C18&amp;" con x 95kg/con"</f>
        <v>120 con x 95kg/con</v>
      </c>
      <c r="D13" s="146" t="s">
        <v>33</v>
      </c>
      <c r="E13" s="71">
        <f>C20*95*C18</f>
        <v>513000000</v>
      </c>
    </row>
    <row r="14" spans="1:7" s="110" customFormat="1">
      <c r="A14" s="47" t="s">
        <v>30</v>
      </c>
      <c r="B14" s="22" t="s">
        <v>24</v>
      </c>
      <c r="C14" s="147"/>
      <c r="D14" s="148"/>
      <c r="E14" s="149">
        <f>E13-E5</f>
        <v>47429166.666666687</v>
      </c>
    </row>
    <row r="16" spans="1:7">
      <c r="A16" s="47">
        <v>1</v>
      </c>
      <c r="B16" s="18" t="s">
        <v>34</v>
      </c>
      <c r="C16" s="48">
        <v>50000000</v>
      </c>
      <c r="D16" s="6" t="s">
        <v>35</v>
      </c>
      <c r="E16" s="6"/>
    </row>
    <row r="17" spans="1:5">
      <c r="A17" s="47">
        <v>2</v>
      </c>
      <c r="B17" s="18" t="s">
        <v>7</v>
      </c>
      <c r="C17" s="48">
        <f>C18*C19</f>
        <v>150000000</v>
      </c>
      <c r="E17" s="6"/>
    </row>
    <row r="18" spans="1:5">
      <c r="A18" s="174">
        <v>3</v>
      </c>
      <c r="B18" s="96" t="s">
        <v>1</v>
      </c>
      <c r="C18" s="97">
        <v>120</v>
      </c>
      <c r="D18" s="6" t="s">
        <v>36</v>
      </c>
      <c r="E18" s="6"/>
    </row>
    <row r="19" spans="1:5">
      <c r="A19" s="174">
        <v>4</v>
      </c>
      <c r="B19" s="96" t="s">
        <v>37</v>
      </c>
      <c r="C19" s="97">
        <v>1250000</v>
      </c>
      <c r="D19" s="6" t="s">
        <v>38</v>
      </c>
      <c r="E19" s="6"/>
    </row>
    <row r="20" spans="1:5">
      <c r="A20" s="174">
        <v>5</v>
      </c>
      <c r="B20" s="96" t="s">
        <v>39</v>
      </c>
      <c r="C20" s="97">
        <v>45000</v>
      </c>
      <c r="D20" s="6" t="s">
        <v>40</v>
      </c>
      <c r="E20" s="6"/>
    </row>
    <row r="21" spans="1:5">
      <c r="A21" s="175">
        <v>6</v>
      </c>
      <c r="B21" s="18" t="s">
        <v>41</v>
      </c>
      <c r="C21" s="48">
        <f>E7</f>
        <v>286800000</v>
      </c>
      <c r="E21" s="6"/>
    </row>
    <row r="22" spans="1:5">
      <c r="A22" s="175">
        <v>7</v>
      </c>
      <c r="B22" s="18" t="s">
        <v>42</v>
      </c>
      <c r="C22" s="49">
        <f>C16+C17+C21</f>
        <v>486800000</v>
      </c>
      <c r="E22" s="6"/>
    </row>
    <row r="23" spans="1:5">
      <c r="B23" s="6" t="s">
        <v>12</v>
      </c>
      <c r="C23" s="8">
        <v>150000000</v>
      </c>
    </row>
    <row r="24" spans="1:5">
      <c r="B24" s="6" t="s">
        <v>26</v>
      </c>
      <c r="C24" s="56">
        <f>C22-C23</f>
        <v>336800000</v>
      </c>
      <c r="D24" s="15">
        <f>C24/C22</f>
        <v>0.69186524239934266</v>
      </c>
    </row>
    <row r="25" spans="1:5">
      <c r="B25" s="6" t="s">
        <v>13</v>
      </c>
      <c r="C25" s="171">
        <v>7.0000000000000007E-2</v>
      </c>
    </row>
  </sheetData>
  <pageMargins left="0.75" right="0.75" top="1" bottom="1" header="0.5" footer="0.5"/>
  <pageSetup paperSize="9" orientation="portrait" verticalDpi="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G24"/>
  <sheetViews>
    <sheetView workbookViewId="0">
      <selection activeCell="B2" sqref="B2"/>
    </sheetView>
  </sheetViews>
  <sheetFormatPr defaultColWidth="9.140625" defaultRowHeight="16.5"/>
  <cols>
    <col min="1" max="1" width="4.7109375" style="6" bestFit="1" customWidth="1"/>
    <col min="2" max="2" width="28.28515625" style="6" customWidth="1"/>
    <col min="3" max="3" width="19.5703125" style="6" bestFit="1" customWidth="1"/>
    <col min="4" max="4" width="20.7109375" style="6" customWidth="1"/>
    <col min="5" max="5" width="19" style="8" customWidth="1"/>
    <col min="6" max="6" width="16.140625" style="6" customWidth="1"/>
    <col min="7" max="7" width="18.5703125" style="6" customWidth="1"/>
    <col min="8" max="16384" width="9.140625" style="6"/>
  </cols>
  <sheetData>
    <row r="1" spans="1:7">
      <c r="C1" s="6" t="s">
        <v>492</v>
      </c>
      <c r="D1" s="305"/>
      <c r="G1" s="308" t="s">
        <v>1020</v>
      </c>
    </row>
    <row r="3" spans="1:7">
      <c r="A3" s="47">
        <v>1</v>
      </c>
      <c r="B3" s="18" t="s">
        <v>1</v>
      </c>
      <c r="C3" s="48">
        <v>6</v>
      </c>
      <c r="D3" s="6" t="s">
        <v>493</v>
      </c>
      <c r="E3" s="6"/>
    </row>
    <row r="4" spans="1:7">
      <c r="A4" s="47">
        <v>2</v>
      </c>
      <c r="B4" s="18" t="s">
        <v>3</v>
      </c>
      <c r="C4" s="48">
        <v>25000000</v>
      </c>
      <c r="E4" s="6"/>
    </row>
    <row r="5" spans="1:7">
      <c r="A5" s="47">
        <v>3</v>
      </c>
      <c r="B5" s="18" t="s">
        <v>4</v>
      </c>
      <c r="C5" s="48">
        <f>C3*C4</f>
        <v>150000000</v>
      </c>
      <c r="E5" s="6"/>
    </row>
    <row r="6" spans="1:7">
      <c r="A6" s="47">
        <v>4</v>
      </c>
      <c r="B6" s="18" t="s">
        <v>494</v>
      </c>
      <c r="C6" s="48">
        <v>10000000</v>
      </c>
      <c r="E6" s="6"/>
    </row>
    <row r="7" spans="1:7">
      <c r="A7" s="47">
        <v>5</v>
      </c>
      <c r="B7" s="18" t="s">
        <v>41</v>
      </c>
      <c r="C7" s="48">
        <f>E12</f>
        <v>2592000.0000000005</v>
      </c>
      <c r="E7" s="6"/>
    </row>
    <row r="8" spans="1:7">
      <c r="A8" s="47">
        <v>6</v>
      </c>
      <c r="B8" s="18" t="s">
        <v>288</v>
      </c>
      <c r="C8" s="49">
        <f>SUM(C5:C7)</f>
        <v>162592000</v>
      </c>
      <c r="E8" s="6"/>
    </row>
    <row r="9" spans="1:7">
      <c r="A9" s="142"/>
      <c r="B9" s="86"/>
      <c r="C9" s="52"/>
      <c r="D9" s="86"/>
      <c r="E9" s="6"/>
    </row>
    <row r="10" spans="1:7" ht="38.25" customHeight="1">
      <c r="A10" s="16" t="s">
        <v>0</v>
      </c>
      <c r="B10" s="53" t="s">
        <v>14</v>
      </c>
      <c r="C10" s="53" t="s">
        <v>1</v>
      </c>
      <c r="D10" s="53" t="s">
        <v>15</v>
      </c>
      <c r="E10" s="2342" t="s">
        <v>495</v>
      </c>
      <c r="F10" s="2342" t="s">
        <v>496</v>
      </c>
      <c r="G10" s="2342" t="s">
        <v>497</v>
      </c>
    </row>
    <row r="11" spans="1:7">
      <c r="A11" s="47">
        <v>1</v>
      </c>
      <c r="B11" s="18" t="s">
        <v>498</v>
      </c>
      <c r="C11" s="143" t="str">
        <f>C3&amp;" con"</f>
        <v>6 con</v>
      </c>
      <c r="D11" s="20">
        <f>C4</f>
        <v>25000000</v>
      </c>
      <c r="E11" s="20">
        <f>D11*C3</f>
        <v>150000000</v>
      </c>
      <c r="F11" s="18">
        <v>0</v>
      </c>
      <c r="G11" s="18">
        <v>0</v>
      </c>
    </row>
    <row r="12" spans="1:7">
      <c r="A12" s="47">
        <v>2</v>
      </c>
      <c r="B12" s="18" t="s">
        <v>17</v>
      </c>
      <c r="C12" s="144" t="s">
        <v>499</v>
      </c>
      <c r="D12" s="20" t="s">
        <v>500</v>
      </c>
      <c r="E12" s="20">
        <f>0.2*C3*6000*360</f>
        <v>2592000.0000000005</v>
      </c>
      <c r="F12" s="36">
        <f t="shared" ref="F12:F17" si="0">E12</f>
        <v>2592000.0000000005</v>
      </c>
      <c r="G12" s="36">
        <f t="shared" ref="G12:G17" si="1">E12</f>
        <v>2592000.0000000005</v>
      </c>
    </row>
    <row r="13" spans="1:7">
      <c r="A13" s="47">
        <v>3</v>
      </c>
      <c r="B13" s="18" t="s">
        <v>18</v>
      </c>
      <c r="C13" s="143"/>
      <c r="D13" s="20">
        <f>C6</f>
        <v>10000000</v>
      </c>
      <c r="E13" s="20">
        <f>D13/3</f>
        <v>3333333.3333333335</v>
      </c>
      <c r="F13" s="36">
        <f t="shared" si="0"/>
        <v>3333333.3333333335</v>
      </c>
      <c r="G13" s="36">
        <f t="shared" si="1"/>
        <v>3333333.3333333335</v>
      </c>
    </row>
    <row r="14" spans="1:7">
      <c r="A14" s="47">
        <v>4</v>
      </c>
      <c r="B14" s="18" t="s">
        <v>9</v>
      </c>
      <c r="C14" s="143">
        <v>1</v>
      </c>
      <c r="D14" s="20">
        <v>1000000</v>
      </c>
      <c r="E14" s="20">
        <f>D14*C14*12</f>
        <v>12000000</v>
      </c>
      <c r="F14" s="36">
        <f t="shared" si="0"/>
        <v>12000000</v>
      </c>
      <c r="G14" s="36">
        <f t="shared" si="1"/>
        <v>12000000</v>
      </c>
    </row>
    <row r="15" spans="1:7">
      <c r="A15" s="47">
        <v>5</v>
      </c>
      <c r="B15" s="18" t="s">
        <v>19</v>
      </c>
      <c r="C15" s="143"/>
      <c r="D15" s="20"/>
      <c r="E15" s="20">
        <f>C22*C24</f>
        <v>11500000</v>
      </c>
      <c r="F15" s="36">
        <f t="shared" si="0"/>
        <v>11500000</v>
      </c>
      <c r="G15" s="36">
        <f t="shared" si="1"/>
        <v>11500000</v>
      </c>
    </row>
    <row r="16" spans="1:7">
      <c r="A16" s="47">
        <v>6</v>
      </c>
      <c r="B16" s="18" t="s">
        <v>20</v>
      </c>
      <c r="C16" s="143"/>
      <c r="D16" s="20"/>
      <c r="E16" s="20">
        <v>1000000</v>
      </c>
      <c r="F16" s="36">
        <f t="shared" si="0"/>
        <v>1000000</v>
      </c>
      <c r="G16" s="36">
        <f t="shared" si="1"/>
        <v>1000000</v>
      </c>
    </row>
    <row r="17" spans="1:7">
      <c r="A17" s="47">
        <v>7</v>
      </c>
      <c r="B17" s="18" t="s">
        <v>21</v>
      </c>
      <c r="C17" s="143"/>
      <c r="D17" s="20"/>
      <c r="E17" s="20">
        <v>500000</v>
      </c>
      <c r="F17" s="36">
        <f t="shared" si="0"/>
        <v>500000</v>
      </c>
      <c r="G17" s="36">
        <f t="shared" si="1"/>
        <v>500000</v>
      </c>
    </row>
    <row r="18" spans="1:7" s="28" customFormat="1">
      <c r="A18" s="47">
        <v>8</v>
      </c>
      <c r="B18" s="17" t="s">
        <v>22</v>
      </c>
      <c r="C18" s="145"/>
      <c r="D18" s="71"/>
      <c r="E18" s="71">
        <f>SUM(E11:E17)</f>
        <v>180925333.33333334</v>
      </c>
      <c r="F18" s="71">
        <f>SUM(F11:F17)</f>
        <v>30925333.333333336</v>
      </c>
      <c r="G18" s="71">
        <f>SUM(G11:G17)</f>
        <v>30925333.333333336</v>
      </c>
    </row>
    <row r="19" spans="1:7">
      <c r="A19" s="47">
        <v>9</v>
      </c>
      <c r="B19" s="17" t="s">
        <v>23</v>
      </c>
      <c r="C19" s="143" t="str">
        <f>C3*2&amp;" con"</f>
        <v>12 con</v>
      </c>
      <c r="D19" s="146" t="s">
        <v>501</v>
      </c>
      <c r="E19" s="71"/>
      <c r="F19" s="18"/>
      <c r="G19" s="36">
        <f>C3*2*28000000</f>
        <v>336000000</v>
      </c>
    </row>
    <row r="20" spans="1:7" s="110" customFormat="1">
      <c r="A20" s="47">
        <v>10</v>
      </c>
      <c r="B20" s="22" t="s">
        <v>24</v>
      </c>
      <c r="C20" s="147"/>
      <c r="D20" s="148"/>
      <c r="E20" s="149"/>
      <c r="F20" s="22"/>
      <c r="G20" s="74">
        <f>G19-SUM(E18:G18)</f>
        <v>93223999.99999997</v>
      </c>
    </row>
    <row r="22" spans="1:7">
      <c r="B22" s="6" t="s">
        <v>12</v>
      </c>
      <c r="C22" s="8">
        <v>100000000</v>
      </c>
    </row>
    <row r="23" spans="1:7">
      <c r="B23" s="6" t="s">
        <v>26</v>
      </c>
      <c r="C23" s="56">
        <f>C8-C22</f>
        <v>62592000</v>
      </c>
      <c r="D23" s="15">
        <f>C23/C8</f>
        <v>0.38496358984451878</v>
      </c>
    </row>
    <row r="24" spans="1:7">
      <c r="B24" s="6" t="s">
        <v>13</v>
      </c>
      <c r="C24" s="79">
        <v>0.115</v>
      </c>
    </row>
  </sheetData>
  <pageMargins left="0.75" right="0.75" top="1" bottom="1" header="0.5" footer="0.5"/>
  <pageSetup paperSize="9" orientation="portrait" verticalDpi="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29"/>
  <sheetViews>
    <sheetView topLeftCell="A4" workbookViewId="0">
      <selection activeCell="A14" sqref="A14:E24"/>
    </sheetView>
  </sheetViews>
  <sheetFormatPr defaultColWidth="9.140625" defaultRowHeight="16.5"/>
  <cols>
    <col min="1" max="1" width="5" style="6" bestFit="1" customWidth="1"/>
    <col min="2" max="2" width="27" style="6" bestFit="1" customWidth="1"/>
    <col min="3" max="3" width="10.5703125" style="6" bestFit="1" customWidth="1"/>
    <col min="4" max="4" width="15.85546875" style="6" bestFit="1" customWidth="1"/>
    <col min="5" max="5" width="18.140625" style="8" bestFit="1" customWidth="1"/>
    <col min="6" max="6" width="15.85546875" style="6" bestFit="1" customWidth="1"/>
    <col min="7" max="16384" width="9.140625" style="6"/>
  </cols>
  <sheetData>
    <row r="1" spans="1:7">
      <c r="A1" s="164"/>
      <c r="B1" s="164"/>
      <c r="C1" s="164" t="s">
        <v>502</v>
      </c>
      <c r="D1" s="306"/>
      <c r="F1" s="164"/>
      <c r="G1" s="308" t="s">
        <v>1020</v>
      </c>
    </row>
    <row r="2" spans="1:7">
      <c r="A2" s="164"/>
      <c r="B2" s="164"/>
      <c r="D2" s="164"/>
      <c r="E2" s="164"/>
      <c r="F2" s="164"/>
    </row>
    <row r="3" spans="1:7">
      <c r="B3" s="164"/>
      <c r="D3" s="164"/>
      <c r="E3" s="164"/>
      <c r="F3" s="164"/>
    </row>
    <row r="4" spans="1:7">
      <c r="A4" s="84" t="s">
        <v>0</v>
      </c>
      <c r="B4" s="84" t="s">
        <v>503</v>
      </c>
      <c r="C4" s="84" t="s">
        <v>1</v>
      </c>
      <c r="D4" s="84" t="s">
        <v>2</v>
      </c>
      <c r="E4" s="84" t="s">
        <v>3</v>
      </c>
      <c r="F4" s="2343" t="s">
        <v>4</v>
      </c>
    </row>
    <row r="5" spans="1:7">
      <c r="A5" s="47">
        <v>1</v>
      </c>
      <c r="B5" s="18" t="s">
        <v>494</v>
      </c>
      <c r="C5" s="96">
        <v>20</v>
      </c>
      <c r="D5" s="18" t="s">
        <v>5</v>
      </c>
      <c r="E5" s="36">
        <v>500000</v>
      </c>
      <c r="F5" s="48">
        <f>C5*E5</f>
        <v>10000000</v>
      </c>
    </row>
    <row r="6" spans="1:7">
      <c r="A6" s="47">
        <v>2</v>
      </c>
      <c r="B6" s="18" t="s">
        <v>6</v>
      </c>
      <c r="C6" s="18">
        <v>5</v>
      </c>
      <c r="D6" s="18" t="s">
        <v>504</v>
      </c>
      <c r="E6" s="36"/>
      <c r="F6" s="48"/>
    </row>
    <row r="7" spans="1:7">
      <c r="A7" s="47">
        <v>3</v>
      </c>
      <c r="B7" s="18" t="s">
        <v>7</v>
      </c>
      <c r="C7" s="18">
        <v>12</v>
      </c>
      <c r="D7" s="18" t="s">
        <v>8</v>
      </c>
      <c r="E7" s="48">
        <v>25000000</v>
      </c>
      <c r="F7" s="48">
        <f>C7*E7</f>
        <v>300000000</v>
      </c>
    </row>
    <row r="8" spans="1:7">
      <c r="A8" s="47">
        <v>4</v>
      </c>
      <c r="B8" s="18" t="s">
        <v>9</v>
      </c>
      <c r="C8" s="18">
        <v>2</v>
      </c>
      <c r="D8" s="18" t="s">
        <v>10</v>
      </c>
      <c r="E8" s="48">
        <v>2000000</v>
      </c>
      <c r="F8" s="48"/>
    </row>
    <row r="9" spans="1:7">
      <c r="A9" s="47">
        <v>5</v>
      </c>
      <c r="B9" s="18" t="s">
        <v>505</v>
      </c>
      <c r="C9" s="48">
        <f>C7</f>
        <v>12</v>
      </c>
      <c r="D9" s="18" t="s">
        <v>8</v>
      </c>
      <c r="E9" s="48">
        <v>35000000</v>
      </c>
      <c r="F9" s="48">
        <f>E9*C9</f>
        <v>420000000</v>
      </c>
    </row>
    <row r="10" spans="1:7">
      <c r="A10" s="47">
        <v>6</v>
      </c>
      <c r="B10" s="18" t="s">
        <v>506</v>
      </c>
      <c r="C10" s="48">
        <f>C7*0.3*360</f>
        <v>1295.9999999999998</v>
      </c>
      <c r="D10" s="18" t="s">
        <v>11</v>
      </c>
      <c r="E10" s="48">
        <v>8000</v>
      </c>
      <c r="F10" s="48">
        <f>E10*C10</f>
        <v>10367999.999999998</v>
      </c>
    </row>
    <row r="11" spans="1:7">
      <c r="A11" s="47"/>
      <c r="B11" s="18" t="s">
        <v>12</v>
      </c>
      <c r="C11" s="48"/>
      <c r="D11" s="18"/>
      <c r="E11" s="48"/>
      <c r="F11" s="48">
        <v>200000000</v>
      </c>
    </row>
    <row r="12" spans="1:7">
      <c r="A12" s="47"/>
      <c r="B12" s="18" t="s">
        <v>13</v>
      </c>
      <c r="C12" s="48"/>
      <c r="D12" s="18"/>
      <c r="E12" s="48"/>
      <c r="F12" s="165">
        <v>7.0000000000000007E-2</v>
      </c>
    </row>
    <row r="14" spans="1:7" ht="38.25" customHeight="1">
      <c r="A14" s="16" t="s">
        <v>0</v>
      </c>
      <c r="B14" s="53" t="s">
        <v>14</v>
      </c>
      <c r="C14" s="53" t="s">
        <v>1</v>
      </c>
      <c r="D14" s="53" t="s">
        <v>15</v>
      </c>
      <c r="E14" s="2342" t="s">
        <v>507</v>
      </c>
    </row>
    <row r="15" spans="1:7">
      <c r="A15" s="47">
        <v>1</v>
      </c>
      <c r="B15" s="18" t="s">
        <v>16</v>
      </c>
      <c r="C15" s="30" t="str">
        <f>C7&amp;" "&amp;D7</f>
        <v>12 con</v>
      </c>
      <c r="D15" s="20">
        <f>E7</f>
        <v>25000000</v>
      </c>
      <c r="E15" s="20">
        <f>F7</f>
        <v>300000000</v>
      </c>
    </row>
    <row r="16" spans="1:7">
      <c r="A16" s="47">
        <v>2</v>
      </c>
      <c r="B16" s="18" t="s">
        <v>17</v>
      </c>
      <c r="C16" s="143" t="str">
        <f>C10&amp;" "&amp;D10</f>
        <v>1296 kg</v>
      </c>
      <c r="D16" s="20">
        <f>E10</f>
        <v>8000</v>
      </c>
      <c r="E16" s="166">
        <f>F10</f>
        <v>10367999.999999998</v>
      </c>
    </row>
    <row r="17" spans="1:5">
      <c r="A17" s="47">
        <v>3</v>
      </c>
      <c r="B17" s="18" t="s">
        <v>18</v>
      </c>
      <c r="C17" s="143" t="str">
        <f>C6&amp;" "&amp;D6</f>
        <v>5 năm</v>
      </c>
      <c r="D17" s="20">
        <f>E6</f>
        <v>0</v>
      </c>
      <c r="E17" s="20">
        <f>F5/C6</f>
        <v>2000000</v>
      </c>
    </row>
    <row r="18" spans="1:5">
      <c r="A18" s="47">
        <v>4</v>
      </c>
      <c r="B18" s="18" t="s">
        <v>9</v>
      </c>
      <c r="C18" s="143" t="str">
        <f>C8&amp;" "&amp;D8</f>
        <v>2 người</v>
      </c>
      <c r="D18" s="20">
        <f>E8</f>
        <v>2000000</v>
      </c>
      <c r="E18" s="20">
        <f>E8*C8*12</f>
        <v>48000000</v>
      </c>
    </row>
    <row r="19" spans="1:5">
      <c r="A19" s="47">
        <v>5</v>
      </c>
      <c r="B19" s="18" t="s">
        <v>19</v>
      </c>
      <c r="C19" s="143"/>
      <c r="D19" s="20"/>
      <c r="E19" s="20">
        <f>F11*F12</f>
        <v>14000000.000000002</v>
      </c>
    </row>
    <row r="20" spans="1:5">
      <c r="A20" s="47">
        <v>6</v>
      </c>
      <c r="B20" s="18" t="s">
        <v>20</v>
      </c>
      <c r="C20" s="143"/>
      <c r="D20" s="20">
        <v>500000</v>
      </c>
      <c r="E20" s="20">
        <f>D20*C7</f>
        <v>6000000</v>
      </c>
    </row>
    <row r="21" spans="1:5">
      <c r="A21" s="47">
        <v>7</v>
      </c>
      <c r="B21" s="18" t="s">
        <v>21</v>
      </c>
      <c r="C21" s="143"/>
      <c r="D21" s="20"/>
      <c r="E21" s="20">
        <v>6000000</v>
      </c>
    </row>
    <row r="22" spans="1:5" s="28" customFormat="1">
      <c r="A22" s="47">
        <v>8</v>
      </c>
      <c r="B22" s="17" t="s">
        <v>22</v>
      </c>
      <c r="C22" s="145"/>
      <c r="D22" s="71"/>
      <c r="E22" s="71">
        <f>SUM(E15:E21)</f>
        <v>386368000</v>
      </c>
    </row>
    <row r="23" spans="1:5">
      <c r="A23" s="47">
        <v>9</v>
      </c>
      <c r="B23" s="17" t="s">
        <v>23</v>
      </c>
      <c r="C23" s="143"/>
      <c r="D23" s="71">
        <f>E9</f>
        <v>35000000</v>
      </c>
      <c r="E23" s="167">
        <f>F9</f>
        <v>420000000</v>
      </c>
    </row>
    <row r="24" spans="1:5" s="110" customFormat="1">
      <c r="A24" s="47">
        <v>10</v>
      </c>
      <c r="B24" s="22" t="s">
        <v>24</v>
      </c>
      <c r="C24" s="147"/>
      <c r="D24" s="148"/>
      <c r="E24" s="149">
        <f>E23-E22</f>
        <v>33632000</v>
      </c>
    </row>
    <row r="26" spans="1:5">
      <c r="B26" s="6" t="s">
        <v>25</v>
      </c>
      <c r="E26" s="8">
        <f>E22-E19-E17</f>
        <v>370368000</v>
      </c>
    </row>
    <row r="27" spans="1:5">
      <c r="B27" s="6" t="s">
        <v>26</v>
      </c>
      <c r="E27" s="8">
        <f>E26-F11</f>
        <v>170368000</v>
      </c>
    </row>
    <row r="28" spans="1:5">
      <c r="B28" s="6" t="s">
        <v>27</v>
      </c>
      <c r="E28" s="8">
        <f>F11</f>
        <v>200000000</v>
      </c>
    </row>
    <row r="29" spans="1:5">
      <c r="B29" s="6" t="s">
        <v>28</v>
      </c>
      <c r="E29" s="15">
        <f>E27/E26</f>
        <v>0.45999654397788148</v>
      </c>
    </row>
  </sheetData>
  <pageMargins left="0.75" right="0.75" top="1" bottom="1" header="0.5" footer="0.5"/>
  <pageSetup paperSize="9"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S72"/>
  <sheetViews>
    <sheetView workbookViewId="0">
      <selection activeCell="C5" sqref="C5:D5"/>
    </sheetView>
  </sheetViews>
  <sheetFormatPr defaultRowHeight="16.5"/>
  <cols>
    <col min="1" max="1" width="6" style="523" customWidth="1"/>
    <col min="2" max="2" width="40.7109375" style="523" customWidth="1"/>
    <col min="3" max="3" width="7.28515625" style="523" customWidth="1"/>
    <col min="4" max="4" width="14.5703125" style="523" bestFit="1" customWidth="1"/>
    <col min="5" max="5" width="15.85546875" style="523" bestFit="1" customWidth="1"/>
    <col min="6" max="6" width="16.7109375" style="523" bestFit="1" customWidth="1"/>
    <col min="7" max="7" width="11.28515625" style="523" bestFit="1" customWidth="1"/>
    <col min="8" max="8" width="15.85546875" style="523" bestFit="1" customWidth="1"/>
    <col min="9" max="9" width="11.28515625" style="523" bestFit="1" customWidth="1"/>
    <col min="10" max="12" width="15.85546875" style="523" bestFit="1" customWidth="1"/>
    <col min="13" max="13" width="27" style="523" bestFit="1" customWidth="1"/>
    <col min="14" max="14" width="29.140625" style="523" customWidth="1"/>
    <col min="15" max="15" width="5.140625" style="523" customWidth="1"/>
    <col min="16" max="256" width="9.140625" style="523"/>
    <col min="257" max="257" width="6" style="523" customWidth="1"/>
    <col min="258" max="258" width="40.7109375" style="523" customWidth="1"/>
    <col min="259" max="259" width="7.28515625" style="523" customWidth="1"/>
    <col min="260" max="260" width="12.7109375" style="523" bestFit="1" customWidth="1"/>
    <col min="261" max="261" width="14" style="523" bestFit="1" customWidth="1"/>
    <col min="262" max="262" width="14.28515625" style="523" customWidth="1"/>
    <col min="263" max="263" width="9.85546875" style="523" bestFit="1" customWidth="1"/>
    <col min="264" max="264" width="14" style="523" bestFit="1" customWidth="1"/>
    <col min="265" max="265" width="9.85546875" style="523" bestFit="1" customWidth="1"/>
    <col min="266" max="266" width="14" style="523" bestFit="1" customWidth="1"/>
    <col min="267" max="267" width="15.7109375" style="523" bestFit="1" customWidth="1"/>
    <col min="268" max="268" width="14" style="523" bestFit="1" customWidth="1"/>
    <col min="269" max="269" width="26.85546875" style="523" bestFit="1" customWidth="1"/>
    <col min="270" max="270" width="29.140625" style="523" customWidth="1"/>
    <col min="271" max="271" width="5.140625" style="523" customWidth="1"/>
    <col min="272" max="512" width="9.140625" style="523"/>
    <col min="513" max="513" width="6" style="523" customWidth="1"/>
    <col min="514" max="514" width="40.7109375" style="523" customWidth="1"/>
    <col min="515" max="515" width="7.28515625" style="523" customWidth="1"/>
    <col min="516" max="516" width="12.7109375" style="523" bestFit="1" customWidth="1"/>
    <col min="517" max="517" width="14" style="523" bestFit="1" customWidth="1"/>
    <col min="518" max="518" width="14.28515625" style="523" customWidth="1"/>
    <col min="519" max="519" width="9.85546875" style="523" bestFit="1" customWidth="1"/>
    <col min="520" max="520" width="14" style="523" bestFit="1" customWidth="1"/>
    <col min="521" max="521" width="9.85546875" style="523" bestFit="1" customWidth="1"/>
    <col min="522" max="522" width="14" style="523" bestFit="1" customWidth="1"/>
    <col min="523" max="523" width="15.7109375" style="523" bestFit="1" customWidth="1"/>
    <col min="524" max="524" width="14" style="523" bestFit="1" customWidth="1"/>
    <col min="525" max="525" width="26.85546875" style="523" bestFit="1" customWidth="1"/>
    <col min="526" max="526" width="29.140625" style="523" customWidth="1"/>
    <col min="527" max="527" width="5.140625" style="523" customWidth="1"/>
    <col min="528" max="768" width="9.140625" style="523"/>
    <col min="769" max="769" width="6" style="523" customWidth="1"/>
    <col min="770" max="770" width="40.7109375" style="523" customWidth="1"/>
    <col min="771" max="771" width="7.28515625" style="523" customWidth="1"/>
    <col min="772" max="772" width="12.7109375" style="523" bestFit="1" customWidth="1"/>
    <col min="773" max="773" width="14" style="523" bestFit="1" customWidth="1"/>
    <col min="774" max="774" width="14.28515625" style="523" customWidth="1"/>
    <col min="775" max="775" width="9.85546875" style="523" bestFit="1" customWidth="1"/>
    <col min="776" max="776" width="14" style="523" bestFit="1" customWidth="1"/>
    <col min="777" max="777" width="9.85546875" style="523" bestFit="1" customWidth="1"/>
    <col min="778" max="778" width="14" style="523" bestFit="1" customWidth="1"/>
    <col min="779" max="779" width="15.7109375" style="523" bestFit="1" customWidth="1"/>
    <col min="780" max="780" width="14" style="523" bestFit="1" customWidth="1"/>
    <col min="781" max="781" width="26.85546875" style="523" bestFit="1" customWidth="1"/>
    <col min="782" max="782" width="29.140625" style="523" customWidth="1"/>
    <col min="783" max="783" width="5.140625" style="523" customWidth="1"/>
    <col min="784" max="1024" width="9.140625" style="523"/>
    <col min="1025" max="1025" width="6" style="523" customWidth="1"/>
    <col min="1026" max="1026" width="40.7109375" style="523" customWidth="1"/>
    <col min="1027" max="1027" width="7.28515625" style="523" customWidth="1"/>
    <col min="1028" max="1028" width="12.7109375" style="523" bestFit="1" customWidth="1"/>
    <col min="1029" max="1029" width="14" style="523" bestFit="1" customWidth="1"/>
    <col min="1030" max="1030" width="14.28515625" style="523" customWidth="1"/>
    <col min="1031" max="1031" width="9.85546875" style="523" bestFit="1" customWidth="1"/>
    <col min="1032" max="1032" width="14" style="523" bestFit="1" customWidth="1"/>
    <col min="1033" max="1033" width="9.85546875" style="523" bestFit="1" customWidth="1"/>
    <col min="1034" max="1034" width="14" style="523" bestFit="1" customWidth="1"/>
    <col min="1035" max="1035" width="15.7109375" style="523" bestFit="1" customWidth="1"/>
    <col min="1036" max="1036" width="14" style="523" bestFit="1" customWidth="1"/>
    <col min="1037" max="1037" width="26.85546875" style="523" bestFit="1" customWidth="1"/>
    <col min="1038" max="1038" width="29.140625" style="523" customWidth="1"/>
    <col min="1039" max="1039" width="5.140625" style="523" customWidth="1"/>
    <col min="1040" max="1280" width="9.140625" style="523"/>
    <col min="1281" max="1281" width="6" style="523" customWidth="1"/>
    <col min="1282" max="1282" width="40.7109375" style="523" customWidth="1"/>
    <col min="1283" max="1283" width="7.28515625" style="523" customWidth="1"/>
    <col min="1284" max="1284" width="12.7109375" style="523" bestFit="1" customWidth="1"/>
    <col min="1285" max="1285" width="14" style="523" bestFit="1" customWidth="1"/>
    <col min="1286" max="1286" width="14.28515625" style="523" customWidth="1"/>
    <col min="1287" max="1287" width="9.85546875" style="523" bestFit="1" customWidth="1"/>
    <col min="1288" max="1288" width="14" style="523" bestFit="1" customWidth="1"/>
    <col min="1289" max="1289" width="9.85546875" style="523" bestFit="1" customWidth="1"/>
    <col min="1290" max="1290" width="14" style="523" bestFit="1" customWidth="1"/>
    <col min="1291" max="1291" width="15.7109375" style="523" bestFit="1" customWidth="1"/>
    <col min="1292" max="1292" width="14" style="523" bestFit="1" customWidth="1"/>
    <col min="1293" max="1293" width="26.85546875" style="523" bestFit="1" customWidth="1"/>
    <col min="1294" max="1294" width="29.140625" style="523" customWidth="1"/>
    <col min="1295" max="1295" width="5.140625" style="523" customWidth="1"/>
    <col min="1296" max="1536" width="9.140625" style="523"/>
    <col min="1537" max="1537" width="6" style="523" customWidth="1"/>
    <col min="1538" max="1538" width="40.7109375" style="523" customWidth="1"/>
    <col min="1539" max="1539" width="7.28515625" style="523" customWidth="1"/>
    <col min="1540" max="1540" width="12.7109375" style="523" bestFit="1" customWidth="1"/>
    <col min="1541" max="1541" width="14" style="523" bestFit="1" customWidth="1"/>
    <col min="1542" max="1542" width="14.28515625" style="523" customWidth="1"/>
    <col min="1543" max="1543" width="9.85546875" style="523" bestFit="1" customWidth="1"/>
    <col min="1544" max="1544" width="14" style="523" bestFit="1" customWidth="1"/>
    <col min="1545" max="1545" width="9.85546875" style="523" bestFit="1" customWidth="1"/>
    <col min="1546" max="1546" width="14" style="523" bestFit="1" customWidth="1"/>
    <col min="1547" max="1547" width="15.7109375" style="523" bestFit="1" customWidth="1"/>
    <col min="1548" max="1548" width="14" style="523" bestFit="1" customWidth="1"/>
    <col min="1549" max="1549" width="26.85546875" style="523" bestFit="1" customWidth="1"/>
    <col min="1550" max="1550" width="29.140625" style="523" customWidth="1"/>
    <col min="1551" max="1551" width="5.140625" style="523" customWidth="1"/>
    <col min="1552" max="1792" width="9.140625" style="523"/>
    <col min="1793" max="1793" width="6" style="523" customWidth="1"/>
    <col min="1794" max="1794" width="40.7109375" style="523" customWidth="1"/>
    <col min="1795" max="1795" width="7.28515625" style="523" customWidth="1"/>
    <col min="1796" max="1796" width="12.7109375" style="523" bestFit="1" customWidth="1"/>
    <col min="1797" max="1797" width="14" style="523" bestFit="1" customWidth="1"/>
    <col min="1798" max="1798" width="14.28515625" style="523" customWidth="1"/>
    <col min="1799" max="1799" width="9.85546875" style="523" bestFit="1" customWidth="1"/>
    <col min="1800" max="1800" width="14" style="523" bestFit="1" customWidth="1"/>
    <col min="1801" max="1801" width="9.85546875" style="523" bestFit="1" customWidth="1"/>
    <col min="1802" max="1802" width="14" style="523" bestFit="1" customWidth="1"/>
    <col min="1803" max="1803" width="15.7109375" style="523" bestFit="1" customWidth="1"/>
    <col min="1804" max="1804" width="14" style="523" bestFit="1" customWidth="1"/>
    <col min="1805" max="1805" width="26.85546875" style="523" bestFit="1" customWidth="1"/>
    <col min="1806" max="1806" width="29.140625" style="523" customWidth="1"/>
    <col min="1807" max="1807" width="5.140625" style="523" customWidth="1"/>
    <col min="1808" max="2048" width="9.140625" style="523"/>
    <col min="2049" max="2049" width="6" style="523" customWidth="1"/>
    <col min="2050" max="2050" width="40.7109375" style="523" customWidth="1"/>
    <col min="2051" max="2051" width="7.28515625" style="523" customWidth="1"/>
    <col min="2052" max="2052" width="12.7109375" style="523" bestFit="1" customWidth="1"/>
    <col min="2053" max="2053" width="14" style="523" bestFit="1" customWidth="1"/>
    <col min="2054" max="2054" width="14.28515625" style="523" customWidth="1"/>
    <col min="2055" max="2055" width="9.85546875" style="523" bestFit="1" customWidth="1"/>
    <col min="2056" max="2056" width="14" style="523" bestFit="1" customWidth="1"/>
    <col min="2057" max="2057" width="9.85546875" style="523" bestFit="1" customWidth="1"/>
    <col min="2058" max="2058" width="14" style="523" bestFit="1" customWidth="1"/>
    <col min="2059" max="2059" width="15.7109375" style="523" bestFit="1" customWidth="1"/>
    <col min="2060" max="2060" width="14" style="523" bestFit="1" customWidth="1"/>
    <col min="2061" max="2061" width="26.85546875" style="523" bestFit="1" customWidth="1"/>
    <col min="2062" max="2062" width="29.140625" style="523" customWidth="1"/>
    <col min="2063" max="2063" width="5.140625" style="523" customWidth="1"/>
    <col min="2064" max="2304" width="9.140625" style="523"/>
    <col min="2305" max="2305" width="6" style="523" customWidth="1"/>
    <col min="2306" max="2306" width="40.7109375" style="523" customWidth="1"/>
    <col min="2307" max="2307" width="7.28515625" style="523" customWidth="1"/>
    <col min="2308" max="2308" width="12.7109375" style="523" bestFit="1" customWidth="1"/>
    <col min="2309" max="2309" width="14" style="523" bestFit="1" customWidth="1"/>
    <col min="2310" max="2310" width="14.28515625" style="523" customWidth="1"/>
    <col min="2311" max="2311" width="9.85546875" style="523" bestFit="1" customWidth="1"/>
    <col min="2312" max="2312" width="14" style="523" bestFit="1" customWidth="1"/>
    <col min="2313" max="2313" width="9.85546875" style="523" bestFit="1" customWidth="1"/>
    <col min="2314" max="2314" width="14" style="523" bestFit="1" customWidth="1"/>
    <col min="2315" max="2315" width="15.7109375" style="523" bestFit="1" customWidth="1"/>
    <col min="2316" max="2316" width="14" style="523" bestFit="1" customWidth="1"/>
    <col min="2317" max="2317" width="26.85546875" style="523" bestFit="1" customWidth="1"/>
    <col min="2318" max="2318" width="29.140625" style="523" customWidth="1"/>
    <col min="2319" max="2319" width="5.140625" style="523" customWidth="1"/>
    <col min="2320" max="2560" width="9.140625" style="523"/>
    <col min="2561" max="2561" width="6" style="523" customWidth="1"/>
    <col min="2562" max="2562" width="40.7109375" style="523" customWidth="1"/>
    <col min="2563" max="2563" width="7.28515625" style="523" customWidth="1"/>
    <col min="2564" max="2564" width="12.7109375" style="523" bestFit="1" customWidth="1"/>
    <col min="2565" max="2565" width="14" style="523" bestFit="1" customWidth="1"/>
    <col min="2566" max="2566" width="14.28515625" style="523" customWidth="1"/>
    <col min="2567" max="2567" width="9.85546875" style="523" bestFit="1" customWidth="1"/>
    <col min="2568" max="2568" width="14" style="523" bestFit="1" customWidth="1"/>
    <col min="2569" max="2569" width="9.85546875" style="523" bestFit="1" customWidth="1"/>
    <col min="2570" max="2570" width="14" style="523" bestFit="1" customWidth="1"/>
    <col min="2571" max="2571" width="15.7109375" style="523" bestFit="1" customWidth="1"/>
    <col min="2572" max="2572" width="14" style="523" bestFit="1" customWidth="1"/>
    <col min="2573" max="2573" width="26.85546875" style="523" bestFit="1" customWidth="1"/>
    <col min="2574" max="2574" width="29.140625" style="523" customWidth="1"/>
    <col min="2575" max="2575" width="5.140625" style="523" customWidth="1"/>
    <col min="2576" max="2816" width="9.140625" style="523"/>
    <col min="2817" max="2817" width="6" style="523" customWidth="1"/>
    <col min="2818" max="2818" width="40.7109375" style="523" customWidth="1"/>
    <col min="2819" max="2819" width="7.28515625" style="523" customWidth="1"/>
    <col min="2820" max="2820" width="12.7109375" style="523" bestFit="1" customWidth="1"/>
    <col min="2821" max="2821" width="14" style="523" bestFit="1" customWidth="1"/>
    <col min="2822" max="2822" width="14.28515625" style="523" customWidth="1"/>
    <col min="2823" max="2823" width="9.85546875" style="523" bestFit="1" customWidth="1"/>
    <col min="2824" max="2824" width="14" style="523" bestFit="1" customWidth="1"/>
    <col min="2825" max="2825" width="9.85546875" style="523" bestFit="1" customWidth="1"/>
    <col min="2826" max="2826" width="14" style="523" bestFit="1" customWidth="1"/>
    <col min="2827" max="2827" width="15.7109375" style="523" bestFit="1" customWidth="1"/>
    <col min="2828" max="2828" width="14" style="523" bestFit="1" customWidth="1"/>
    <col min="2829" max="2829" width="26.85546875" style="523" bestFit="1" customWidth="1"/>
    <col min="2830" max="2830" width="29.140625" style="523" customWidth="1"/>
    <col min="2831" max="2831" width="5.140625" style="523" customWidth="1"/>
    <col min="2832" max="3072" width="9.140625" style="523"/>
    <col min="3073" max="3073" width="6" style="523" customWidth="1"/>
    <col min="3074" max="3074" width="40.7109375" style="523" customWidth="1"/>
    <col min="3075" max="3075" width="7.28515625" style="523" customWidth="1"/>
    <col min="3076" max="3076" width="12.7109375" style="523" bestFit="1" customWidth="1"/>
    <col min="3077" max="3077" width="14" style="523" bestFit="1" customWidth="1"/>
    <col min="3078" max="3078" width="14.28515625" style="523" customWidth="1"/>
    <col min="3079" max="3079" width="9.85546875" style="523" bestFit="1" customWidth="1"/>
    <col min="3080" max="3080" width="14" style="523" bestFit="1" customWidth="1"/>
    <col min="3081" max="3081" width="9.85546875" style="523" bestFit="1" customWidth="1"/>
    <col min="3082" max="3082" width="14" style="523" bestFit="1" customWidth="1"/>
    <col min="3083" max="3083" width="15.7109375" style="523" bestFit="1" customWidth="1"/>
    <col min="3084" max="3084" width="14" style="523" bestFit="1" customWidth="1"/>
    <col min="3085" max="3085" width="26.85546875" style="523" bestFit="1" customWidth="1"/>
    <col min="3086" max="3086" width="29.140625" style="523" customWidth="1"/>
    <col min="3087" max="3087" width="5.140625" style="523" customWidth="1"/>
    <col min="3088" max="3328" width="9.140625" style="523"/>
    <col min="3329" max="3329" width="6" style="523" customWidth="1"/>
    <col min="3330" max="3330" width="40.7109375" style="523" customWidth="1"/>
    <col min="3331" max="3331" width="7.28515625" style="523" customWidth="1"/>
    <col min="3332" max="3332" width="12.7109375" style="523" bestFit="1" customWidth="1"/>
    <col min="3333" max="3333" width="14" style="523" bestFit="1" customWidth="1"/>
    <col min="3334" max="3334" width="14.28515625" style="523" customWidth="1"/>
    <col min="3335" max="3335" width="9.85546875" style="523" bestFit="1" customWidth="1"/>
    <col min="3336" max="3336" width="14" style="523" bestFit="1" customWidth="1"/>
    <col min="3337" max="3337" width="9.85546875" style="523" bestFit="1" customWidth="1"/>
    <col min="3338" max="3338" width="14" style="523" bestFit="1" customWidth="1"/>
    <col min="3339" max="3339" width="15.7109375" style="523" bestFit="1" customWidth="1"/>
    <col min="3340" max="3340" width="14" style="523" bestFit="1" customWidth="1"/>
    <col min="3341" max="3341" width="26.85546875" style="523" bestFit="1" customWidth="1"/>
    <col min="3342" max="3342" width="29.140625" style="523" customWidth="1"/>
    <col min="3343" max="3343" width="5.140625" style="523" customWidth="1"/>
    <col min="3344" max="3584" width="9.140625" style="523"/>
    <col min="3585" max="3585" width="6" style="523" customWidth="1"/>
    <col min="3586" max="3586" width="40.7109375" style="523" customWidth="1"/>
    <col min="3587" max="3587" width="7.28515625" style="523" customWidth="1"/>
    <col min="3588" max="3588" width="12.7109375" style="523" bestFit="1" customWidth="1"/>
    <col min="3589" max="3589" width="14" style="523" bestFit="1" customWidth="1"/>
    <col min="3590" max="3590" width="14.28515625" style="523" customWidth="1"/>
    <col min="3591" max="3591" width="9.85546875" style="523" bestFit="1" customWidth="1"/>
    <col min="3592" max="3592" width="14" style="523" bestFit="1" customWidth="1"/>
    <col min="3593" max="3593" width="9.85546875" style="523" bestFit="1" customWidth="1"/>
    <col min="3594" max="3594" width="14" style="523" bestFit="1" customWidth="1"/>
    <col min="3595" max="3595" width="15.7109375" style="523" bestFit="1" customWidth="1"/>
    <col min="3596" max="3596" width="14" style="523" bestFit="1" customWidth="1"/>
    <col min="3597" max="3597" width="26.85546875" style="523" bestFit="1" customWidth="1"/>
    <col min="3598" max="3598" width="29.140625" style="523" customWidth="1"/>
    <col min="3599" max="3599" width="5.140625" style="523" customWidth="1"/>
    <col min="3600" max="3840" width="9.140625" style="523"/>
    <col min="3841" max="3841" width="6" style="523" customWidth="1"/>
    <col min="3842" max="3842" width="40.7109375" style="523" customWidth="1"/>
    <col min="3843" max="3843" width="7.28515625" style="523" customWidth="1"/>
    <col min="3844" max="3844" width="12.7109375" style="523" bestFit="1" customWidth="1"/>
    <col min="3845" max="3845" width="14" style="523" bestFit="1" customWidth="1"/>
    <col min="3846" max="3846" width="14.28515625" style="523" customWidth="1"/>
    <col min="3847" max="3847" width="9.85546875" style="523" bestFit="1" customWidth="1"/>
    <col min="3848" max="3848" width="14" style="523" bestFit="1" customWidth="1"/>
    <col min="3849" max="3849" width="9.85546875" style="523" bestFit="1" customWidth="1"/>
    <col min="3850" max="3850" width="14" style="523" bestFit="1" customWidth="1"/>
    <col min="3851" max="3851" width="15.7109375" style="523" bestFit="1" customWidth="1"/>
    <col min="3852" max="3852" width="14" style="523" bestFit="1" customWidth="1"/>
    <col min="3853" max="3853" width="26.85546875" style="523" bestFit="1" customWidth="1"/>
    <col min="3854" max="3854" width="29.140625" style="523" customWidth="1"/>
    <col min="3855" max="3855" width="5.140625" style="523" customWidth="1"/>
    <col min="3856" max="4096" width="9.140625" style="523"/>
    <col min="4097" max="4097" width="6" style="523" customWidth="1"/>
    <col min="4098" max="4098" width="40.7109375" style="523" customWidth="1"/>
    <col min="4099" max="4099" width="7.28515625" style="523" customWidth="1"/>
    <col min="4100" max="4100" width="12.7109375" style="523" bestFit="1" customWidth="1"/>
    <col min="4101" max="4101" width="14" style="523" bestFit="1" customWidth="1"/>
    <col min="4102" max="4102" width="14.28515625" style="523" customWidth="1"/>
    <col min="4103" max="4103" width="9.85546875" style="523" bestFit="1" customWidth="1"/>
    <col min="4104" max="4104" width="14" style="523" bestFit="1" customWidth="1"/>
    <col min="4105" max="4105" width="9.85546875" style="523" bestFit="1" customWidth="1"/>
    <col min="4106" max="4106" width="14" style="523" bestFit="1" customWidth="1"/>
    <col min="4107" max="4107" width="15.7109375" style="523" bestFit="1" customWidth="1"/>
    <col min="4108" max="4108" width="14" style="523" bestFit="1" customWidth="1"/>
    <col min="4109" max="4109" width="26.85546875" style="523" bestFit="1" customWidth="1"/>
    <col min="4110" max="4110" width="29.140625" style="523" customWidth="1"/>
    <col min="4111" max="4111" width="5.140625" style="523" customWidth="1"/>
    <col min="4112" max="4352" width="9.140625" style="523"/>
    <col min="4353" max="4353" width="6" style="523" customWidth="1"/>
    <col min="4354" max="4354" width="40.7109375" style="523" customWidth="1"/>
    <col min="4355" max="4355" width="7.28515625" style="523" customWidth="1"/>
    <col min="4356" max="4356" width="12.7109375" style="523" bestFit="1" customWidth="1"/>
    <col min="4357" max="4357" width="14" style="523" bestFit="1" customWidth="1"/>
    <col min="4358" max="4358" width="14.28515625" style="523" customWidth="1"/>
    <col min="4359" max="4359" width="9.85546875" style="523" bestFit="1" customWidth="1"/>
    <col min="4360" max="4360" width="14" style="523" bestFit="1" customWidth="1"/>
    <col min="4361" max="4361" width="9.85546875" style="523" bestFit="1" customWidth="1"/>
    <col min="4362" max="4362" width="14" style="523" bestFit="1" customWidth="1"/>
    <col min="4363" max="4363" width="15.7109375" style="523" bestFit="1" customWidth="1"/>
    <col min="4364" max="4364" width="14" style="523" bestFit="1" customWidth="1"/>
    <col min="4365" max="4365" width="26.85546875" style="523" bestFit="1" customWidth="1"/>
    <col min="4366" max="4366" width="29.140625" style="523" customWidth="1"/>
    <col min="4367" max="4367" width="5.140625" style="523" customWidth="1"/>
    <col min="4368" max="4608" width="9.140625" style="523"/>
    <col min="4609" max="4609" width="6" style="523" customWidth="1"/>
    <col min="4610" max="4610" width="40.7109375" style="523" customWidth="1"/>
    <col min="4611" max="4611" width="7.28515625" style="523" customWidth="1"/>
    <col min="4612" max="4612" width="12.7109375" style="523" bestFit="1" customWidth="1"/>
    <col min="4613" max="4613" width="14" style="523" bestFit="1" customWidth="1"/>
    <col min="4614" max="4614" width="14.28515625" style="523" customWidth="1"/>
    <col min="4615" max="4615" width="9.85546875" style="523" bestFit="1" customWidth="1"/>
    <col min="4616" max="4616" width="14" style="523" bestFit="1" customWidth="1"/>
    <col min="4617" max="4617" width="9.85546875" style="523" bestFit="1" customWidth="1"/>
    <col min="4618" max="4618" width="14" style="523" bestFit="1" customWidth="1"/>
    <col min="4619" max="4619" width="15.7109375" style="523" bestFit="1" customWidth="1"/>
    <col min="4620" max="4620" width="14" style="523" bestFit="1" customWidth="1"/>
    <col min="4621" max="4621" width="26.85546875" style="523" bestFit="1" customWidth="1"/>
    <col min="4622" max="4622" width="29.140625" style="523" customWidth="1"/>
    <col min="4623" max="4623" width="5.140625" style="523" customWidth="1"/>
    <col min="4624" max="4864" width="9.140625" style="523"/>
    <col min="4865" max="4865" width="6" style="523" customWidth="1"/>
    <col min="4866" max="4866" width="40.7109375" style="523" customWidth="1"/>
    <col min="4867" max="4867" width="7.28515625" style="523" customWidth="1"/>
    <col min="4868" max="4868" width="12.7109375" style="523" bestFit="1" customWidth="1"/>
    <col min="4869" max="4869" width="14" style="523" bestFit="1" customWidth="1"/>
    <col min="4870" max="4870" width="14.28515625" style="523" customWidth="1"/>
    <col min="4871" max="4871" width="9.85546875" style="523" bestFit="1" customWidth="1"/>
    <col min="4872" max="4872" width="14" style="523" bestFit="1" customWidth="1"/>
    <col min="4873" max="4873" width="9.85546875" style="523" bestFit="1" customWidth="1"/>
    <col min="4874" max="4874" width="14" style="523" bestFit="1" customWidth="1"/>
    <col min="4875" max="4875" width="15.7109375" style="523" bestFit="1" customWidth="1"/>
    <col min="4876" max="4876" width="14" style="523" bestFit="1" customWidth="1"/>
    <col min="4877" max="4877" width="26.85546875" style="523" bestFit="1" customWidth="1"/>
    <col min="4878" max="4878" width="29.140625" style="523" customWidth="1"/>
    <col min="4879" max="4879" width="5.140625" style="523" customWidth="1"/>
    <col min="4880" max="5120" width="9.140625" style="523"/>
    <col min="5121" max="5121" width="6" style="523" customWidth="1"/>
    <col min="5122" max="5122" width="40.7109375" style="523" customWidth="1"/>
    <col min="5123" max="5123" width="7.28515625" style="523" customWidth="1"/>
    <col min="5124" max="5124" width="12.7109375" style="523" bestFit="1" customWidth="1"/>
    <col min="5125" max="5125" width="14" style="523" bestFit="1" customWidth="1"/>
    <col min="5126" max="5126" width="14.28515625" style="523" customWidth="1"/>
    <col min="5127" max="5127" width="9.85546875" style="523" bestFit="1" customWidth="1"/>
    <col min="5128" max="5128" width="14" style="523" bestFit="1" customWidth="1"/>
    <col min="5129" max="5129" width="9.85546875" style="523" bestFit="1" customWidth="1"/>
    <col min="5130" max="5130" width="14" style="523" bestFit="1" customWidth="1"/>
    <col min="5131" max="5131" width="15.7109375" style="523" bestFit="1" customWidth="1"/>
    <col min="5132" max="5132" width="14" style="523" bestFit="1" customWidth="1"/>
    <col min="5133" max="5133" width="26.85546875" style="523" bestFit="1" customWidth="1"/>
    <col min="5134" max="5134" width="29.140625" style="523" customWidth="1"/>
    <col min="5135" max="5135" width="5.140625" style="523" customWidth="1"/>
    <col min="5136" max="5376" width="9.140625" style="523"/>
    <col min="5377" max="5377" width="6" style="523" customWidth="1"/>
    <col min="5378" max="5378" width="40.7109375" style="523" customWidth="1"/>
    <col min="5379" max="5379" width="7.28515625" style="523" customWidth="1"/>
    <col min="5380" max="5380" width="12.7109375" style="523" bestFit="1" customWidth="1"/>
    <col min="5381" max="5381" width="14" style="523" bestFit="1" customWidth="1"/>
    <col min="5382" max="5382" width="14.28515625" style="523" customWidth="1"/>
    <col min="5383" max="5383" width="9.85546875" style="523" bestFit="1" customWidth="1"/>
    <col min="5384" max="5384" width="14" style="523" bestFit="1" customWidth="1"/>
    <col min="5385" max="5385" width="9.85546875" style="523" bestFit="1" customWidth="1"/>
    <col min="5386" max="5386" width="14" style="523" bestFit="1" customWidth="1"/>
    <col min="5387" max="5387" width="15.7109375" style="523" bestFit="1" customWidth="1"/>
    <col min="5388" max="5388" width="14" style="523" bestFit="1" customWidth="1"/>
    <col min="5389" max="5389" width="26.85546875" style="523" bestFit="1" customWidth="1"/>
    <col min="5390" max="5390" width="29.140625" style="523" customWidth="1"/>
    <col min="5391" max="5391" width="5.140625" style="523" customWidth="1"/>
    <col min="5392" max="5632" width="9.140625" style="523"/>
    <col min="5633" max="5633" width="6" style="523" customWidth="1"/>
    <col min="5634" max="5634" width="40.7109375" style="523" customWidth="1"/>
    <col min="5635" max="5635" width="7.28515625" style="523" customWidth="1"/>
    <col min="5636" max="5636" width="12.7109375" style="523" bestFit="1" customWidth="1"/>
    <col min="5637" max="5637" width="14" style="523" bestFit="1" customWidth="1"/>
    <col min="5638" max="5638" width="14.28515625" style="523" customWidth="1"/>
    <col min="5639" max="5639" width="9.85546875" style="523" bestFit="1" customWidth="1"/>
    <col min="5640" max="5640" width="14" style="523" bestFit="1" customWidth="1"/>
    <col min="5641" max="5641" width="9.85546875" style="523" bestFit="1" customWidth="1"/>
    <col min="5642" max="5642" width="14" style="523" bestFit="1" customWidth="1"/>
    <col min="5643" max="5643" width="15.7109375" style="523" bestFit="1" customWidth="1"/>
    <col min="5644" max="5644" width="14" style="523" bestFit="1" customWidth="1"/>
    <col min="5645" max="5645" width="26.85546875" style="523" bestFit="1" customWidth="1"/>
    <col min="5646" max="5646" width="29.140625" style="523" customWidth="1"/>
    <col min="5647" max="5647" width="5.140625" style="523" customWidth="1"/>
    <col min="5648" max="5888" width="9.140625" style="523"/>
    <col min="5889" max="5889" width="6" style="523" customWidth="1"/>
    <col min="5890" max="5890" width="40.7109375" style="523" customWidth="1"/>
    <col min="5891" max="5891" width="7.28515625" style="523" customWidth="1"/>
    <col min="5892" max="5892" width="12.7109375" style="523" bestFit="1" customWidth="1"/>
    <col min="5893" max="5893" width="14" style="523" bestFit="1" customWidth="1"/>
    <col min="5894" max="5894" width="14.28515625" style="523" customWidth="1"/>
    <col min="5895" max="5895" width="9.85546875" style="523" bestFit="1" customWidth="1"/>
    <col min="5896" max="5896" width="14" style="523" bestFit="1" customWidth="1"/>
    <col min="5897" max="5897" width="9.85546875" style="523" bestFit="1" customWidth="1"/>
    <col min="5898" max="5898" width="14" style="523" bestFit="1" customWidth="1"/>
    <col min="5899" max="5899" width="15.7109375" style="523" bestFit="1" customWidth="1"/>
    <col min="5900" max="5900" width="14" style="523" bestFit="1" customWidth="1"/>
    <col min="5901" max="5901" width="26.85546875" style="523" bestFit="1" customWidth="1"/>
    <col min="5902" max="5902" width="29.140625" style="523" customWidth="1"/>
    <col min="5903" max="5903" width="5.140625" style="523" customWidth="1"/>
    <col min="5904" max="6144" width="9.140625" style="523"/>
    <col min="6145" max="6145" width="6" style="523" customWidth="1"/>
    <col min="6146" max="6146" width="40.7109375" style="523" customWidth="1"/>
    <col min="6147" max="6147" width="7.28515625" style="523" customWidth="1"/>
    <col min="6148" max="6148" width="12.7109375" style="523" bestFit="1" customWidth="1"/>
    <col min="6149" max="6149" width="14" style="523" bestFit="1" customWidth="1"/>
    <col min="6150" max="6150" width="14.28515625" style="523" customWidth="1"/>
    <col min="6151" max="6151" width="9.85546875" style="523" bestFit="1" customWidth="1"/>
    <col min="6152" max="6152" width="14" style="523" bestFit="1" customWidth="1"/>
    <col min="6153" max="6153" width="9.85546875" style="523" bestFit="1" customWidth="1"/>
    <col min="6154" max="6154" width="14" style="523" bestFit="1" customWidth="1"/>
    <col min="6155" max="6155" width="15.7109375" style="523" bestFit="1" customWidth="1"/>
    <col min="6156" max="6156" width="14" style="523" bestFit="1" customWidth="1"/>
    <col min="6157" max="6157" width="26.85546875" style="523" bestFit="1" customWidth="1"/>
    <col min="6158" max="6158" width="29.140625" style="523" customWidth="1"/>
    <col min="6159" max="6159" width="5.140625" style="523" customWidth="1"/>
    <col min="6160" max="6400" width="9.140625" style="523"/>
    <col min="6401" max="6401" width="6" style="523" customWidth="1"/>
    <col min="6402" max="6402" width="40.7109375" style="523" customWidth="1"/>
    <col min="6403" max="6403" width="7.28515625" style="523" customWidth="1"/>
    <col min="6404" max="6404" width="12.7109375" style="523" bestFit="1" customWidth="1"/>
    <col min="6405" max="6405" width="14" style="523" bestFit="1" customWidth="1"/>
    <col min="6406" max="6406" width="14.28515625" style="523" customWidth="1"/>
    <col min="6407" max="6407" width="9.85546875" style="523" bestFit="1" customWidth="1"/>
    <col min="6408" max="6408" width="14" style="523" bestFit="1" customWidth="1"/>
    <col min="6409" max="6409" width="9.85546875" style="523" bestFit="1" customWidth="1"/>
    <col min="6410" max="6410" width="14" style="523" bestFit="1" customWidth="1"/>
    <col min="6411" max="6411" width="15.7109375" style="523" bestFit="1" customWidth="1"/>
    <col min="6412" max="6412" width="14" style="523" bestFit="1" customWidth="1"/>
    <col min="6413" max="6413" width="26.85546875" style="523" bestFit="1" customWidth="1"/>
    <col min="6414" max="6414" width="29.140625" style="523" customWidth="1"/>
    <col min="6415" max="6415" width="5.140625" style="523" customWidth="1"/>
    <col min="6416" max="6656" width="9.140625" style="523"/>
    <col min="6657" max="6657" width="6" style="523" customWidth="1"/>
    <col min="6658" max="6658" width="40.7109375" style="523" customWidth="1"/>
    <col min="6659" max="6659" width="7.28515625" style="523" customWidth="1"/>
    <col min="6660" max="6660" width="12.7109375" style="523" bestFit="1" customWidth="1"/>
    <col min="6661" max="6661" width="14" style="523" bestFit="1" customWidth="1"/>
    <col min="6662" max="6662" width="14.28515625" style="523" customWidth="1"/>
    <col min="6663" max="6663" width="9.85546875" style="523" bestFit="1" customWidth="1"/>
    <col min="6664" max="6664" width="14" style="523" bestFit="1" customWidth="1"/>
    <col min="6665" max="6665" width="9.85546875" style="523" bestFit="1" customWidth="1"/>
    <col min="6666" max="6666" width="14" style="523" bestFit="1" customWidth="1"/>
    <col min="6667" max="6667" width="15.7109375" style="523" bestFit="1" customWidth="1"/>
    <col min="6668" max="6668" width="14" style="523" bestFit="1" customWidth="1"/>
    <col min="6669" max="6669" width="26.85546875" style="523" bestFit="1" customWidth="1"/>
    <col min="6670" max="6670" width="29.140625" style="523" customWidth="1"/>
    <col min="6671" max="6671" width="5.140625" style="523" customWidth="1"/>
    <col min="6672" max="6912" width="9.140625" style="523"/>
    <col min="6913" max="6913" width="6" style="523" customWidth="1"/>
    <col min="6914" max="6914" width="40.7109375" style="523" customWidth="1"/>
    <col min="6915" max="6915" width="7.28515625" style="523" customWidth="1"/>
    <col min="6916" max="6916" width="12.7109375" style="523" bestFit="1" customWidth="1"/>
    <col min="6917" max="6917" width="14" style="523" bestFit="1" customWidth="1"/>
    <col min="6918" max="6918" width="14.28515625" style="523" customWidth="1"/>
    <col min="6919" max="6919" width="9.85546875" style="523" bestFit="1" customWidth="1"/>
    <col min="6920" max="6920" width="14" style="523" bestFit="1" customWidth="1"/>
    <col min="6921" max="6921" width="9.85546875" style="523" bestFit="1" customWidth="1"/>
    <col min="6922" max="6922" width="14" style="523" bestFit="1" customWidth="1"/>
    <col min="6923" max="6923" width="15.7109375" style="523" bestFit="1" customWidth="1"/>
    <col min="6924" max="6924" width="14" style="523" bestFit="1" customWidth="1"/>
    <col min="6925" max="6925" width="26.85546875" style="523" bestFit="1" customWidth="1"/>
    <col min="6926" max="6926" width="29.140625" style="523" customWidth="1"/>
    <col min="6927" max="6927" width="5.140625" style="523" customWidth="1"/>
    <col min="6928" max="7168" width="9.140625" style="523"/>
    <col min="7169" max="7169" width="6" style="523" customWidth="1"/>
    <col min="7170" max="7170" width="40.7109375" style="523" customWidth="1"/>
    <col min="7171" max="7171" width="7.28515625" style="523" customWidth="1"/>
    <col min="7172" max="7172" width="12.7109375" style="523" bestFit="1" customWidth="1"/>
    <col min="7173" max="7173" width="14" style="523" bestFit="1" customWidth="1"/>
    <col min="7174" max="7174" width="14.28515625" style="523" customWidth="1"/>
    <col min="7175" max="7175" width="9.85546875" style="523" bestFit="1" customWidth="1"/>
    <col min="7176" max="7176" width="14" style="523" bestFit="1" customWidth="1"/>
    <col min="7177" max="7177" width="9.85546875" style="523" bestFit="1" customWidth="1"/>
    <col min="7178" max="7178" width="14" style="523" bestFit="1" customWidth="1"/>
    <col min="7179" max="7179" width="15.7109375" style="523" bestFit="1" customWidth="1"/>
    <col min="7180" max="7180" width="14" style="523" bestFit="1" customWidth="1"/>
    <col min="7181" max="7181" width="26.85546875" style="523" bestFit="1" customWidth="1"/>
    <col min="7182" max="7182" width="29.140625" style="523" customWidth="1"/>
    <col min="7183" max="7183" width="5.140625" style="523" customWidth="1"/>
    <col min="7184" max="7424" width="9.140625" style="523"/>
    <col min="7425" max="7425" width="6" style="523" customWidth="1"/>
    <col min="7426" max="7426" width="40.7109375" style="523" customWidth="1"/>
    <col min="7427" max="7427" width="7.28515625" style="523" customWidth="1"/>
    <col min="7428" max="7428" width="12.7109375" style="523" bestFit="1" customWidth="1"/>
    <col min="7429" max="7429" width="14" style="523" bestFit="1" customWidth="1"/>
    <col min="7430" max="7430" width="14.28515625" style="523" customWidth="1"/>
    <col min="7431" max="7431" width="9.85546875" style="523" bestFit="1" customWidth="1"/>
    <col min="7432" max="7432" width="14" style="523" bestFit="1" customWidth="1"/>
    <col min="7433" max="7433" width="9.85546875" style="523" bestFit="1" customWidth="1"/>
    <col min="7434" max="7434" width="14" style="523" bestFit="1" customWidth="1"/>
    <col min="7435" max="7435" width="15.7109375" style="523" bestFit="1" customWidth="1"/>
    <col min="7436" max="7436" width="14" style="523" bestFit="1" customWidth="1"/>
    <col min="7437" max="7437" width="26.85546875" style="523" bestFit="1" customWidth="1"/>
    <col min="7438" max="7438" width="29.140625" style="523" customWidth="1"/>
    <col min="7439" max="7439" width="5.140625" style="523" customWidth="1"/>
    <col min="7440" max="7680" width="9.140625" style="523"/>
    <col min="7681" max="7681" width="6" style="523" customWidth="1"/>
    <col min="7682" max="7682" width="40.7109375" style="523" customWidth="1"/>
    <col min="7683" max="7683" width="7.28515625" style="523" customWidth="1"/>
    <col min="7684" max="7684" width="12.7109375" style="523" bestFit="1" customWidth="1"/>
    <col min="7685" max="7685" width="14" style="523" bestFit="1" customWidth="1"/>
    <col min="7686" max="7686" width="14.28515625" style="523" customWidth="1"/>
    <col min="7687" max="7687" width="9.85546875" style="523" bestFit="1" customWidth="1"/>
    <col min="7688" max="7688" width="14" style="523" bestFit="1" customWidth="1"/>
    <col min="7689" max="7689" width="9.85546875" style="523" bestFit="1" customWidth="1"/>
    <col min="7690" max="7690" width="14" style="523" bestFit="1" customWidth="1"/>
    <col min="7691" max="7691" width="15.7109375" style="523" bestFit="1" customWidth="1"/>
    <col min="7692" max="7692" width="14" style="523" bestFit="1" customWidth="1"/>
    <col min="7693" max="7693" width="26.85546875" style="523" bestFit="1" customWidth="1"/>
    <col min="7694" max="7694" width="29.140625" style="523" customWidth="1"/>
    <col min="7695" max="7695" width="5.140625" style="523" customWidth="1"/>
    <col min="7696" max="7936" width="9.140625" style="523"/>
    <col min="7937" max="7937" width="6" style="523" customWidth="1"/>
    <col min="7938" max="7938" width="40.7109375" style="523" customWidth="1"/>
    <col min="7939" max="7939" width="7.28515625" style="523" customWidth="1"/>
    <col min="7940" max="7940" width="12.7109375" style="523" bestFit="1" customWidth="1"/>
    <col min="7941" max="7941" width="14" style="523" bestFit="1" customWidth="1"/>
    <col min="7942" max="7942" width="14.28515625" style="523" customWidth="1"/>
    <col min="7943" max="7943" width="9.85546875" style="523" bestFit="1" customWidth="1"/>
    <col min="7944" max="7944" width="14" style="523" bestFit="1" customWidth="1"/>
    <col min="7945" max="7945" width="9.85546875" style="523" bestFit="1" customWidth="1"/>
    <col min="7946" max="7946" width="14" style="523" bestFit="1" customWidth="1"/>
    <col min="7947" max="7947" width="15.7109375" style="523" bestFit="1" customWidth="1"/>
    <col min="7948" max="7948" width="14" style="523" bestFit="1" customWidth="1"/>
    <col min="7949" max="7949" width="26.85546875" style="523" bestFit="1" customWidth="1"/>
    <col min="7950" max="7950" width="29.140625" style="523" customWidth="1"/>
    <col min="7951" max="7951" width="5.140625" style="523" customWidth="1"/>
    <col min="7952" max="8192" width="9.140625" style="523"/>
    <col min="8193" max="8193" width="6" style="523" customWidth="1"/>
    <col min="8194" max="8194" width="40.7109375" style="523" customWidth="1"/>
    <col min="8195" max="8195" width="7.28515625" style="523" customWidth="1"/>
    <col min="8196" max="8196" width="12.7109375" style="523" bestFit="1" customWidth="1"/>
    <col min="8197" max="8197" width="14" style="523" bestFit="1" customWidth="1"/>
    <col min="8198" max="8198" width="14.28515625" style="523" customWidth="1"/>
    <col min="8199" max="8199" width="9.85546875" style="523" bestFit="1" customWidth="1"/>
    <col min="8200" max="8200" width="14" style="523" bestFit="1" customWidth="1"/>
    <col min="8201" max="8201" width="9.85546875" style="523" bestFit="1" customWidth="1"/>
    <col min="8202" max="8202" width="14" style="523" bestFit="1" customWidth="1"/>
    <col min="8203" max="8203" width="15.7109375" style="523" bestFit="1" customWidth="1"/>
    <col min="8204" max="8204" width="14" style="523" bestFit="1" customWidth="1"/>
    <col min="8205" max="8205" width="26.85546875" style="523" bestFit="1" customWidth="1"/>
    <col min="8206" max="8206" width="29.140625" style="523" customWidth="1"/>
    <col min="8207" max="8207" width="5.140625" style="523" customWidth="1"/>
    <col min="8208" max="8448" width="9.140625" style="523"/>
    <col min="8449" max="8449" width="6" style="523" customWidth="1"/>
    <col min="8450" max="8450" width="40.7109375" style="523" customWidth="1"/>
    <col min="8451" max="8451" width="7.28515625" style="523" customWidth="1"/>
    <col min="8452" max="8452" width="12.7109375" style="523" bestFit="1" customWidth="1"/>
    <col min="8453" max="8453" width="14" style="523" bestFit="1" customWidth="1"/>
    <col min="8454" max="8454" width="14.28515625" style="523" customWidth="1"/>
    <col min="8455" max="8455" width="9.85546875" style="523" bestFit="1" customWidth="1"/>
    <col min="8456" max="8456" width="14" style="523" bestFit="1" customWidth="1"/>
    <col min="8457" max="8457" width="9.85546875" style="523" bestFit="1" customWidth="1"/>
    <col min="8458" max="8458" width="14" style="523" bestFit="1" customWidth="1"/>
    <col min="8459" max="8459" width="15.7109375" style="523" bestFit="1" customWidth="1"/>
    <col min="8460" max="8460" width="14" style="523" bestFit="1" customWidth="1"/>
    <col min="8461" max="8461" width="26.85546875" style="523" bestFit="1" customWidth="1"/>
    <col min="8462" max="8462" width="29.140625" style="523" customWidth="1"/>
    <col min="8463" max="8463" width="5.140625" style="523" customWidth="1"/>
    <col min="8464" max="8704" width="9.140625" style="523"/>
    <col min="8705" max="8705" width="6" style="523" customWidth="1"/>
    <col min="8706" max="8706" width="40.7109375" style="523" customWidth="1"/>
    <col min="8707" max="8707" width="7.28515625" style="523" customWidth="1"/>
    <col min="8708" max="8708" width="12.7109375" style="523" bestFit="1" customWidth="1"/>
    <col min="8709" max="8709" width="14" style="523" bestFit="1" customWidth="1"/>
    <col min="8710" max="8710" width="14.28515625" style="523" customWidth="1"/>
    <col min="8711" max="8711" width="9.85546875" style="523" bestFit="1" customWidth="1"/>
    <col min="8712" max="8712" width="14" style="523" bestFit="1" customWidth="1"/>
    <col min="8713" max="8713" width="9.85546875" style="523" bestFit="1" customWidth="1"/>
    <col min="8714" max="8714" width="14" style="523" bestFit="1" customWidth="1"/>
    <col min="8715" max="8715" width="15.7109375" style="523" bestFit="1" customWidth="1"/>
    <col min="8716" max="8716" width="14" style="523" bestFit="1" customWidth="1"/>
    <col min="8717" max="8717" width="26.85546875" style="523" bestFit="1" customWidth="1"/>
    <col min="8718" max="8718" width="29.140625" style="523" customWidth="1"/>
    <col min="8719" max="8719" width="5.140625" style="523" customWidth="1"/>
    <col min="8720" max="8960" width="9.140625" style="523"/>
    <col min="8961" max="8961" width="6" style="523" customWidth="1"/>
    <col min="8962" max="8962" width="40.7109375" style="523" customWidth="1"/>
    <col min="8963" max="8963" width="7.28515625" style="523" customWidth="1"/>
    <col min="8964" max="8964" width="12.7109375" style="523" bestFit="1" customWidth="1"/>
    <col min="8965" max="8965" width="14" style="523" bestFit="1" customWidth="1"/>
    <col min="8966" max="8966" width="14.28515625" style="523" customWidth="1"/>
    <col min="8967" max="8967" width="9.85546875" style="523" bestFit="1" customWidth="1"/>
    <col min="8968" max="8968" width="14" style="523" bestFit="1" customWidth="1"/>
    <col min="8969" max="8969" width="9.85546875" style="523" bestFit="1" customWidth="1"/>
    <col min="8970" max="8970" width="14" style="523" bestFit="1" customWidth="1"/>
    <col min="8971" max="8971" width="15.7109375" style="523" bestFit="1" customWidth="1"/>
    <col min="8972" max="8972" width="14" style="523" bestFit="1" customWidth="1"/>
    <col min="8973" max="8973" width="26.85546875" style="523" bestFit="1" customWidth="1"/>
    <col min="8974" max="8974" width="29.140625" style="523" customWidth="1"/>
    <col min="8975" max="8975" width="5.140625" style="523" customWidth="1"/>
    <col min="8976" max="9216" width="9.140625" style="523"/>
    <col min="9217" max="9217" width="6" style="523" customWidth="1"/>
    <col min="9218" max="9218" width="40.7109375" style="523" customWidth="1"/>
    <col min="9219" max="9219" width="7.28515625" style="523" customWidth="1"/>
    <col min="9220" max="9220" width="12.7109375" style="523" bestFit="1" customWidth="1"/>
    <col min="9221" max="9221" width="14" style="523" bestFit="1" customWidth="1"/>
    <col min="9222" max="9222" width="14.28515625" style="523" customWidth="1"/>
    <col min="9223" max="9223" width="9.85546875" style="523" bestFit="1" customWidth="1"/>
    <col min="9224" max="9224" width="14" style="523" bestFit="1" customWidth="1"/>
    <col min="9225" max="9225" width="9.85546875" style="523" bestFit="1" customWidth="1"/>
    <col min="9226" max="9226" width="14" style="523" bestFit="1" customWidth="1"/>
    <col min="9227" max="9227" width="15.7109375" style="523" bestFit="1" customWidth="1"/>
    <col min="9228" max="9228" width="14" style="523" bestFit="1" customWidth="1"/>
    <col min="9229" max="9229" width="26.85546875" style="523" bestFit="1" customWidth="1"/>
    <col min="9230" max="9230" width="29.140625" style="523" customWidth="1"/>
    <col min="9231" max="9231" width="5.140625" style="523" customWidth="1"/>
    <col min="9232" max="9472" width="9.140625" style="523"/>
    <col min="9473" max="9473" width="6" style="523" customWidth="1"/>
    <col min="9474" max="9474" width="40.7109375" style="523" customWidth="1"/>
    <col min="9475" max="9475" width="7.28515625" style="523" customWidth="1"/>
    <col min="9476" max="9476" width="12.7109375" style="523" bestFit="1" customWidth="1"/>
    <col min="9477" max="9477" width="14" style="523" bestFit="1" customWidth="1"/>
    <col min="9478" max="9478" width="14.28515625" style="523" customWidth="1"/>
    <col min="9479" max="9479" width="9.85546875" style="523" bestFit="1" customWidth="1"/>
    <col min="9480" max="9480" width="14" style="523" bestFit="1" customWidth="1"/>
    <col min="9481" max="9481" width="9.85546875" style="523" bestFit="1" customWidth="1"/>
    <col min="9482" max="9482" width="14" style="523" bestFit="1" customWidth="1"/>
    <col min="9483" max="9483" width="15.7109375" style="523" bestFit="1" customWidth="1"/>
    <col min="9484" max="9484" width="14" style="523" bestFit="1" customWidth="1"/>
    <col min="9485" max="9485" width="26.85546875" style="523" bestFit="1" customWidth="1"/>
    <col min="9486" max="9486" width="29.140625" style="523" customWidth="1"/>
    <col min="9487" max="9487" width="5.140625" style="523" customWidth="1"/>
    <col min="9488" max="9728" width="9.140625" style="523"/>
    <col min="9729" max="9729" width="6" style="523" customWidth="1"/>
    <col min="9730" max="9730" width="40.7109375" style="523" customWidth="1"/>
    <col min="9731" max="9731" width="7.28515625" style="523" customWidth="1"/>
    <col min="9732" max="9732" width="12.7109375" style="523" bestFit="1" customWidth="1"/>
    <col min="9733" max="9733" width="14" style="523" bestFit="1" customWidth="1"/>
    <col min="9734" max="9734" width="14.28515625" style="523" customWidth="1"/>
    <col min="9735" max="9735" width="9.85546875" style="523" bestFit="1" customWidth="1"/>
    <col min="9736" max="9736" width="14" style="523" bestFit="1" customWidth="1"/>
    <col min="9737" max="9737" width="9.85546875" style="523" bestFit="1" customWidth="1"/>
    <col min="9738" max="9738" width="14" style="523" bestFit="1" customWidth="1"/>
    <col min="9739" max="9739" width="15.7109375" style="523" bestFit="1" customWidth="1"/>
    <col min="9740" max="9740" width="14" style="523" bestFit="1" customWidth="1"/>
    <col min="9741" max="9741" width="26.85546875" style="523" bestFit="1" customWidth="1"/>
    <col min="9742" max="9742" width="29.140625" style="523" customWidth="1"/>
    <col min="9743" max="9743" width="5.140625" style="523" customWidth="1"/>
    <col min="9744" max="9984" width="9.140625" style="523"/>
    <col min="9985" max="9985" width="6" style="523" customWidth="1"/>
    <col min="9986" max="9986" width="40.7109375" style="523" customWidth="1"/>
    <col min="9987" max="9987" width="7.28515625" style="523" customWidth="1"/>
    <col min="9988" max="9988" width="12.7109375" style="523" bestFit="1" customWidth="1"/>
    <col min="9989" max="9989" width="14" style="523" bestFit="1" customWidth="1"/>
    <col min="9990" max="9990" width="14.28515625" style="523" customWidth="1"/>
    <col min="9991" max="9991" width="9.85546875" style="523" bestFit="1" customWidth="1"/>
    <col min="9992" max="9992" width="14" style="523" bestFit="1" customWidth="1"/>
    <col min="9993" max="9993" width="9.85546875" style="523" bestFit="1" customWidth="1"/>
    <col min="9994" max="9994" width="14" style="523" bestFit="1" customWidth="1"/>
    <col min="9995" max="9995" width="15.7109375" style="523" bestFit="1" customWidth="1"/>
    <col min="9996" max="9996" width="14" style="523" bestFit="1" customWidth="1"/>
    <col min="9997" max="9997" width="26.85546875" style="523" bestFit="1" customWidth="1"/>
    <col min="9998" max="9998" width="29.140625" style="523" customWidth="1"/>
    <col min="9999" max="9999" width="5.140625" style="523" customWidth="1"/>
    <col min="10000" max="10240" width="9.140625" style="523"/>
    <col min="10241" max="10241" width="6" style="523" customWidth="1"/>
    <col min="10242" max="10242" width="40.7109375" style="523" customWidth="1"/>
    <col min="10243" max="10243" width="7.28515625" style="523" customWidth="1"/>
    <col min="10244" max="10244" width="12.7109375" style="523" bestFit="1" customWidth="1"/>
    <col min="10245" max="10245" width="14" style="523" bestFit="1" customWidth="1"/>
    <col min="10246" max="10246" width="14.28515625" style="523" customWidth="1"/>
    <col min="10247" max="10247" width="9.85546875" style="523" bestFit="1" customWidth="1"/>
    <col min="10248" max="10248" width="14" style="523" bestFit="1" customWidth="1"/>
    <col min="10249" max="10249" width="9.85546875" style="523" bestFit="1" customWidth="1"/>
    <col min="10250" max="10250" width="14" style="523" bestFit="1" customWidth="1"/>
    <col min="10251" max="10251" width="15.7109375" style="523" bestFit="1" customWidth="1"/>
    <col min="10252" max="10252" width="14" style="523" bestFit="1" customWidth="1"/>
    <col min="10253" max="10253" width="26.85546875" style="523" bestFit="1" customWidth="1"/>
    <col min="10254" max="10254" width="29.140625" style="523" customWidth="1"/>
    <col min="10255" max="10255" width="5.140625" style="523" customWidth="1"/>
    <col min="10256" max="10496" width="9.140625" style="523"/>
    <col min="10497" max="10497" width="6" style="523" customWidth="1"/>
    <col min="10498" max="10498" width="40.7109375" style="523" customWidth="1"/>
    <col min="10499" max="10499" width="7.28515625" style="523" customWidth="1"/>
    <col min="10500" max="10500" width="12.7109375" style="523" bestFit="1" customWidth="1"/>
    <col min="10501" max="10501" width="14" style="523" bestFit="1" customWidth="1"/>
    <col min="10502" max="10502" width="14.28515625" style="523" customWidth="1"/>
    <col min="10503" max="10503" width="9.85546875" style="523" bestFit="1" customWidth="1"/>
    <col min="10504" max="10504" width="14" style="523" bestFit="1" customWidth="1"/>
    <col min="10505" max="10505" width="9.85546875" style="523" bestFit="1" customWidth="1"/>
    <col min="10506" max="10506" width="14" style="523" bestFit="1" customWidth="1"/>
    <col min="10507" max="10507" width="15.7109375" style="523" bestFit="1" customWidth="1"/>
    <col min="10508" max="10508" width="14" style="523" bestFit="1" customWidth="1"/>
    <col min="10509" max="10509" width="26.85546875" style="523" bestFit="1" customWidth="1"/>
    <col min="10510" max="10510" width="29.140625" style="523" customWidth="1"/>
    <col min="10511" max="10511" width="5.140625" style="523" customWidth="1"/>
    <col min="10512" max="10752" width="9.140625" style="523"/>
    <col min="10753" max="10753" width="6" style="523" customWidth="1"/>
    <col min="10754" max="10754" width="40.7109375" style="523" customWidth="1"/>
    <col min="10755" max="10755" width="7.28515625" style="523" customWidth="1"/>
    <col min="10756" max="10756" width="12.7109375" style="523" bestFit="1" customWidth="1"/>
    <col min="10757" max="10757" width="14" style="523" bestFit="1" customWidth="1"/>
    <col min="10758" max="10758" width="14.28515625" style="523" customWidth="1"/>
    <col min="10759" max="10759" width="9.85546875" style="523" bestFit="1" customWidth="1"/>
    <col min="10760" max="10760" width="14" style="523" bestFit="1" customWidth="1"/>
    <col min="10761" max="10761" width="9.85546875" style="523" bestFit="1" customWidth="1"/>
    <col min="10762" max="10762" width="14" style="523" bestFit="1" customWidth="1"/>
    <col min="10763" max="10763" width="15.7109375" style="523" bestFit="1" customWidth="1"/>
    <col min="10764" max="10764" width="14" style="523" bestFit="1" customWidth="1"/>
    <col min="10765" max="10765" width="26.85546875" style="523" bestFit="1" customWidth="1"/>
    <col min="10766" max="10766" width="29.140625" style="523" customWidth="1"/>
    <col min="10767" max="10767" width="5.140625" style="523" customWidth="1"/>
    <col min="10768" max="11008" width="9.140625" style="523"/>
    <col min="11009" max="11009" width="6" style="523" customWidth="1"/>
    <col min="11010" max="11010" width="40.7109375" style="523" customWidth="1"/>
    <col min="11011" max="11011" width="7.28515625" style="523" customWidth="1"/>
    <col min="11012" max="11012" width="12.7109375" style="523" bestFit="1" customWidth="1"/>
    <col min="11013" max="11013" width="14" style="523" bestFit="1" customWidth="1"/>
    <col min="11014" max="11014" width="14.28515625" style="523" customWidth="1"/>
    <col min="11015" max="11015" width="9.85546875" style="523" bestFit="1" customWidth="1"/>
    <col min="11016" max="11016" width="14" style="523" bestFit="1" customWidth="1"/>
    <col min="11017" max="11017" width="9.85546875" style="523" bestFit="1" customWidth="1"/>
    <col min="11018" max="11018" width="14" style="523" bestFit="1" customWidth="1"/>
    <col min="11019" max="11019" width="15.7109375" style="523" bestFit="1" customWidth="1"/>
    <col min="11020" max="11020" width="14" style="523" bestFit="1" customWidth="1"/>
    <col min="11021" max="11021" width="26.85546875" style="523" bestFit="1" customWidth="1"/>
    <col min="11022" max="11022" width="29.140625" style="523" customWidth="1"/>
    <col min="11023" max="11023" width="5.140625" style="523" customWidth="1"/>
    <col min="11024" max="11264" width="9.140625" style="523"/>
    <col min="11265" max="11265" width="6" style="523" customWidth="1"/>
    <col min="11266" max="11266" width="40.7109375" style="523" customWidth="1"/>
    <col min="11267" max="11267" width="7.28515625" style="523" customWidth="1"/>
    <col min="11268" max="11268" width="12.7109375" style="523" bestFit="1" customWidth="1"/>
    <col min="11269" max="11269" width="14" style="523" bestFit="1" customWidth="1"/>
    <col min="11270" max="11270" width="14.28515625" style="523" customWidth="1"/>
    <col min="11271" max="11271" width="9.85546875" style="523" bestFit="1" customWidth="1"/>
    <col min="11272" max="11272" width="14" style="523" bestFit="1" customWidth="1"/>
    <col min="11273" max="11273" width="9.85546875" style="523" bestFit="1" customWidth="1"/>
    <col min="11274" max="11274" width="14" style="523" bestFit="1" customWidth="1"/>
    <col min="11275" max="11275" width="15.7109375" style="523" bestFit="1" customWidth="1"/>
    <col min="11276" max="11276" width="14" style="523" bestFit="1" customWidth="1"/>
    <col min="11277" max="11277" width="26.85546875" style="523" bestFit="1" customWidth="1"/>
    <col min="11278" max="11278" width="29.140625" style="523" customWidth="1"/>
    <col min="11279" max="11279" width="5.140625" style="523" customWidth="1"/>
    <col min="11280" max="11520" width="9.140625" style="523"/>
    <col min="11521" max="11521" width="6" style="523" customWidth="1"/>
    <col min="11522" max="11522" width="40.7109375" style="523" customWidth="1"/>
    <col min="11523" max="11523" width="7.28515625" style="523" customWidth="1"/>
    <col min="11524" max="11524" width="12.7109375" style="523" bestFit="1" customWidth="1"/>
    <col min="11525" max="11525" width="14" style="523" bestFit="1" customWidth="1"/>
    <col min="11526" max="11526" width="14.28515625" style="523" customWidth="1"/>
    <col min="11527" max="11527" width="9.85546875" style="523" bestFit="1" customWidth="1"/>
    <col min="11528" max="11528" width="14" style="523" bestFit="1" customWidth="1"/>
    <col min="11529" max="11529" width="9.85546875" style="523" bestFit="1" customWidth="1"/>
    <col min="11530" max="11530" width="14" style="523" bestFit="1" customWidth="1"/>
    <col min="11531" max="11531" width="15.7109375" style="523" bestFit="1" customWidth="1"/>
    <col min="11532" max="11532" width="14" style="523" bestFit="1" customWidth="1"/>
    <col min="11533" max="11533" width="26.85546875" style="523" bestFit="1" customWidth="1"/>
    <col min="11534" max="11534" width="29.140625" style="523" customWidth="1"/>
    <col min="11535" max="11535" width="5.140625" style="523" customWidth="1"/>
    <col min="11536" max="11776" width="9.140625" style="523"/>
    <col min="11777" max="11777" width="6" style="523" customWidth="1"/>
    <col min="11778" max="11778" width="40.7109375" style="523" customWidth="1"/>
    <col min="11779" max="11779" width="7.28515625" style="523" customWidth="1"/>
    <col min="11780" max="11780" width="12.7109375" style="523" bestFit="1" customWidth="1"/>
    <col min="11781" max="11781" width="14" style="523" bestFit="1" customWidth="1"/>
    <col min="11782" max="11782" width="14.28515625" style="523" customWidth="1"/>
    <col min="11783" max="11783" width="9.85546875" style="523" bestFit="1" customWidth="1"/>
    <col min="11784" max="11784" width="14" style="523" bestFit="1" customWidth="1"/>
    <col min="11785" max="11785" width="9.85546875" style="523" bestFit="1" customWidth="1"/>
    <col min="11786" max="11786" width="14" style="523" bestFit="1" customWidth="1"/>
    <col min="11787" max="11787" width="15.7109375" style="523" bestFit="1" customWidth="1"/>
    <col min="11788" max="11788" width="14" style="523" bestFit="1" customWidth="1"/>
    <col min="11789" max="11789" width="26.85546875" style="523" bestFit="1" customWidth="1"/>
    <col min="11790" max="11790" width="29.140625" style="523" customWidth="1"/>
    <col min="11791" max="11791" width="5.140625" style="523" customWidth="1"/>
    <col min="11792" max="12032" width="9.140625" style="523"/>
    <col min="12033" max="12033" width="6" style="523" customWidth="1"/>
    <col min="12034" max="12034" width="40.7109375" style="523" customWidth="1"/>
    <col min="12035" max="12035" width="7.28515625" style="523" customWidth="1"/>
    <col min="12036" max="12036" width="12.7109375" style="523" bestFit="1" customWidth="1"/>
    <col min="12037" max="12037" width="14" style="523" bestFit="1" customWidth="1"/>
    <col min="12038" max="12038" width="14.28515625" style="523" customWidth="1"/>
    <col min="12039" max="12039" width="9.85546875" style="523" bestFit="1" customWidth="1"/>
    <col min="12040" max="12040" width="14" style="523" bestFit="1" customWidth="1"/>
    <col min="12041" max="12041" width="9.85546875" style="523" bestFit="1" customWidth="1"/>
    <col min="12042" max="12042" width="14" style="523" bestFit="1" customWidth="1"/>
    <col min="12043" max="12043" width="15.7109375" style="523" bestFit="1" customWidth="1"/>
    <col min="12044" max="12044" width="14" style="523" bestFit="1" customWidth="1"/>
    <col min="12045" max="12045" width="26.85546875" style="523" bestFit="1" customWidth="1"/>
    <col min="12046" max="12046" width="29.140625" style="523" customWidth="1"/>
    <col min="12047" max="12047" width="5.140625" style="523" customWidth="1"/>
    <col min="12048" max="12288" width="9.140625" style="523"/>
    <col min="12289" max="12289" width="6" style="523" customWidth="1"/>
    <col min="12290" max="12290" width="40.7109375" style="523" customWidth="1"/>
    <col min="12291" max="12291" width="7.28515625" style="523" customWidth="1"/>
    <col min="12292" max="12292" width="12.7109375" style="523" bestFit="1" customWidth="1"/>
    <col min="12293" max="12293" width="14" style="523" bestFit="1" customWidth="1"/>
    <col min="12294" max="12294" width="14.28515625" style="523" customWidth="1"/>
    <col min="12295" max="12295" width="9.85546875" style="523" bestFit="1" customWidth="1"/>
    <col min="12296" max="12296" width="14" style="523" bestFit="1" customWidth="1"/>
    <col min="12297" max="12297" width="9.85546875" style="523" bestFit="1" customWidth="1"/>
    <col min="12298" max="12298" width="14" style="523" bestFit="1" customWidth="1"/>
    <col min="12299" max="12299" width="15.7109375" style="523" bestFit="1" customWidth="1"/>
    <col min="12300" max="12300" width="14" style="523" bestFit="1" customWidth="1"/>
    <col min="12301" max="12301" width="26.85546875" style="523" bestFit="1" customWidth="1"/>
    <col min="12302" max="12302" width="29.140625" style="523" customWidth="1"/>
    <col min="12303" max="12303" width="5.140625" style="523" customWidth="1"/>
    <col min="12304" max="12544" width="9.140625" style="523"/>
    <col min="12545" max="12545" width="6" style="523" customWidth="1"/>
    <col min="12546" max="12546" width="40.7109375" style="523" customWidth="1"/>
    <col min="12547" max="12547" width="7.28515625" style="523" customWidth="1"/>
    <col min="12548" max="12548" width="12.7109375" style="523" bestFit="1" customWidth="1"/>
    <col min="12549" max="12549" width="14" style="523" bestFit="1" customWidth="1"/>
    <col min="12550" max="12550" width="14.28515625" style="523" customWidth="1"/>
    <col min="12551" max="12551" width="9.85546875" style="523" bestFit="1" customWidth="1"/>
    <col min="12552" max="12552" width="14" style="523" bestFit="1" customWidth="1"/>
    <col min="12553" max="12553" width="9.85546875" style="523" bestFit="1" customWidth="1"/>
    <col min="12554" max="12554" width="14" style="523" bestFit="1" customWidth="1"/>
    <col min="12555" max="12555" width="15.7109375" style="523" bestFit="1" customWidth="1"/>
    <col min="12556" max="12556" width="14" style="523" bestFit="1" customWidth="1"/>
    <col min="12557" max="12557" width="26.85546875" style="523" bestFit="1" customWidth="1"/>
    <col min="12558" max="12558" width="29.140625" style="523" customWidth="1"/>
    <col min="12559" max="12559" width="5.140625" style="523" customWidth="1"/>
    <col min="12560" max="12800" width="9.140625" style="523"/>
    <col min="12801" max="12801" width="6" style="523" customWidth="1"/>
    <col min="12802" max="12802" width="40.7109375" style="523" customWidth="1"/>
    <col min="12803" max="12803" width="7.28515625" style="523" customWidth="1"/>
    <col min="12804" max="12804" width="12.7109375" style="523" bestFit="1" customWidth="1"/>
    <col min="12805" max="12805" width="14" style="523" bestFit="1" customWidth="1"/>
    <col min="12806" max="12806" width="14.28515625" style="523" customWidth="1"/>
    <col min="12807" max="12807" width="9.85546875" style="523" bestFit="1" customWidth="1"/>
    <col min="12808" max="12808" width="14" style="523" bestFit="1" customWidth="1"/>
    <col min="12809" max="12809" width="9.85546875" style="523" bestFit="1" customWidth="1"/>
    <col min="12810" max="12810" width="14" style="523" bestFit="1" customWidth="1"/>
    <col min="12811" max="12811" width="15.7109375" style="523" bestFit="1" customWidth="1"/>
    <col min="12812" max="12812" width="14" style="523" bestFit="1" customWidth="1"/>
    <col min="12813" max="12813" width="26.85546875" style="523" bestFit="1" customWidth="1"/>
    <col min="12814" max="12814" width="29.140625" style="523" customWidth="1"/>
    <col min="12815" max="12815" width="5.140625" style="523" customWidth="1"/>
    <col min="12816" max="13056" width="9.140625" style="523"/>
    <col min="13057" max="13057" width="6" style="523" customWidth="1"/>
    <col min="13058" max="13058" width="40.7109375" style="523" customWidth="1"/>
    <col min="13059" max="13059" width="7.28515625" style="523" customWidth="1"/>
    <col min="13060" max="13060" width="12.7109375" style="523" bestFit="1" customWidth="1"/>
    <col min="13061" max="13061" width="14" style="523" bestFit="1" customWidth="1"/>
    <col min="13062" max="13062" width="14.28515625" style="523" customWidth="1"/>
    <col min="13063" max="13063" width="9.85546875" style="523" bestFit="1" customWidth="1"/>
    <col min="13064" max="13064" width="14" style="523" bestFit="1" customWidth="1"/>
    <col min="13065" max="13065" width="9.85546875" style="523" bestFit="1" customWidth="1"/>
    <col min="13066" max="13066" width="14" style="523" bestFit="1" customWidth="1"/>
    <col min="13067" max="13067" width="15.7109375" style="523" bestFit="1" customWidth="1"/>
    <col min="13068" max="13068" width="14" style="523" bestFit="1" customWidth="1"/>
    <col min="13069" max="13069" width="26.85546875" style="523" bestFit="1" customWidth="1"/>
    <col min="13070" max="13070" width="29.140625" style="523" customWidth="1"/>
    <col min="13071" max="13071" width="5.140625" style="523" customWidth="1"/>
    <col min="13072" max="13312" width="9.140625" style="523"/>
    <col min="13313" max="13313" width="6" style="523" customWidth="1"/>
    <col min="13314" max="13314" width="40.7109375" style="523" customWidth="1"/>
    <col min="13315" max="13315" width="7.28515625" style="523" customWidth="1"/>
    <col min="13316" max="13316" width="12.7109375" style="523" bestFit="1" customWidth="1"/>
    <col min="13317" max="13317" width="14" style="523" bestFit="1" customWidth="1"/>
    <col min="13318" max="13318" width="14.28515625" style="523" customWidth="1"/>
    <col min="13319" max="13319" width="9.85546875" style="523" bestFit="1" customWidth="1"/>
    <col min="13320" max="13320" width="14" style="523" bestFit="1" customWidth="1"/>
    <col min="13321" max="13321" width="9.85546875" style="523" bestFit="1" customWidth="1"/>
    <col min="13322" max="13322" width="14" style="523" bestFit="1" customWidth="1"/>
    <col min="13323" max="13323" width="15.7109375" style="523" bestFit="1" customWidth="1"/>
    <col min="13324" max="13324" width="14" style="523" bestFit="1" customWidth="1"/>
    <col min="13325" max="13325" width="26.85546875" style="523" bestFit="1" customWidth="1"/>
    <col min="13326" max="13326" width="29.140625" style="523" customWidth="1"/>
    <col min="13327" max="13327" width="5.140625" style="523" customWidth="1"/>
    <col min="13328" max="13568" width="9.140625" style="523"/>
    <col min="13569" max="13569" width="6" style="523" customWidth="1"/>
    <col min="13570" max="13570" width="40.7109375" style="523" customWidth="1"/>
    <col min="13571" max="13571" width="7.28515625" style="523" customWidth="1"/>
    <col min="13572" max="13572" width="12.7109375" style="523" bestFit="1" customWidth="1"/>
    <col min="13573" max="13573" width="14" style="523" bestFit="1" customWidth="1"/>
    <col min="13574" max="13574" width="14.28515625" style="523" customWidth="1"/>
    <col min="13575" max="13575" width="9.85546875" style="523" bestFit="1" customWidth="1"/>
    <col min="13576" max="13576" width="14" style="523" bestFit="1" customWidth="1"/>
    <col min="13577" max="13577" width="9.85546875" style="523" bestFit="1" customWidth="1"/>
    <col min="13578" max="13578" width="14" style="523" bestFit="1" customWidth="1"/>
    <col min="13579" max="13579" width="15.7109375" style="523" bestFit="1" customWidth="1"/>
    <col min="13580" max="13580" width="14" style="523" bestFit="1" customWidth="1"/>
    <col min="13581" max="13581" width="26.85546875" style="523" bestFit="1" customWidth="1"/>
    <col min="13582" max="13582" width="29.140625" style="523" customWidth="1"/>
    <col min="13583" max="13583" width="5.140625" style="523" customWidth="1"/>
    <col min="13584" max="13824" width="9.140625" style="523"/>
    <col min="13825" max="13825" width="6" style="523" customWidth="1"/>
    <col min="13826" max="13826" width="40.7109375" style="523" customWidth="1"/>
    <col min="13827" max="13827" width="7.28515625" style="523" customWidth="1"/>
    <col min="13828" max="13828" width="12.7109375" style="523" bestFit="1" customWidth="1"/>
    <col min="13829" max="13829" width="14" style="523" bestFit="1" customWidth="1"/>
    <col min="13830" max="13830" width="14.28515625" style="523" customWidth="1"/>
    <col min="13831" max="13831" width="9.85546875" style="523" bestFit="1" customWidth="1"/>
    <col min="13832" max="13832" width="14" style="523" bestFit="1" customWidth="1"/>
    <col min="13833" max="13833" width="9.85546875" style="523" bestFit="1" customWidth="1"/>
    <col min="13834" max="13834" width="14" style="523" bestFit="1" customWidth="1"/>
    <col min="13835" max="13835" width="15.7109375" style="523" bestFit="1" customWidth="1"/>
    <col min="13836" max="13836" width="14" style="523" bestFit="1" customWidth="1"/>
    <col min="13837" max="13837" width="26.85546875" style="523" bestFit="1" customWidth="1"/>
    <col min="13838" max="13838" width="29.140625" style="523" customWidth="1"/>
    <col min="13839" max="13839" width="5.140625" style="523" customWidth="1"/>
    <col min="13840" max="14080" width="9.140625" style="523"/>
    <col min="14081" max="14081" width="6" style="523" customWidth="1"/>
    <col min="14082" max="14082" width="40.7109375" style="523" customWidth="1"/>
    <col min="14083" max="14083" width="7.28515625" style="523" customWidth="1"/>
    <col min="14084" max="14084" width="12.7109375" style="523" bestFit="1" customWidth="1"/>
    <col min="14085" max="14085" width="14" style="523" bestFit="1" customWidth="1"/>
    <col min="14086" max="14086" width="14.28515625" style="523" customWidth="1"/>
    <col min="14087" max="14087" width="9.85546875" style="523" bestFit="1" customWidth="1"/>
    <col min="14088" max="14088" width="14" style="523" bestFit="1" customWidth="1"/>
    <col min="14089" max="14089" width="9.85546875" style="523" bestFit="1" customWidth="1"/>
    <col min="14090" max="14090" width="14" style="523" bestFit="1" customWidth="1"/>
    <col min="14091" max="14091" width="15.7109375" style="523" bestFit="1" customWidth="1"/>
    <col min="14092" max="14092" width="14" style="523" bestFit="1" customWidth="1"/>
    <col min="14093" max="14093" width="26.85546875" style="523" bestFit="1" customWidth="1"/>
    <col min="14094" max="14094" width="29.140625" style="523" customWidth="1"/>
    <col min="14095" max="14095" width="5.140625" style="523" customWidth="1"/>
    <col min="14096" max="14336" width="9.140625" style="523"/>
    <col min="14337" max="14337" width="6" style="523" customWidth="1"/>
    <col min="14338" max="14338" width="40.7109375" style="523" customWidth="1"/>
    <col min="14339" max="14339" width="7.28515625" style="523" customWidth="1"/>
    <col min="14340" max="14340" width="12.7109375" style="523" bestFit="1" customWidth="1"/>
    <col min="14341" max="14341" width="14" style="523" bestFit="1" customWidth="1"/>
    <col min="14342" max="14342" width="14.28515625" style="523" customWidth="1"/>
    <col min="14343" max="14343" width="9.85546875" style="523" bestFit="1" customWidth="1"/>
    <col min="14344" max="14344" width="14" style="523" bestFit="1" customWidth="1"/>
    <col min="14345" max="14345" width="9.85546875" style="523" bestFit="1" customWidth="1"/>
    <col min="14346" max="14346" width="14" style="523" bestFit="1" customWidth="1"/>
    <col min="14347" max="14347" width="15.7109375" style="523" bestFit="1" customWidth="1"/>
    <col min="14348" max="14348" width="14" style="523" bestFit="1" customWidth="1"/>
    <col min="14349" max="14349" width="26.85546875" style="523" bestFit="1" customWidth="1"/>
    <col min="14350" max="14350" width="29.140625" style="523" customWidth="1"/>
    <col min="14351" max="14351" width="5.140625" style="523" customWidth="1"/>
    <col min="14352" max="14592" width="9.140625" style="523"/>
    <col min="14593" max="14593" width="6" style="523" customWidth="1"/>
    <col min="14594" max="14594" width="40.7109375" style="523" customWidth="1"/>
    <col min="14595" max="14595" width="7.28515625" style="523" customWidth="1"/>
    <col min="14596" max="14596" width="12.7109375" style="523" bestFit="1" customWidth="1"/>
    <col min="14597" max="14597" width="14" style="523" bestFit="1" customWidth="1"/>
    <col min="14598" max="14598" width="14.28515625" style="523" customWidth="1"/>
    <col min="14599" max="14599" width="9.85546875" style="523" bestFit="1" customWidth="1"/>
    <col min="14600" max="14600" width="14" style="523" bestFit="1" customWidth="1"/>
    <col min="14601" max="14601" width="9.85546875" style="523" bestFit="1" customWidth="1"/>
    <col min="14602" max="14602" width="14" style="523" bestFit="1" customWidth="1"/>
    <col min="14603" max="14603" width="15.7109375" style="523" bestFit="1" customWidth="1"/>
    <col min="14604" max="14604" width="14" style="523" bestFit="1" customWidth="1"/>
    <col min="14605" max="14605" width="26.85546875" style="523" bestFit="1" customWidth="1"/>
    <col min="14606" max="14606" width="29.140625" style="523" customWidth="1"/>
    <col min="14607" max="14607" width="5.140625" style="523" customWidth="1"/>
    <col min="14608" max="14848" width="9.140625" style="523"/>
    <col min="14849" max="14849" width="6" style="523" customWidth="1"/>
    <col min="14850" max="14850" width="40.7109375" style="523" customWidth="1"/>
    <col min="14851" max="14851" width="7.28515625" style="523" customWidth="1"/>
    <col min="14852" max="14852" width="12.7109375" style="523" bestFit="1" customWidth="1"/>
    <col min="14853" max="14853" width="14" style="523" bestFit="1" customWidth="1"/>
    <col min="14854" max="14854" width="14.28515625" style="523" customWidth="1"/>
    <col min="14855" max="14855" width="9.85546875" style="523" bestFit="1" customWidth="1"/>
    <col min="14856" max="14856" width="14" style="523" bestFit="1" customWidth="1"/>
    <col min="14857" max="14857" width="9.85546875" style="523" bestFit="1" customWidth="1"/>
    <col min="14858" max="14858" width="14" style="523" bestFit="1" customWidth="1"/>
    <col min="14859" max="14859" width="15.7109375" style="523" bestFit="1" customWidth="1"/>
    <col min="14860" max="14860" width="14" style="523" bestFit="1" customWidth="1"/>
    <col min="14861" max="14861" width="26.85546875" style="523" bestFit="1" customWidth="1"/>
    <col min="14862" max="14862" width="29.140625" style="523" customWidth="1"/>
    <col min="14863" max="14863" width="5.140625" style="523" customWidth="1"/>
    <col min="14864" max="15104" width="9.140625" style="523"/>
    <col min="15105" max="15105" width="6" style="523" customWidth="1"/>
    <col min="15106" max="15106" width="40.7109375" style="523" customWidth="1"/>
    <col min="15107" max="15107" width="7.28515625" style="523" customWidth="1"/>
    <col min="15108" max="15108" width="12.7109375" style="523" bestFit="1" customWidth="1"/>
    <col min="15109" max="15109" width="14" style="523" bestFit="1" customWidth="1"/>
    <col min="15110" max="15110" width="14.28515625" style="523" customWidth="1"/>
    <col min="15111" max="15111" width="9.85546875" style="523" bestFit="1" customWidth="1"/>
    <col min="15112" max="15112" width="14" style="523" bestFit="1" customWidth="1"/>
    <col min="15113" max="15113" width="9.85546875" style="523" bestFit="1" customWidth="1"/>
    <col min="15114" max="15114" width="14" style="523" bestFit="1" customWidth="1"/>
    <col min="15115" max="15115" width="15.7109375" style="523" bestFit="1" customWidth="1"/>
    <col min="15116" max="15116" width="14" style="523" bestFit="1" customWidth="1"/>
    <col min="15117" max="15117" width="26.85546875" style="523" bestFit="1" customWidth="1"/>
    <col min="15118" max="15118" width="29.140625" style="523" customWidth="1"/>
    <col min="15119" max="15119" width="5.140625" style="523" customWidth="1"/>
    <col min="15120" max="15360" width="9.140625" style="523"/>
    <col min="15361" max="15361" width="6" style="523" customWidth="1"/>
    <col min="15362" max="15362" width="40.7109375" style="523" customWidth="1"/>
    <col min="15363" max="15363" width="7.28515625" style="523" customWidth="1"/>
    <col min="15364" max="15364" width="12.7109375" style="523" bestFit="1" customWidth="1"/>
    <col min="15365" max="15365" width="14" style="523" bestFit="1" customWidth="1"/>
    <col min="15366" max="15366" width="14.28515625" style="523" customWidth="1"/>
    <col min="15367" max="15367" width="9.85546875" style="523" bestFit="1" customWidth="1"/>
    <col min="15368" max="15368" width="14" style="523" bestFit="1" customWidth="1"/>
    <col min="15369" max="15369" width="9.85546875" style="523" bestFit="1" customWidth="1"/>
    <col min="15370" max="15370" width="14" style="523" bestFit="1" customWidth="1"/>
    <col min="15371" max="15371" width="15.7109375" style="523" bestFit="1" customWidth="1"/>
    <col min="15372" max="15372" width="14" style="523" bestFit="1" customWidth="1"/>
    <col min="15373" max="15373" width="26.85546875" style="523" bestFit="1" customWidth="1"/>
    <col min="15374" max="15374" width="29.140625" style="523" customWidth="1"/>
    <col min="15375" max="15375" width="5.140625" style="523" customWidth="1"/>
    <col min="15376" max="15616" width="9.140625" style="523"/>
    <col min="15617" max="15617" width="6" style="523" customWidth="1"/>
    <col min="15618" max="15618" width="40.7109375" style="523" customWidth="1"/>
    <col min="15619" max="15619" width="7.28515625" style="523" customWidth="1"/>
    <col min="15620" max="15620" width="12.7109375" style="523" bestFit="1" customWidth="1"/>
    <col min="15621" max="15621" width="14" style="523" bestFit="1" customWidth="1"/>
    <col min="15622" max="15622" width="14.28515625" style="523" customWidth="1"/>
    <col min="15623" max="15623" width="9.85546875" style="523" bestFit="1" customWidth="1"/>
    <col min="15624" max="15624" width="14" style="523" bestFit="1" customWidth="1"/>
    <col min="15625" max="15625" width="9.85546875" style="523" bestFit="1" customWidth="1"/>
    <col min="15626" max="15626" width="14" style="523" bestFit="1" customWidth="1"/>
    <col min="15627" max="15627" width="15.7109375" style="523" bestFit="1" customWidth="1"/>
    <col min="15628" max="15628" width="14" style="523" bestFit="1" customWidth="1"/>
    <col min="15629" max="15629" width="26.85546875" style="523" bestFit="1" customWidth="1"/>
    <col min="15630" max="15630" width="29.140625" style="523" customWidth="1"/>
    <col min="15631" max="15631" width="5.140625" style="523" customWidth="1"/>
    <col min="15632" max="15872" width="9.140625" style="523"/>
    <col min="15873" max="15873" width="6" style="523" customWidth="1"/>
    <col min="15874" max="15874" width="40.7109375" style="523" customWidth="1"/>
    <col min="15875" max="15875" width="7.28515625" style="523" customWidth="1"/>
    <col min="15876" max="15876" width="12.7109375" style="523" bestFit="1" customWidth="1"/>
    <col min="15877" max="15877" width="14" style="523" bestFit="1" customWidth="1"/>
    <col min="15878" max="15878" width="14.28515625" style="523" customWidth="1"/>
    <col min="15879" max="15879" width="9.85546875" style="523" bestFit="1" customWidth="1"/>
    <col min="15880" max="15880" width="14" style="523" bestFit="1" customWidth="1"/>
    <col min="15881" max="15881" width="9.85546875" style="523" bestFit="1" customWidth="1"/>
    <col min="15882" max="15882" width="14" style="523" bestFit="1" customWidth="1"/>
    <col min="15883" max="15883" width="15.7109375" style="523" bestFit="1" customWidth="1"/>
    <col min="15884" max="15884" width="14" style="523" bestFit="1" customWidth="1"/>
    <col min="15885" max="15885" width="26.85546875" style="523" bestFit="1" customWidth="1"/>
    <col min="15886" max="15886" width="29.140625" style="523" customWidth="1"/>
    <col min="15887" max="15887" width="5.140625" style="523" customWidth="1"/>
    <col min="15888" max="16128" width="9.140625" style="523"/>
    <col min="16129" max="16129" width="6" style="523" customWidth="1"/>
    <col min="16130" max="16130" width="40.7109375" style="523" customWidth="1"/>
    <col min="16131" max="16131" width="7.28515625" style="523" customWidth="1"/>
    <col min="16132" max="16132" width="12.7109375" style="523" bestFit="1" customWidth="1"/>
    <col min="16133" max="16133" width="14" style="523" bestFit="1" customWidth="1"/>
    <col min="16134" max="16134" width="14.28515625" style="523" customWidth="1"/>
    <col min="16135" max="16135" width="9.85546875" style="523" bestFit="1" customWidth="1"/>
    <col min="16136" max="16136" width="14" style="523" bestFit="1" customWidth="1"/>
    <col min="16137" max="16137" width="9.85546875" style="523" bestFit="1" customWidth="1"/>
    <col min="16138" max="16138" width="14" style="523" bestFit="1" customWidth="1"/>
    <col min="16139" max="16139" width="15.7109375" style="523" bestFit="1" customWidth="1"/>
    <col min="16140" max="16140" width="14" style="523" bestFit="1" customWidth="1"/>
    <col min="16141" max="16141" width="26.85546875" style="523" bestFit="1" customWidth="1"/>
    <col min="16142" max="16142" width="29.140625" style="523" customWidth="1"/>
    <col min="16143" max="16143" width="5.140625" style="523" customWidth="1"/>
    <col min="16144" max="16384" width="9.140625" style="523"/>
  </cols>
  <sheetData>
    <row r="1" spans="1:19">
      <c r="C1" s="523" t="s">
        <v>1546</v>
      </c>
      <c r="G1" s="1383" t="s">
        <v>1020</v>
      </c>
    </row>
    <row r="3" spans="1:19">
      <c r="M3" s="695"/>
      <c r="N3" s="699"/>
      <c r="O3" s="699"/>
      <c r="P3" s="695"/>
      <c r="Q3" s="695"/>
      <c r="R3" s="695"/>
      <c r="S3" s="695"/>
    </row>
    <row r="4" spans="1:19" ht="19.5" customHeight="1">
      <c r="B4" s="700" t="s">
        <v>1545</v>
      </c>
      <c r="C4" s="2428">
        <f>F13</f>
        <v>593100000</v>
      </c>
      <c r="D4" s="2428"/>
      <c r="E4" s="700" t="s">
        <v>202</v>
      </c>
      <c r="F4" s="2302"/>
      <c r="G4" s="2302"/>
      <c r="H4" s="2302"/>
      <c r="I4" s="2302"/>
      <c r="J4" s="2302"/>
      <c r="M4" s="695"/>
      <c r="N4" s="699"/>
      <c r="O4" s="699"/>
      <c r="P4" s="695"/>
      <c r="Q4" s="695"/>
      <c r="R4" s="695"/>
      <c r="S4" s="695"/>
    </row>
    <row r="5" spans="1:19" ht="19.5" customHeight="1">
      <c r="B5" s="700" t="s">
        <v>1544</v>
      </c>
      <c r="C5" s="2428">
        <f>C4-C6</f>
        <v>193100000</v>
      </c>
      <c r="D5" s="2428"/>
      <c r="E5" s="700" t="s">
        <v>202</v>
      </c>
      <c r="F5" s="2302"/>
      <c r="G5" s="2302"/>
      <c r="H5" s="2302"/>
      <c r="I5" s="2302"/>
      <c r="J5" s="2302"/>
      <c r="M5" s="695"/>
      <c r="N5" s="699"/>
      <c r="O5" s="699"/>
      <c r="P5" s="695"/>
      <c r="Q5" s="695"/>
      <c r="R5" s="695"/>
      <c r="S5" s="695"/>
    </row>
    <row r="6" spans="1:19" ht="19.5" customHeight="1">
      <c r="B6" s="700" t="s">
        <v>1543</v>
      </c>
      <c r="C6" s="2428">
        <f>N8</f>
        <v>400000000</v>
      </c>
      <c r="D6" s="2428"/>
      <c r="E6" s="700" t="s">
        <v>202</v>
      </c>
      <c r="F6" s="2302"/>
      <c r="G6" s="2302"/>
      <c r="H6" s="2302"/>
      <c r="I6" s="2302"/>
      <c r="J6" s="2302"/>
      <c r="M6" s="695" t="s">
        <v>1542</v>
      </c>
      <c r="N6" s="699"/>
      <c r="O6" s="699"/>
      <c r="P6" s="695"/>
      <c r="Q6" s="695"/>
      <c r="R6" s="695"/>
      <c r="S6" s="695"/>
    </row>
    <row r="7" spans="1:19" ht="19.5" customHeight="1">
      <c r="B7" s="700"/>
      <c r="C7" s="2302"/>
      <c r="D7" s="2302"/>
      <c r="E7" s="2302"/>
      <c r="F7" s="2302"/>
      <c r="G7" s="2302"/>
      <c r="H7" s="2302"/>
      <c r="I7" s="2302"/>
      <c r="J7" s="2302"/>
      <c r="M7" s="699" t="s">
        <v>1541</v>
      </c>
      <c r="N7" s="697">
        <v>20</v>
      </c>
      <c r="O7" s="695" t="s">
        <v>8</v>
      </c>
      <c r="Q7" s="695"/>
      <c r="R7" s="695"/>
      <c r="S7" s="695"/>
    </row>
    <row r="8" spans="1:19">
      <c r="A8" s="524" t="s">
        <v>1534</v>
      </c>
      <c r="B8" s="524" t="s">
        <v>1540</v>
      </c>
      <c r="C8" s="524"/>
      <c r="D8" s="620"/>
      <c r="I8" s="615"/>
      <c r="J8" s="615"/>
      <c r="M8" s="699" t="s">
        <v>12</v>
      </c>
      <c r="N8" s="698">
        <v>400000000</v>
      </c>
      <c r="O8" s="695" t="s">
        <v>1539</v>
      </c>
      <c r="P8" s="695"/>
      <c r="Q8" s="695"/>
      <c r="R8" s="695"/>
      <c r="S8" s="695"/>
    </row>
    <row r="9" spans="1:19" ht="17.25" thickBot="1">
      <c r="D9" s="620"/>
      <c r="H9" s="615"/>
      <c r="I9" s="615"/>
      <c r="J9" s="615"/>
      <c r="L9" s="615" t="s">
        <v>1263</v>
      </c>
      <c r="M9" s="695" t="s">
        <v>1538</v>
      </c>
      <c r="N9" s="697">
        <v>10</v>
      </c>
      <c r="O9" s="695" t="s">
        <v>1537</v>
      </c>
      <c r="P9" s="695"/>
      <c r="Q9" s="695"/>
      <c r="R9" s="695"/>
      <c r="S9" s="695"/>
    </row>
    <row r="10" spans="1:19" ht="17.25" thickTop="1">
      <c r="A10" s="2463" t="s">
        <v>97</v>
      </c>
      <c r="B10" s="2465" t="s">
        <v>1294</v>
      </c>
      <c r="C10" s="2307" t="s">
        <v>1293</v>
      </c>
      <c r="D10" s="2307" t="s">
        <v>1388</v>
      </c>
      <c r="E10" s="2461" t="s">
        <v>1536</v>
      </c>
      <c r="F10" s="2461"/>
      <c r="G10" s="2461" t="s">
        <v>1034</v>
      </c>
      <c r="H10" s="2461"/>
      <c r="I10" s="2461" t="s">
        <v>1033</v>
      </c>
      <c r="J10" s="2461"/>
      <c r="K10" s="2461" t="s">
        <v>1508</v>
      </c>
      <c r="L10" s="2462"/>
      <c r="M10" s="696"/>
      <c r="N10" s="696"/>
      <c r="O10" s="696"/>
      <c r="P10" s="696"/>
      <c r="Q10" s="695"/>
      <c r="R10" s="695"/>
      <c r="S10" s="695"/>
    </row>
    <row r="11" spans="1:19">
      <c r="A11" s="2464"/>
      <c r="B11" s="2466"/>
      <c r="C11" s="694" t="s">
        <v>1535</v>
      </c>
      <c r="D11" s="694" t="s">
        <v>1290</v>
      </c>
      <c r="E11" s="693" t="s">
        <v>1</v>
      </c>
      <c r="F11" s="693" t="s">
        <v>4</v>
      </c>
      <c r="G11" s="693" t="s">
        <v>1</v>
      </c>
      <c r="H11" s="693" t="s">
        <v>4</v>
      </c>
      <c r="I11" s="693" t="s">
        <v>1</v>
      </c>
      <c r="J11" s="693" t="s">
        <v>4</v>
      </c>
      <c r="K11" s="693" t="s">
        <v>1</v>
      </c>
      <c r="L11" s="692" t="s">
        <v>4</v>
      </c>
    </row>
    <row r="12" spans="1:19" s="588" customFormat="1" ht="21" customHeight="1">
      <c r="A12" s="2309" t="s">
        <v>1534</v>
      </c>
      <c r="B12" s="672" t="s">
        <v>1351</v>
      </c>
      <c r="C12" s="576"/>
      <c r="D12" s="576"/>
      <c r="E12" s="671"/>
      <c r="F12" s="670">
        <f>F13+F20+F23</f>
        <v>701100000</v>
      </c>
      <c r="G12" s="670"/>
      <c r="H12" s="670">
        <f>H13+H20+H23</f>
        <v>257100000</v>
      </c>
      <c r="I12" s="670"/>
      <c r="J12" s="670">
        <f>J13+J20+J23</f>
        <v>247100000</v>
      </c>
      <c r="K12" s="670"/>
      <c r="L12" s="670">
        <f>L13+L20+L23</f>
        <v>236100000</v>
      </c>
      <c r="M12" s="688">
        <f>C5/$C$4</f>
        <v>0.32557747428764122</v>
      </c>
      <c r="N12" s="523"/>
      <c r="O12" s="523"/>
      <c r="P12" s="523"/>
      <c r="Q12" s="523"/>
      <c r="R12" s="523"/>
      <c r="S12" s="523"/>
    </row>
    <row r="13" spans="1:19" s="588" customFormat="1" ht="21" customHeight="1">
      <c r="A13" s="2309"/>
      <c r="B13" s="672" t="s">
        <v>1533</v>
      </c>
      <c r="C13" s="678"/>
      <c r="D13" s="677"/>
      <c r="E13" s="691"/>
      <c r="F13" s="670">
        <f>SUM(F14:F19)</f>
        <v>593100000</v>
      </c>
      <c r="G13" s="670"/>
      <c r="H13" s="690">
        <f>SUM(H14:H19)</f>
        <v>153100000</v>
      </c>
      <c r="I13" s="670"/>
      <c r="J13" s="690">
        <f>SUM(J14:J19)</f>
        <v>153100000</v>
      </c>
      <c r="K13" s="670"/>
      <c r="L13" s="689">
        <f>SUM(L14:L19)</f>
        <v>153100000</v>
      </c>
      <c r="M13" s="688">
        <f>C6/$C$4</f>
        <v>0.67442252571235883</v>
      </c>
      <c r="N13" s="523"/>
      <c r="O13" s="523"/>
      <c r="P13" s="523"/>
      <c r="Q13" s="523"/>
      <c r="R13" s="523"/>
      <c r="S13" s="523"/>
    </row>
    <row r="14" spans="1:19" ht="21" customHeight="1">
      <c r="A14" s="2309" t="s">
        <v>1493</v>
      </c>
      <c r="B14" s="589" t="s">
        <v>1532</v>
      </c>
      <c r="C14" s="676" t="s">
        <v>8</v>
      </c>
      <c r="D14" s="2303">
        <v>22000000</v>
      </c>
      <c r="E14" s="675">
        <f>N7</f>
        <v>20</v>
      </c>
      <c r="F14" s="674">
        <f>E14*D14</f>
        <v>440000000</v>
      </c>
      <c r="G14" s="682"/>
      <c r="H14" s="674">
        <f>G14*D14</f>
        <v>0</v>
      </c>
      <c r="I14" s="682"/>
      <c r="J14" s="674">
        <f>I14*F14</f>
        <v>0</v>
      </c>
      <c r="K14" s="682"/>
      <c r="L14" s="673">
        <f>K14*H14</f>
        <v>0</v>
      </c>
    </row>
    <row r="15" spans="1:19" ht="21" customHeight="1">
      <c r="A15" s="2309" t="s">
        <v>1491</v>
      </c>
      <c r="B15" s="589" t="s">
        <v>1531</v>
      </c>
      <c r="C15" s="676" t="s">
        <v>11</v>
      </c>
      <c r="D15" s="2303">
        <v>8000</v>
      </c>
      <c r="E15" s="675">
        <f>+E14*360</f>
        <v>7200</v>
      </c>
      <c r="F15" s="674">
        <f>E15*D15</f>
        <v>57600000</v>
      </c>
      <c r="G15" s="674">
        <f>E15</f>
        <v>7200</v>
      </c>
      <c r="H15" s="674">
        <f>G15*D15</f>
        <v>57600000</v>
      </c>
      <c r="I15" s="674">
        <f t="shared" ref="I15:L19" si="0">G15</f>
        <v>7200</v>
      </c>
      <c r="J15" s="674">
        <f t="shared" si="0"/>
        <v>57600000</v>
      </c>
      <c r="K15" s="674">
        <f t="shared" si="0"/>
        <v>7200</v>
      </c>
      <c r="L15" s="673">
        <f t="shared" si="0"/>
        <v>57600000</v>
      </c>
    </row>
    <row r="16" spans="1:19" ht="21" customHeight="1">
      <c r="A16" s="2309" t="s">
        <v>1530</v>
      </c>
      <c r="B16" s="589" t="s">
        <v>1529</v>
      </c>
      <c r="C16" s="676" t="s">
        <v>11</v>
      </c>
      <c r="D16" s="2303">
        <v>350</v>
      </c>
      <c r="E16" s="675">
        <f>5500*E14</f>
        <v>110000</v>
      </c>
      <c r="F16" s="674">
        <f>D16*E16</f>
        <v>38500000</v>
      </c>
      <c r="G16" s="674">
        <f>E16</f>
        <v>110000</v>
      </c>
      <c r="H16" s="674">
        <f>D16*G16</f>
        <v>38500000</v>
      </c>
      <c r="I16" s="674">
        <f t="shared" si="0"/>
        <v>110000</v>
      </c>
      <c r="J16" s="674">
        <f t="shared" si="0"/>
        <v>38500000</v>
      </c>
      <c r="K16" s="674">
        <f t="shared" si="0"/>
        <v>110000</v>
      </c>
      <c r="L16" s="673">
        <f t="shared" si="0"/>
        <v>38500000</v>
      </c>
    </row>
    <row r="17" spans="1:19" ht="21" customHeight="1">
      <c r="A17" s="2309" t="s">
        <v>1528</v>
      </c>
      <c r="B17" s="589" t="s">
        <v>1527</v>
      </c>
      <c r="C17" s="676" t="s">
        <v>1270</v>
      </c>
      <c r="D17" s="2303"/>
      <c r="E17" s="675"/>
      <c r="F17" s="674">
        <v>2000000</v>
      </c>
      <c r="G17" s="674"/>
      <c r="H17" s="674">
        <f>F17</f>
        <v>2000000</v>
      </c>
      <c r="I17" s="674">
        <f t="shared" si="0"/>
        <v>0</v>
      </c>
      <c r="J17" s="674">
        <f t="shared" si="0"/>
        <v>2000000</v>
      </c>
      <c r="K17" s="674">
        <f t="shared" si="0"/>
        <v>0</v>
      </c>
      <c r="L17" s="673">
        <f t="shared" si="0"/>
        <v>2000000</v>
      </c>
    </row>
    <row r="18" spans="1:19" ht="21" customHeight="1">
      <c r="A18" s="2309" t="s">
        <v>1526</v>
      </c>
      <c r="B18" s="589" t="s">
        <v>1525</v>
      </c>
      <c r="C18" s="676" t="s">
        <v>1270</v>
      </c>
      <c r="D18" s="2303"/>
      <c r="E18" s="675"/>
      <c r="F18" s="674">
        <v>1000000</v>
      </c>
      <c r="G18" s="674"/>
      <c r="H18" s="674">
        <f>F18</f>
        <v>1000000</v>
      </c>
      <c r="I18" s="674">
        <f t="shared" si="0"/>
        <v>0</v>
      </c>
      <c r="J18" s="674">
        <f t="shared" si="0"/>
        <v>1000000</v>
      </c>
      <c r="K18" s="674">
        <f t="shared" si="0"/>
        <v>0</v>
      </c>
      <c r="L18" s="673">
        <f t="shared" si="0"/>
        <v>1000000</v>
      </c>
    </row>
    <row r="19" spans="1:19" ht="21" customHeight="1">
      <c r="A19" s="2309" t="s">
        <v>1524</v>
      </c>
      <c r="B19" s="589" t="s">
        <v>1523</v>
      </c>
      <c r="C19" s="676" t="s">
        <v>511</v>
      </c>
      <c r="D19" s="2303">
        <v>150000</v>
      </c>
      <c r="E19" s="675">
        <f>E14*18</f>
        <v>360</v>
      </c>
      <c r="F19" s="674">
        <f>E19*D19</f>
        <v>54000000</v>
      </c>
      <c r="G19" s="674">
        <f>E19</f>
        <v>360</v>
      </c>
      <c r="H19" s="674">
        <f>G19*D19</f>
        <v>54000000</v>
      </c>
      <c r="I19" s="674">
        <f t="shared" si="0"/>
        <v>360</v>
      </c>
      <c r="J19" s="674">
        <f t="shared" si="0"/>
        <v>54000000</v>
      </c>
      <c r="K19" s="674">
        <f t="shared" si="0"/>
        <v>360</v>
      </c>
      <c r="L19" s="673">
        <f t="shared" si="0"/>
        <v>54000000</v>
      </c>
      <c r="M19" s="588"/>
      <c r="N19" s="588"/>
      <c r="O19" s="588"/>
      <c r="P19" s="588"/>
      <c r="Q19" s="588"/>
      <c r="R19" s="588"/>
      <c r="S19" s="588"/>
    </row>
    <row r="20" spans="1:19" s="577" customFormat="1" ht="21" customHeight="1">
      <c r="A20" s="2309"/>
      <c r="B20" s="672" t="s">
        <v>1522</v>
      </c>
      <c r="C20" s="672"/>
      <c r="D20" s="672"/>
      <c r="E20" s="672"/>
      <c r="F20" s="687">
        <f>F21+F22</f>
        <v>68000000</v>
      </c>
      <c r="G20" s="672"/>
      <c r="H20" s="687">
        <f>H21+H22</f>
        <v>68000000</v>
      </c>
      <c r="I20" s="672"/>
      <c r="J20" s="687">
        <f>J21+J22</f>
        <v>68000000</v>
      </c>
      <c r="K20" s="672"/>
      <c r="L20" s="687">
        <f>L21+L22</f>
        <v>68000000</v>
      </c>
      <c r="M20" s="588"/>
      <c r="N20" s="588"/>
      <c r="O20" s="588"/>
      <c r="P20" s="588"/>
      <c r="Q20" s="588"/>
      <c r="R20" s="588"/>
      <c r="S20" s="588"/>
    </row>
    <row r="21" spans="1:19" ht="21" customHeight="1">
      <c r="A21" s="2309" t="s">
        <v>1493</v>
      </c>
      <c r="B21" s="589" t="s">
        <v>1521</v>
      </c>
      <c r="C21" s="676" t="s">
        <v>5</v>
      </c>
      <c r="D21" s="680">
        <v>0.2</v>
      </c>
      <c r="E21" s="686">
        <f>E14*3*2000000</f>
        <v>120000000</v>
      </c>
      <c r="F21" s="674">
        <f>D21*E21</f>
        <v>24000000</v>
      </c>
      <c r="G21" s="683">
        <f>D21</f>
        <v>0.2</v>
      </c>
      <c r="H21" s="674">
        <f>E21*G21</f>
        <v>24000000</v>
      </c>
      <c r="I21" s="683">
        <f>G21</f>
        <v>0.2</v>
      </c>
      <c r="J21" s="674">
        <f>H21</f>
        <v>24000000</v>
      </c>
      <c r="K21" s="683">
        <f>I21</f>
        <v>0.2</v>
      </c>
      <c r="L21" s="673">
        <f>J21</f>
        <v>24000000</v>
      </c>
    </row>
    <row r="22" spans="1:19" ht="21" customHeight="1">
      <c r="A22" s="2309" t="s">
        <v>1491</v>
      </c>
      <c r="B22" s="589" t="s">
        <v>1520</v>
      </c>
      <c r="C22" s="676" t="s">
        <v>1270</v>
      </c>
      <c r="D22" s="685">
        <v>0.1</v>
      </c>
      <c r="E22" s="684">
        <f>+F14</f>
        <v>440000000</v>
      </c>
      <c r="F22" s="674">
        <f>$E$22*D22</f>
        <v>44000000</v>
      </c>
      <c r="G22" s="683">
        <v>0.1</v>
      </c>
      <c r="H22" s="674">
        <f>F22</f>
        <v>44000000</v>
      </c>
      <c r="I22" s="683">
        <v>0.1</v>
      </c>
      <c r="J22" s="674">
        <f>F22</f>
        <v>44000000</v>
      </c>
      <c r="K22" s="683">
        <v>0.1</v>
      </c>
      <c r="L22" s="674">
        <f>J22</f>
        <v>44000000</v>
      </c>
    </row>
    <row r="23" spans="1:19" ht="21" customHeight="1">
      <c r="A23" s="2309"/>
      <c r="B23" s="672" t="s">
        <v>1519</v>
      </c>
      <c r="C23" s="676" t="s">
        <v>1270</v>
      </c>
      <c r="D23" s="680">
        <f>N9/100</f>
        <v>0.1</v>
      </c>
      <c r="E23" s="675">
        <f>C6</f>
        <v>400000000</v>
      </c>
      <c r="F23" s="682">
        <f>F24*$D$23</f>
        <v>40000000</v>
      </c>
      <c r="G23" s="679">
        <f>D23</f>
        <v>0.1</v>
      </c>
      <c r="H23" s="682">
        <f>H24*$D$23</f>
        <v>36000000</v>
      </c>
      <c r="I23" s="679">
        <f>D23</f>
        <v>0.1</v>
      </c>
      <c r="J23" s="682">
        <f>J24*$D$23</f>
        <v>26000000</v>
      </c>
      <c r="K23" s="674">
        <f>F23</f>
        <v>40000000</v>
      </c>
      <c r="L23" s="682">
        <f>L24*$D$23</f>
        <v>15000000</v>
      </c>
    </row>
    <row r="24" spans="1:19" ht="21" customHeight="1">
      <c r="A24" s="681" t="s">
        <v>1518</v>
      </c>
      <c r="B24" s="589" t="s">
        <v>1517</v>
      </c>
      <c r="C24" s="676"/>
      <c r="D24" s="680"/>
      <c r="E24" s="675"/>
      <c r="F24" s="674">
        <f>C6</f>
        <v>400000000</v>
      </c>
      <c r="G24" s="679"/>
      <c r="H24" s="674">
        <f>C58</f>
        <v>360000000</v>
      </c>
      <c r="I24" s="679"/>
      <c r="J24" s="674">
        <f>G58</f>
        <v>260000000</v>
      </c>
      <c r="K24" s="679"/>
      <c r="L24" s="673">
        <f>G59</f>
        <v>150000000</v>
      </c>
    </row>
    <row r="25" spans="1:19" s="588" customFormat="1" ht="21" customHeight="1">
      <c r="A25" s="2309" t="s">
        <v>1510</v>
      </c>
      <c r="B25" s="672" t="s">
        <v>1516</v>
      </c>
      <c r="C25" s="678"/>
      <c r="D25" s="677"/>
      <c r="E25" s="671"/>
      <c r="F25" s="670">
        <f>F26+F27</f>
        <v>305000000</v>
      </c>
      <c r="G25" s="670"/>
      <c r="H25" s="670">
        <f>H26+H27</f>
        <v>305000000</v>
      </c>
      <c r="I25" s="670"/>
      <c r="J25" s="670">
        <f>J26+J27</f>
        <v>305000000</v>
      </c>
      <c r="K25" s="670"/>
      <c r="L25" s="669">
        <f>L26+L27</f>
        <v>305000000</v>
      </c>
      <c r="M25" s="523"/>
      <c r="N25" s="523"/>
      <c r="O25" s="523"/>
      <c r="P25" s="523"/>
      <c r="Q25" s="523"/>
      <c r="R25" s="523"/>
      <c r="S25" s="523"/>
    </row>
    <row r="26" spans="1:19" ht="21" customHeight="1">
      <c r="A26" s="2309"/>
      <c r="B26" s="589" t="s">
        <v>1515</v>
      </c>
      <c r="C26" s="676" t="s">
        <v>228</v>
      </c>
      <c r="D26" s="2303">
        <v>250000</v>
      </c>
      <c r="E26" s="675">
        <f>E14*5</f>
        <v>100</v>
      </c>
      <c r="F26" s="674">
        <f>E26*D26</f>
        <v>25000000</v>
      </c>
      <c r="G26" s="674">
        <f>E26</f>
        <v>100</v>
      </c>
      <c r="H26" s="674">
        <f>G26*D26</f>
        <v>25000000</v>
      </c>
      <c r="I26" s="674">
        <f t="shared" ref="I26:L27" si="1">G26</f>
        <v>100</v>
      </c>
      <c r="J26" s="674">
        <f t="shared" si="1"/>
        <v>25000000</v>
      </c>
      <c r="K26" s="674">
        <f t="shared" si="1"/>
        <v>100</v>
      </c>
      <c r="L26" s="673">
        <f t="shared" si="1"/>
        <v>25000000</v>
      </c>
    </row>
    <row r="27" spans="1:19" ht="21" customHeight="1">
      <c r="A27" s="2309"/>
      <c r="B27" s="589" t="s">
        <v>1514</v>
      </c>
      <c r="C27" s="676" t="s">
        <v>8</v>
      </c>
      <c r="D27" s="2303">
        <v>14000000</v>
      </c>
      <c r="E27" s="675">
        <f>E14</f>
        <v>20</v>
      </c>
      <c r="F27" s="674">
        <f>E27*D27</f>
        <v>280000000</v>
      </c>
      <c r="G27" s="674">
        <f>E27</f>
        <v>20</v>
      </c>
      <c r="H27" s="674">
        <f>G27*D27</f>
        <v>280000000</v>
      </c>
      <c r="I27" s="674">
        <f t="shared" si="1"/>
        <v>20</v>
      </c>
      <c r="J27" s="674">
        <f t="shared" si="1"/>
        <v>280000000</v>
      </c>
      <c r="K27" s="674">
        <f t="shared" si="1"/>
        <v>20</v>
      </c>
      <c r="L27" s="673">
        <f t="shared" si="1"/>
        <v>280000000</v>
      </c>
      <c r="M27" s="577"/>
      <c r="N27" s="577"/>
      <c r="O27" s="577"/>
      <c r="P27" s="577"/>
      <c r="Q27" s="577"/>
      <c r="R27" s="577"/>
      <c r="S27" s="577"/>
    </row>
    <row r="28" spans="1:19" s="588" customFormat="1" ht="21" customHeight="1">
      <c r="A28" s="2309" t="s">
        <v>1513</v>
      </c>
      <c r="B28" s="672" t="s">
        <v>1512</v>
      </c>
      <c r="C28" s="576"/>
      <c r="D28" s="576"/>
      <c r="E28" s="671"/>
      <c r="F28" s="670">
        <f>F25-F12</f>
        <v>-396100000</v>
      </c>
      <c r="G28" s="670"/>
      <c r="H28" s="670">
        <f>H25-H12</f>
        <v>47900000</v>
      </c>
      <c r="I28" s="670"/>
      <c r="J28" s="670">
        <f>J25-J12</f>
        <v>57900000</v>
      </c>
      <c r="K28" s="670"/>
      <c r="L28" s="669">
        <f>L25-L12</f>
        <v>68900000</v>
      </c>
      <c r="M28" s="523"/>
      <c r="N28" s="523"/>
      <c r="O28" s="523"/>
      <c r="P28" s="523"/>
      <c r="Q28" s="523"/>
      <c r="R28" s="523"/>
      <c r="S28" s="523"/>
    </row>
    <row r="29" spans="1:19" s="588" customFormat="1" ht="21" customHeight="1" thickBot="1">
      <c r="A29" s="645" t="s">
        <v>1495</v>
      </c>
      <c r="B29" s="668" t="s">
        <v>1511</v>
      </c>
      <c r="C29" s="666"/>
      <c r="D29" s="666"/>
      <c r="E29" s="667"/>
      <c r="F29" s="665"/>
      <c r="G29" s="665"/>
      <c r="H29" s="665"/>
      <c r="I29" s="665"/>
      <c r="J29" s="666"/>
      <c r="K29" s="665"/>
      <c r="L29" s="664">
        <f>F14-F22-H22-J22-L22</f>
        <v>264000000</v>
      </c>
      <c r="M29" s="523"/>
      <c r="N29" s="523"/>
      <c r="O29" s="523"/>
      <c r="P29" s="523"/>
      <c r="Q29" s="523"/>
      <c r="R29" s="523"/>
      <c r="S29" s="523"/>
    </row>
    <row r="30" spans="1:19" s="588" customFormat="1" ht="21" customHeight="1" thickTop="1">
      <c r="B30" s="582"/>
      <c r="C30" s="580"/>
      <c r="D30" s="580"/>
      <c r="E30" s="663"/>
      <c r="F30" s="662"/>
      <c r="G30" s="662"/>
      <c r="H30" s="662"/>
      <c r="I30" s="662"/>
      <c r="J30" s="662"/>
      <c r="M30" s="523"/>
      <c r="N30" s="523"/>
      <c r="O30" s="523"/>
      <c r="P30" s="523"/>
      <c r="Q30" s="523"/>
      <c r="R30" s="523"/>
      <c r="S30" s="523"/>
    </row>
    <row r="31" spans="1:19" s="588" customFormat="1" ht="21" customHeight="1" thickBot="1">
      <c r="A31" s="524" t="s">
        <v>1510</v>
      </c>
      <c r="B31" s="652" t="s">
        <v>1509</v>
      </c>
      <c r="C31" s="580"/>
      <c r="D31" s="580"/>
      <c r="E31" s="663"/>
      <c r="F31" s="662"/>
      <c r="G31" s="662"/>
      <c r="H31" s="662"/>
      <c r="I31" s="662"/>
      <c r="J31" s="523" t="s">
        <v>1489</v>
      </c>
      <c r="M31" s="523"/>
      <c r="N31" s="523"/>
      <c r="O31" s="523"/>
      <c r="P31" s="523"/>
      <c r="Q31" s="523"/>
      <c r="R31" s="523"/>
      <c r="S31" s="523"/>
    </row>
    <row r="32" spans="1:19" s="588" customFormat="1" ht="21" customHeight="1" thickTop="1">
      <c r="A32" s="661" t="s">
        <v>1058</v>
      </c>
      <c r="B32" s="660" t="s">
        <v>64</v>
      </c>
      <c r="C32" s="2432" t="s">
        <v>1035</v>
      </c>
      <c r="D32" s="2432"/>
      <c r="E32" s="2432" t="s">
        <v>1034</v>
      </c>
      <c r="F32" s="2432"/>
      <c r="G32" s="2432" t="s">
        <v>1033</v>
      </c>
      <c r="H32" s="2432"/>
      <c r="I32" s="2432" t="s">
        <v>1508</v>
      </c>
      <c r="J32" s="2460"/>
    </row>
    <row r="33" spans="1:19" s="588" customFormat="1" ht="21" customHeight="1">
      <c r="A33" s="657">
        <v>1</v>
      </c>
      <c r="B33" s="636" t="s">
        <v>242</v>
      </c>
      <c r="C33" s="2424">
        <f>F25</f>
        <v>305000000</v>
      </c>
      <c r="D33" s="2424"/>
      <c r="E33" s="2413">
        <f>H25</f>
        <v>305000000</v>
      </c>
      <c r="F33" s="2413"/>
      <c r="G33" s="2413">
        <f>J25</f>
        <v>305000000</v>
      </c>
      <c r="H33" s="2413"/>
      <c r="I33" s="2413">
        <f>L25</f>
        <v>305000000</v>
      </c>
      <c r="J33" s="2414"/>
      <c r="M33" s="523"/>
      <c r="N33" s="523"/>
      <c r="O33" s="523"/>
      <c r="P33" s="523"/>
      <c r="Q33" s="523"/>
      <c r="R33" s="523"/>
      <c r="S33" s="523"/>
    </row>
    <row r="34" spans="1:19" s="588" customFormat="1" ht="21" customHeight="1">
      <c r="A34" s="657">
        <v>2</v>
      </c>
      <c r="B34" s="636" t="s">
        <v>22</v>
      </c>
      <c r="C34" s="2431">
        <f>F12</f>
        <v>701100000</v>
      </c>
      <c r="D34" s="2431"/>
      <c r="E34" s="2427">
        <f>H12</f>
        <v>257100000</v>
      </c>
      <c r="F34" s="2427"/>
      <c r="G34" s="2427">
        <f>J12</f>
        <v>247100000</v>
      </c>
      <c r="H34" s="2427"/>
      <c r="I34" s="2427">
        <f>L12</f>
        <v>236100000</v>
      </c>
      <c r="J34" s="2459"/>
      <c r="M34" s="523"/>
      <c r="N34" s="523"/>
      <c r="O34" s="523"/>
      <c r="P34" s="523"/>
      <c r="Q34" s="523"/>
      <c r="R34" s="523"/>
      <c r="S34" s="523"/>
    </row>
    <row r="35" spans="1:19" s="588" customFormat="1" ht="21" customHeight="1">
      <c r="A35" s="659" t="s">
        <v>1223</v>
      </c>
      <c r="B35" s="658" t="s">
        <v>1248</v>
      </c>
      <c r="C35" s="2425">
        <f>F13</f>
        <v>593100000</v>
      </c>
      <c r="D35" s="2425"/>
      <c r="E35" s="2427">
        <f>H13</f>
        <v>153100000</v>
      </c>
      <c r="F35" s="2427"/>
      <c r="G35" s="2427">
        <f>J13</f>
        <v>153100000</v>
      </c>
      <c r="H35" s="2427"/>
      <c r="I35" s="2427">
        <f>L13</f>
        <v>153100000</v>
      </c>
      <c r="J35" s="2459"/>
    </row>
    <row r="36" spans="1:19" s="588" customFormat="1" ht="21" customHeight="1">
      <c r="A36" s="659" t="s">
        <v>1221</v>
      </c>
      <c r="B36" s="658" t="s">
        <v>801</v>
      </c>
      <c r="C36" s="2425">
        <f>F23</f>
        <v>40000000</v>
      </c>
      <c r="D36" s="2425"/>
      <c r="E36" s="2426">
        <f>H23</f>
        <v>36000000</v>
      </c>
      <c r="F36" s="2426"/>
      <c r="G36" s="2426">
        <f>J23</f>
        <v>26000000</v>
      </c>
      <c r="H36" s="2426"/>
      <c r="I36" s="2426">
        <f>L23</f>
        <v>15000000</v>
      </c>
      <c r="J36" s="2458"/>
    </row>
    <row r="37" spans="1:19" s="588" customFormat="1" ht="21" customHeight="1">
      <c r="A37" s="659" t="s">
        <v>1219</v>
      </c>
      <c r="B37" s="658" t="s">
        <v>123</v>
      </c>
      <c r="C37" s="2425">
        <f>F21</f>
        <v>24000000</v>
      </c>
      <c r="D37" s="2425"/>
      <c r="E37" s="2426">
        <f>C37</f>
        <v>24000000</v>
      </c>
      <c r="F37" s="2426"/>
      <c r="G37" s="2426">
        <f>E37</f>
        <v>24000000</v>
      </c>
      <c r="H37" s="2426"/>
      <c r="I37" s="2426">
        <f>G37</f>
        <v>24000000</v>
      </c>
      <c r="J37" s="2458"/>
    </row>
    <row r="38" spans="1:19" s="588" customFormat="1" ht="21" customHeight="1">
      <c r="A38" s="657">
        <v>3</v>
      </c>
      <c r="B38" s="636" t="s">
        <v>1507</v>
      </c>
      <c r="C38" s="2424">
        <f>C33-C34</f>
        <v>-396100000</v>
      </c>
      <c r="D38" s="2424"/>
      <c r="E38" s="2413">
        <f>E33-E34</f>
        <v>47900000</v>
      </c>
      <c r="F38" s="2413"/>
      <c r="G38" s="2413">
        <f>G33-G34</f>
        <v>57900000</v>
      </c>
      <c r="H38" s="2413"/>
      <c r="I38" s="2413">
        <f>I33-I34</f>
        <v>68900000</v>
      </c>
      <c r="J38" s="2414"/>
    </row>
    <row r="39" spans="1:19" s="588" customFormat="1" ht="21" customHeight="1">
      <c r="A39" s="657">
        <v>4</v>
      </c>
      <c r="B39" s="636" t="s">
        <v>1506</v>
      </c>
      <c r="C39" s="2424">
        <f>C38</f>
        <v>-396100000</v>
      </c>
      <c r="D39" s="2424"/>
      <c r="E39" s="2413">
        <f>E38</f>
        <v>47900000</v>
      </c>
      <c r="F39" s="2413"/>
      <c r="G39" s="2413">
        <f>G38</f>
        <v>57900000</v>
      </c>
      <c r="H39" s="2413"/>
      <c r="I39" s="2413">
        <f>L28+L29</f>
        <v>332900000</v>
      </c>
      <c r="J39" s="2414"/>
    </row>
    <row r="40" spans="1:19" s="588" customFormat="1" ht="21" customHeight="1">
      <c r="A40" s="657">
        <v>5</v>
      </c>
      <c r="B40" s="636" t="s">
        <v>1505</v>
      </c>
      <c r="C40" s="2420">
        <f>D23</f>
        <v>0.1</v>
      </c>
      <c r="D40" s="2420"/>
      <c r="E40" s="2421"/>
      <c r="F40" s="2421"/>
      <c r="G40" s="2421"/>
      <c r="H40" s="2421"/>
      <c r="I40" s="2421"/>
      <c r="J40" s="2456"/>
    </row>
    <row r="41" spans="1:19" ht="21" customHeight="1">
      <c r="A41" s="656">
        <v>6</v>
      </c>
      <c r="B41" s="589" t="s">
        <v>1504</v>
      </c>
      <c r="C41" s="2422">
        <f>IRR(C39:J39)</f>
        <v>3.9437485592460853E-2</v>
      </c>
      <c r="D41" s="2422"/>
      <c r="E41" s="2423"/>
      <c r="F41" s="2423"/>
      <c r="G41" s="2423"/>
      <c r="H41" s="2423"/>
      <c r="I41" s="2423"/>
      <c r="J41" s="2457"/>
      <c r="M41" s="588"/>
      <c r="N41" s="588"/>
      <c r="O41" s="588"/>
      <c r="P41" s="588"/>
      <c r="Q41" s="588"/>
      <c r="R41" s="588"/>
      <c r="S41" s="588"/>
    </row>
    <row r="42" spans="1:19" ht="21" customHeight="1">
      <c r="A42" s="656">
        <v>7</v>
      </c>
      <c r="B42" s="589" t="s">
        <v>1503</v>
      </c>
      <c r="C42" s="2417">
        <f>NPV(D23,E39:J39)+C39</f>
        <v>-54590608.564988792</v>
      </c>
      <c r="D42" s="2417"/>
      <c r="E42" s="2418"/>
      <c r="F42" s="2418"/>
      <c r="G42" s="2418"/>
      <c r="H42" s="2418"/>
      <c r="I42" s="2418"/>
      <c r="J42" s="2453"/>
      <c r="M42" s="588"/>
      <c r="N42" s="588"/>
      <c r="O42" s="588"/>
      <c r="P42" s="588"/>
      <c r="Q42" s="588"/>
      <c r="R42" s="588"/>
      <c r="S42" s="588"/>
    </row>
    <row r="43" spans="1:19" ht="21" customHeight="1">
      <c r="A43" s="655"/>
      <c r="B43" s="655"/>
      <c r="C43" s="654"/>
      <c r="D43" s="654"/>
      <c r="E43" s="653"/>
      <c r="F43" s="653"/>
      <c r="G43" s="653"/>
      <c r="H43" s="653"/>
      <c r="I43" s="653"/>
      <c r="J43" s="653"/>
      <c r="M43" s="588"/>
      <c r="N43" s="588"/>
      <c r="O43" s="588"/>
      <c r="P43" s="588"/>
      <c r="Q43" s="588"/>
      <c r="R43" s="588"/>
      <c r="S43" s="588"/>
    </row>
    <row r="44" spans="1:19" ht="21" customHeight="1" thickBot="1">
      <c r="A44" s="652" t="s">
        <v>489</v>
      </c>
      <c r="B44" s="652" t="s">
        <v>1502</v>
      </c>
      <c r="C44" s="651"/>
      <c r="D44" s="651"/>
      <c r="E44" s="650"/>
      <c r="F44" s="650"/>
      <c r="G44" s="650"/>
      <c r="H44" s="650"/>
      <c r="I44" s="650"/>
      <c r="J44" s="650"/>
      <c r="M44" s="588"/>
      <c r="N44" s="588"/>
      <c r="O44" s="588"/>
      <c r="P44" s="588"/>
      <c r="Q44" s="588"/>
      <c r="R44" s="588"/>
      <c r="S44" s="588"/>
    </row>
    <row r="45" spans="1:19" ht="21" customHeight="1" thickTop="1">
      <c r="A45" s="649">
        <v>1</v>
      </c>
      <c r="B45" s="648" t="s">
        <v>242</v>
      </c>
      <c r="C45" s="2454">
        <f>C33</f>
        <v>305000000</v>
      </c>
      <c r="D45" s="2454"/>
      <c r="E45" s="2454">
        <f>E33</f>
        <v>305000000</v>
      </c>
      <c r="F45" s="2454"/>
      <c r="G45" s="2454">
        <f>G33</f>
        <v>305000000</v>
      </c>
      <c r="H45" s="2454"/>
      <c r="I45" s="2454">
        <f>I33</f>
        <v>305000000</v>
      </c>
      <c r="J45" s="2455"/>
      <c r="M45" s="588"/>
      <c r="N45" s="588"/>
      <c r="O45" s="588"/>
      <c r="P45" s="588"/>
      <c r="Q45" s="588"/>
      <c r="R45" s="588"/>
      <c r="S45" s="588"/>
    </row>
    <row r="46" spans="1:19" ht="21" customHeight="1">
      <c r="A46" s="647">
        <v>2</v>
      </c>
      <c r="B46" s="589" t="s">
        <v>1501</v>
      </c>
      <c r="C46" s="2419">
        <f>E35</f>
        <v>153100000</v>
      </c>
      <c r="D46" s="2419"/>
      <c r="E46" s="2419">
        <f>G35</f>
        <v>153100000</v>
      </c>
      <c r="F46" s="2419"/>
      <c r="G46" s="2419">
        <f>I35</f>
        <v>153100000</v>
      </c>
      <c r="H46" s="2419"/>
      <c r="I46" s="2419">
        <f>G46</f>
        <v>153100000</v>
      </c>
      <c r="J46" s="2449"/>
      <c r="M46" s="588"/>
      <c r="N46" s="588"/>
      <c r="O46" s="588"/>
      <c r="P46" s="588"/>
      <c r="Q46" s="588"/>
      <c r="R46" s="588"/>
      <c r="S46" s="588"/>
    </row>
    <row r="47" spans="1:19" ht="21" customHeight="1">
      <c r="A47" s="647">
        <v>3</v>
      </c>
      <c r="B47" s="589" t="s">
        <v>1500</v>
      </c>
      <c r="C47" s="2419">
        <f>C45-C46</f>
        <v>151900000</v>
      </c>
      <c r="D47" s="2419"/>
      <c r="E47" s="2419">
        <f>E45-E46</f>
        <v>151900000</v>
      </c>
      <c r="F47" s="2419"/>
      <c r="G47" s="2419">
        <f>G45-G46</f>
        <v>151900000</v>
      </c>
      <c r="H47" s="2419"/>
      <c r="I47" s="2419">
        <f>I45-I46</f>
        <v>151900000</v>
      </c>
      <c r="J47" s="2449"/>
      <c r="M47" s="588"/>
      <c r="N47" s="588"/>
      <c r="O47" s="588"/>
      <c r="P47" s="588"/>
      <c r="Q47" s="588"/>
      <c r="R47" s="588"/>
      <c r="S47" s="588"/>
    </row>
    <row r="48" spans="1:19" ht="21" customHeight="1">
      <c r="A48" s="647">
        <v>4</v>
      </c>
      <c r="B48" s="589" t="s">
        <v>1499</v>
      </c>
      <c r="C48" s="2418">
        <f>SUM(C49:D50)</f>
        <v>80000000</v>
      </c>
      <c r="D48" s="2418"/>
      <c r="E48" s="2418">
        <f>SUM(E49:F50)</f>
        <v>136000000</v>
      </c>
      <c r="F48" s="2418"/>
      <c r="G48" s="2418">
        <f>SUM(G49:H50)</f>
        <v>136000000</v>
      </c>
      <c r="H48" s="2418"/>
      <c r="I48" s="2418">
        <f>SUM(I49:J50)</f>
        <v>165000000</v>
      </c>
      <c r="J48" s="2453"/>
    </row>
    <row r="49" spans="1:10" ht="21" customHeight="1">
      <c r="A49" s="646" t="s">
        <v>615</v>
      </c>
      <c r="B49" s="589" t="s">
        <v>1498</v>
      </c>
      <c r="C49" s="2419">
        <f>E57</f>
        <v>40000000</v>
      </c>
      <c r="D49" s="2419"/>
      <c r="E49" s="2419">
        <f>ROUND($C$6/3.5,-7)-10000000</f>
        <v>100000000</v>
      </c>
      <c r="F49" s="2419"/>
      <c r="G49" s="2419">
        <f>ROUND($C$6/3.5,-7)</f>
        <v>110000000</v>
      </c>
      <c r="H49" s="2419"/>
      <c r="I49" s="2419">
        <f>C6-E49-G49-C49</f>
        <v>150000000</v>
      </c>
      <c r="J49" s="2449"/>
    </row>
    <row r="50" spans="1:10" ht="21" customHeight="1">
      <c r="A50" s="646" t="s">
        <v>615</v>
      </c>
      <c r="B50" s="589" t="s">
        <v>1497</v>
      </c>
      <c r="C50" s="2419">
        <f>F23</f>
        <v>40000000</v>
      </c>
      <c r="D50" s="2419"/>
      <c r="E50" s="2419">
        <f>H23</f>
        <v>36000000</v>
      </c>
      <c r="F50" s="2419"/>
      <c r="G50" s="2419">
        <f>J23</f>
        <v>26000000</v>
      </c>
      <c r="H50" s="2419"/>
      <c r="I50" s="2419">
        <f>L23</f>
        <v>15000000</v>
      </c>
      <c r="J50" s="2449"/>
    </row>
    <row r="51" spans="1:10" ht="17.25" thickBot="1">
      <c r="A51" s="645">
        <v>5</v>
      </c>
      <c r="B51" s="644" t="s">
        <v>1496</v>
      </c>
      <c r="C51" s="2450">
        <f>C47-C49</f>
        <v>111900000</v>
      </c>
      <c r="D51" s="2451"/>
      <c r="E51" s="2450">
        <f>E47-E49</f>
        <v>51900000</v>
      </c>
      <c r="F51" s="2451"/>
      <c r="G51" s="2450">
        <f>G47-G49</f>
        <v>41900000</v>
      </c>
      <c r="H51" s="2451"/>
      <c r="I51" s="2450">
        <f>I47-I49</f>
        <v>1900000</v>
      </c>
      <c r="J51" s="2452"/>
    </row>
    <row r="52" spans="1:10" ht="17.25" thickTop="1">
      <c r="B52" s="575"/>
    </row>
    <row r="53" spans="1:10">
      <c r="A53" s="524" t="s">
        <v>1495</v>
      </c>
      <c r="B53" s="642" t="s">
        <v>1494</v>
      </c>
      <c r="D53" s="526"/>
    </row>
    <row r="54" spans="1:10">
      <c r="A54" s="524" t="s">
        <v>1493</v>
      </c>
      <c r="B54" s="642" t="s">
        <v>1492</v>
      </c>
      <c r="C54" s="524">
        <v>48</v>
      </c>
      <c r="D54" s="643" t="s">
        <v>74</v>
      </c>
    </row>
    <row r="55" spans="1:10" ht="17.25" thickBot="1">
      <c r="A55" s="524" t="s">
        <v>1491</v>
      </c>
      <c r="B55" s="642" t="s">
        <v>1490</v>
      </c>
      <c r="D55" s="526"/>
      <c r="H55" s="523" t="s">
        <v>1489</v>
      </c>
    </row>
    <row r="56" spans="1:10" ht="15.75" customHeight="1" thickTop="1">
      <c r="A56" s="641" t="s">
        <v>1058</v>
      </c>
      <c r="B56" s="640" t="s">
        <v>1488</v>
      </c>
      <c r="C56" s="2416" t="s">
        <v>1487</v>
      </c>
      <c r="D56" s="2416"/>
      <c r="E56" s="639" t="s">
        <v>1486</v>
      </c>
      <c r="F56" s="639"/>
      <c r="G56" s="639" t="s">
        <v>1485</v>
      </c>
      <c r="H56" s="638"/>
    </row>
    <row r="57" spans="1:10">
      <c r="A57" s="637">
        <v>1</v>
      </c>
      <c r="B57" s="636" t="s">
        <v>1484</v>
      </c>
      <c r="C57" s="2413">
        <f>C6</f>
        <v>400000000</v>
      </c>
      <c r="D57" s="2413"/>
      <c r="E57" s="2413">
        <f>C6*10%</f>
        <v>40000000</v>
      </c>
      <c r="F57" s="2413" t="e">
        <f>#REF!</f>
        <v>#REF!</v>
      </c>
      <c r="G57" s="2413">
        <f>C57-E57</f>
        <v>360000000</v>
      </c>
      <c r="H57" s="2414"/>
    </row>
    <row r="58" spans="1:10">
      <c r="A58" s="637">
        <f>+A57+1</f>
        <v>2</v>
      </c>
      <c r="B58" s="636" t="s">
        <v>1483</v>
      </c>
      <c r="C58" s="2413">
        <f>G57</f>
        <v>360000000</v>
      </c>
      <c r="D58" s="2413"/>
      <c r="E58" s="2413">
        <f>E49</f>
        <v>100000000</v>
      </c>
      <c r="F58" s="2413" t="e">
        <f>+#REF!</f>
        <v>#REF!</v>
      </c>
      <c r="G58" s="2413">
        <f>C58-E58</f>
        <v>260000000</v>
      </c>
      <c r="H58" s="2414"/>
    </row>
    <row r="59" spans="1:10">
      <c r="A59" s="637">
        <f>+A58+1</f>
        <v>3</v>
      </c>
      <c r="B59" s="636" t="s">
        <v>1482</v>
      </c>
      <c r="C59" s="2413">
        <f>G58</f>
        <v>260000000</v>
      </c>
      <c r="D59" s="2413"/>
      <c r="E59" s="2413">
        <f>G49</f>
        <v>110000000</v>
      </c>
      <c r="F59" s="2413" t="e">
        <f>+#REF!</f>
        <v>#REF!</v>
      </c>
      <c r="G59" s="2413">
        <f>C59-E59</f>
        <v>150000000</v>
      </c>
      <c r="H59" s="2414"/>
    </row>
    <row r="60" spans="1:10">
      <c r="A60" s="637">
        <f>+A59+1</f>
        <v>4</v>
      </c>
      <c r="B60" s="636" t="s">
        <v>1481</v>
      </c>
      <c r="C60" s="2413">
        <f>G59</f>
        <v>150000000</v>
      </c>
      <c r="D60" s="2413"/>
      <c r="E60" s="2413">
        <f>C60</f>
        <v>150000000</v>
      </c>
      <c r="F60" s="2413" t="e">
        <f>+#REF!</f>
        <v>#REF!</v>
      </c>
      <c r="G60" s="2413">
        <f>C60-E60</f>
        <v>0</v>
      </c>
      <c r="H60" s="2414"/>
    </row>
    <row r="61" spans="1:10" ht="17.25" thickBot="1">
      <c r="A61" s="635"/>
      <c r="B61" s="634" t="s">
        <v>288</v>
      </c>
      <c r="C61" s="2410">
        <f>SUM(D57:D60)</f>
        <v>0</v>
      </c>
      <c r="D61" s="2410"/>
      <c r="E61" s="2410">
        <f>SUM(E57:E60)</f>
        <v>400000000</v>
      </c>
      <c r="F61" s="2410"/>
      <c r="G61" s="2411"/>
      <c r="H61" s="2412"/>
    </row>
    <row r="62" spans="1:10" ht="17.25" thickTop="1">
      <c r="A62" s="524"/>
      <c r="B62" s="524"/>
    </row>
    <row r="65" spans="1:12">
      <c r="A65" s="577"/>
    </row>
    <row r="67" spans="1:12">
      <c r="A67" s="577"/>
    </row>
    <row r="71" spans="1:12">
      <c r="H71" s="2448"/>
      <c r="I71" s="2448"/>
      <c r="J71" s="2448"/>
      <c r="K71" s="2448"/>
      <c r="L71" s="2448"/>
    </row>
    <row r="72" spans="1:12">
      <c r="H72" s="2409"/>
      <c r="I72" s="2409"/>
      <c r="J72" s="2409"/>
      <c r="K72" s="2409"/>
      <c r="L72" s="2409"/>
    </row>
  </sheetData>
  <mergeCells count="99">
    <mergeCell ref="K10:L10"/>
    <mergeCell ref="C4:D4"/>
    <mergeCell ref="C5:D5"/>
    <mergeCell ref="C6:D6"/>
    <mergeCell ref="A10:A11"/>
    <mergeCell ref="B10:B11"/>
    <mergeCell ref="E10:F10"/>
    <mergeCell ref="G10:H10"/>
    <mergeCell ref="I10:J10"/>
    <mergeCell ref="C32:D32"/>
    <mergeCell ref="E32:F32"/>
    <mergeCell ref="G32:H32"/>
    <mergeCell ref="I32:J32"/>
    <mergeCell ref="C33:D33"/>
    <mergeCell ref="E33:F33"/>
    <mergeCell ref="G33:H33"/>
    <mergeCell ref="I33:J33"/>
    <mergeCell ref="C34:D34"/>
    <mergeCell ref="E34:F34"/>
    <mergeCell ref="G34:H34"/>
    <mergeCell ref="I34:J34"/>
    <mergeCell ref="C35:D35"/>
    <mergeCell ref="E35:F35"/>
    <mergeCell ref="G35:H35"/>
    <mergeCell ref="I35:J35"/>
    <mergeCell ref="C36:D36"/>
    <mergeCell ref="E36:F36"/>
    <mergeCell ref="G36:H36"/>
    <mergeCell ref="I36:J36"/>
    <mergeCell ref="C37:D37"/>
    <mergeCell ref="E37:F37"/>
    <mergeCell ref="G37:H37"/>
    <mergeCell ref="I37:J37"/>
    <mergeCell ref="C38:D38"/>
    <mergeCell ref="E38:F38"/>
    <mergeCell ref="G38:H38"/>
    <mergeCell ref="I38:J38"/>
    <mergeCell ref="C39:D39"/>
    <mergeCell ref="E39:F39"/>
    <mergeCell ref="G39:H39"/>
    <mergeCell ref="I39:J39"/>
    <mergeCell ref="C40:D40"/>
    <mergeCell ref="E40:F40"/>
    <mergeCell ref="G40:H40"/>
    <mergeCell ref="I40:J40"/>
    <mergeCell ref="C41:D41"/>
    <mergeCell ref="E41:F41"/>
    <mergeCell ref="G41:H41"/>
    <mergeCell ref="I41:J41"/>
    <mergeCell ref="C42:D42"/>
    <mergeCell ref="E42:F42"/>
    <mergeCell ref="G42:H42"/>
    <mergeCell ref="I42:J42"/>
    <mergeCell ref="C45:D45"/>
    <mergeCell ref="E45:F45"/>
    <mergeCell ref="G45:H45"/>
    <mergeCell ref="I45:J45"/>
    <mergeCell ref="C46:D46"/>
    <mergeCell ref="E46:F46"/>
    <mergeCell ref="G46:H46"/>
    <mergeCell ref="I46:J46"/>
    <mergeCell ref="C47:D47"/>
    <mergeCell ref="E47:F47"/>
    <mergeCell ref="G47:H47"/>
    <mergeCell ref="I47:J47"/>
    <mergeCell ref="C48:D48"/>
    <mergeCell ref="E48:F48"/>
    <mergeCell ref="G48:H48"/>
    <mergeCell ref="I48:J48"/>
    <mergeCell ref="C49:D49"/>
    <mergeCell ref="E49:F49"/>
    <mergeCell ref="G49:H49"/>
    <mergeCell ref="I49:J49"/>
    <mergeCell ref="C50:D50"/>
    <mergeCell ref="E50:F50"/>
    <mergeCell ref="G50:H50"/>
    <mergeCell ref="I50:J50"/>
    <mergeCell ref="C51:D51"/>
    <mergeCell ref="E51:F51"/>
    <mergeCell ref="G51:H51"/>
    <mergeCell ref="I51:J51"/>
    <mergeCell ref="H71:L71"/>
    <mergeCell ref="H72:L72"/>
    <mergeCell ref="C60:D60"/>
    <mergeCell ref="E60:F60"/>
    <mergeCell ref="G60:H60"/>
    <mergeCell ref="C61:D61"/>
    <mergeCell ref="E61:F61"/>
    <mergeCell ref="G61:H61"/>
    <mergeCell ref="C59:D59"/>
    <mergeCell ref="E59:F59"/>
    <mergeCell ref="G59:H59"/>
    <mergeCell ref="C56:D56"/>
    <mergeCell ref="C57:D57"/>
    <mergeCell ref="E57:F57"/>
    <mergeCell ref="G57:H57"/>
    <mergeCell ref="C58:D58"/>
    <mergeCell ref="E58:F58"/>
    <mergeCell ref="G58:H58"/>
  </mergeCells>
  <pageMargins left="1" right="0.39" top="0.75" bottom="0.75" header="0.5" footer="0.5"/>
  <pageSetup paperSize="9" scale="90" orientation="portrait" horizontalDpi="300" verticalDpi="300" r:id="rId1"/>
  <headerFooter alignWithMargins="0">
    <oddFooter>&amp;CTrang</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G29"/>
  <sheetViews>
    <sheetView workbookViewId="0">
      <selection activeCell="J13" sqref="J13"/>
    </sheetView>
  </sheetViews>
  <sheetFormatPr defaultRowHeight="16.5"/>
  <cols>
    <col min="1" max="1" width="33.7109375" style="523" customWidth="1"/>
    <col min="2" max="2" width="13.140625" style="523" customWidth="1"/>
    <col min="3" max="3" width="13.7109375" style="523" customWidth="1"/>
    <col min="4" max="4" width="14.5703125" style="523" bestFit="1" customWidth="1"/>
    <col min="5" max="5" width="14.140625" style="523" bestFit="1" customWidth="1"/>
    <col min="6" max="6" width="9.140625" style="523"/>
    <col min="7" max="7" width="11.28515625" style="523" bestFit="1" customWidth="1"/>
    <col min="8" max="256" width="9.140625" style="523"/>
    <col min="257" max="257" width="33.7109375" style="523" customWidth="1"/>
    <col min="258" max="258" width="13.140625" style="523" customWidth="1"/>
    <col min="259" max="259" width="13.7109375" style="523" customWidth="1"/>
    <col min="260" max="260" width="12.7109375" style="523" bestFit="1" customWidth="1"/>
    <col min="261" max="261" width="13.85546875" style="523" bestFit="1" customWidth="1"/>
    <col min="262" max="262" width="9.140625" style="523"/>
    <col min="263" max="263" width="9.7109375" style="523" bestFit="1" customWidth="1"/>
    <col min="264" max="512" width="9.140625" style="523"/>
    <col min="513" max="513" width="33.7109375" style="523" customWidth="1"/>
    <col min="514" max="514" width="13.140625" style="523" customWidth="1"/>
    <col min="515" max="515" width="13.7109375" style="523" customWidth="1"/>
    <col min="516" max="516" width="12.7109375" style="523" bestFit="1" customWidth="1"/>
    <col min="517" max="517" width="13.85546875" style="523" bestFit="1" customWidth="1"/>
    <col min="518" max="518" width="9.140625" style="523"/>
    <col min="519" max="519" width="9.7109375" style="523" bestFit="1" customWidth="1"/>
    <col min="520" max="768" width="9.140625" style="523"/>
    <col min="769" max="769" width="33.7109375" style="523" customWidth="1"/>
    <col min="770" max="770" width="13.140625" style="523" customWidth="1"/>
    <col min="771" max="771" width="13.7109375" style="523" customWidth="1"/>
    <col min="772" max="772" width="12.7109375" style="523" bestFit="1" customWidth="1"/>
    <col min="773" max="773" width="13.85546875" style="523" bestFit="1" customWidth="1"/>
    <col min="774" max="774" width="9.140625" style="523"/>
    <col min="775" max="775" width="9.7109375" style="523" bestFit="1" customWidth="1"/>
    <col min="776" max="1024" width="9.140625" style="523"/>
    <col min="1025" max="1025" width="33.7109375" style="523" customWidth="1"/>
    <col min="1026" max="1026" width="13.140625" style="523" customWidth="1"/>
    <col min="1027" max="1027" width="13.7109375" style="523" customWidth="1"/>
    <col min="1028" max="1028" width="12.7109375" style="523" bestFit="1" customWidth="1"/>
    <col min="1029" max="1029" width="13.85546875" style="523" bestFit="1" customWidth="1"/>
    <col min="1030" max="1030" width="9.140625" style="523"/>
    <col min="1031" max="1031" width="9.7109375" style="523" bestFit="1" customWidth="1"/>
    <col min="1032" max="1280" width="9.140625" style="523"/>
    <col min="1281" max="1281" width="33.7109375" style="523" customWidth="1"/>
    <col min="1282" max="1282" width="13.140625" style="523" customWidth="1"/>
    <col min="1283" max="1283" width="13.7109375" style="523" customWidth="1"/>
    <col min="1284" max="1284" width="12.7109375" style="523" bestFit="1" customWidth="1"/>
    <col min="1285" max="1285" width="13.85546875" style="523" bestFit="1" customWidth="1"/>
    <col min="1286" max="1286" width="9.140625" style="523"/>
    <col min="1287" max="1287" width="9.7109375" style="523" bestFit="1" customWidth="1"/>
    <col min="1288" max="1536" width="9.140625" style="523"/>
    <col min="1537" max="1537" width="33.7109375" style="523" customWidth="1"/>
    <col min="1538" max="1538" width="13.140625" style="523" customWidth="1"/>
    <col min="1539" max="1539" width="13.7109375" style="523" customWidth="1"/>
    <col min="1540" max="1540" width="12.7109375" style="523" bestFit="1" customWidth="1"/>
    <col min="1541" max="1541" width="13.85546875" style="523" bestFit="1" customWidth="1"/>
    <col min="1542" max="1542" width="9.140625" style="523"/>
    <col min="1543" max="1543" width="9.7109375" style="523" bestFit="1" customWidth="1"/>
    <col min="1544" max="1792" width="9.140625" style="523"/>
    <col min="1793" max="1793" width="33.7109375" style="523" customWidth="1"/>
    <col min="1794" max="1794" width="13.140625" style="523" customWidth="1"/>
    <col min="1795" max="1795" width="13.7109375" style="523" customWidth="1"/>
    <col min="1796" max="1796" width="12.7109375" style="523" bestFit="1" customWidth="1"/>
    <col min="1797" max="1797" width="13.85546875" style="523" bestFit="1" customWidth="1"/>
    <col min="1798" max="1798" width="9.140625" style="523"/>
    <col min="1799" max="1799" width="9.7109375" style="523" bestFit="1" customWidth="1"/>
    <col min="1800" max="2048" width="9.140625" style="523"/>
    <col min="2049" max="2049" width="33.7109375" style="523" customWidth="1"/>
    <col min="2050" max="2050" width="13.140625" style="523" customWidth="1"/>
    <col min="2051" max="2051" width="13.7109375" style="523" customWidth="1"/>
    <col min="2052" max="2052" width="12.7109375" style="523" bestFit="1" customWidth="1"/>
    <col min="2053" max="2053" width="13.85546875" style="523" bestFit="1" customWidth="1"/>
    <col min="2054" max="2054" width="9.140625" style="523"/>
    <col min="2055" max="2055" width="9.7109375" style="523" bestFit="1" customWidth="1"/>
    <col min="2056" max="2304" width="9.140625" style="523"/>
    <col min="2305" max="2305" width="33.7109375" style="523" customWidth="1"/>
    <col min="2306" max="2306" width="13.140625" style="523" customWidth="1"/>
    <col min="2307" max="2307" width="13.7109375" style="523" customWidth="1"/>
    <col min="2308" max="2308" width="12.7109375" style="523" bestFit="1" customWidth="1"/>
    <col min="2309" max="2309" width="13.85546875" style="523" bestFit="1" customWidth="1"/>
    <col min="2310" max="2310" width="9.140625" style="523"/>
    <col min="2311" max="2311" width="9.7109375" style="523" bestFit="1" customWidth="1"/>
    <col min="2312" max="2560" width="9.140625" style="523"/>
    <col min="2561" max="2561" width="33.7109375" style="523" customWidth="1"/>
    <col min="2562" max="2562" width="13.140625" style="523" customWidth="1"/>
    <col min="2563" max="2563" width="13.7109375" style="523" customWidth="1"/>
    <col min="2564" max="2564" width="12.7109375" style="523" bestFit="1" customWidth="1"/>
    <col min="2565" max="2565" width="13.85546875" style="523" bestFit="1" customWidth="1"/>
    <col min="2566" max="2566" width="9.140625" style="523"/>
    <col min="2567" max="2567" width="9.7109375" style="523" bestFit="1" customWidth="1"/>
    <col min="2568" max="2816" width="9.140625" style="523"/>
    <col min="2817" max="2817" width="33.7109375" style="523" customWidth="1"/>
    <col min="2818" max="2818" width="13.140625" style="523" customWidth="1"/>
    <col min="2819" max="2819" width="13.7109375" style="523" customWidth="1"/>
    <col min="2820" max="2820" width="12.7109375" style="523" bestFit="1" customWidth="1"/>
    <col min="2821" max="2821" width="13.85546875" style="523" bestFit="1" customWidth="1"/>
    <col min="2822" max="2822" width="9.140625" style="523"/>
    <col min="2823" max="2823" width="9.7109375" style="523" bestFit="1" customWidth="1"/>
    <col min="2824" max="3072" width="9.140625" style="523"/>
    <col min="3073" max="3073" width="33.7109375" style="523" customWidth="1"/>
    <col min="3074" max="3074" width="13.140625" style="523" customWidth="1"/>
    <col min="3075" max="3075" width="13.7109375" style="523" customWidth="1"/>
    <col min="3076" max="3076" width="12.7109375" style="523" bestFit="1" customWidth="1"/>
    <col min="3077" max="3077" width="13.85546875" style="523" bestFit="1" customWidth="1"/>
    <col min="3078" max="3078" width="9.140625" style="523"/>
    <col min="3079" max="3079" width="9.7109375" style="523" bestFit="1" customWidth="1"/>
    <col min="3080" max="3328" width="9.140625" style="523"/>
    <col min="3329" max="3329" width="33.7109375" style="523" customWidth="1"/>
    <col min="3330" max="3330" width="13.140625" style="523" customWidth="1"/>
    <col min="3331" max="3331" width="13.7109375" style="523" customWidth="1"/>
    <col min="3332" max="3332" width="12.7109375" style="523" bestFit="1" customWidth="1"/>
    <col min="3333" max="3333" width="13.85546875" style="523" bestFit="1" customWidth="1"/>
    <col min="3334" max="3334" width="9.140625" style="523"/>
    <col min="3335" max="3335" width="9.7109375" style="523" bestFit="1" customWidth="1"/>
    <col min="3336" max="3584" width="9.140625" style="523"/>
    <col min="3585" max="3585" width="33.7109375" style="523" customWidth="1"/>
    <col min="3586" max="3586" width="13.140625" style="523" customWidth="1"/>
    <col min="3587" max="3587" width="13.7109375" style="523" customWidth="1"/>
    <col min="3588" max="3588" width="12.7109375" style="523" bestFit="1" customWidth="1"/>
    <col min="3589" max="3589" width="13.85546875" style="523" bestFit="1" customWidth="1"/>
    <col min="3590" max="3590" width="9.140625" style="523"/>
    <col min="3591" max="3591" width="9.7109375" style="523" bestFit="1" customWidth="1"/>
    <col min="3592" max="3840" width="9.140625" style="523"/>
    <col min="3841" max="3841" width="33.7109375" style="523" customWidth="1"/>
    <col min="3842" max="3842" width="13.140625" style="523" customWidth="1"/>
    <col min="3843" max="3843" width="13.7109375" style="523" customWidth="1"/>
    <col min="3844" max="3844" width="12.7109375" style="523" bestFit="1" customWidth="1"/>
    <col min="3845" max="3845" width="13.85546875" style="523" bestFit="1" customWidth="1"/>
    <col min="3846" max="3846" width="9.140625" style="523"/>
    <col min="3847" max="3847" width="9.7109375" style="523" bestFit="1" customWidth="1"/>
    <col min="3848" max="4096" width="9.140625" style="523"/>
    <col min="4097" max="4097" width="33.7109375" style="523" customWidth="1"/>
    <col min="4098" max="4098" width="13.140625" style="523" customWidth="1"/>
    <col min="4099" max="4099" width="13.7109375" style="523" customWidth="1"/>
    <col min="4100" max="4100" width="12.7109375" style="523" bestFit="1" customWidth="1"/>
    <col min="4101" max="4101" width="13.85546875" style="523" bestFit="1" customWidth="1"/>
    <col min="4102" max="4102" width="9.140625" style="523"/>
    <col min="4103" max="4103" width="9.7109375" style="523" bestFit="1" customWidth="1"/>
    <col min="4104" max="4352" width="9.140625" style="523"/>
    <col min="4353" max="4353" width="33.7109375" style="523" customWidth="1"/>
    <col min="4354" max="4354" width="13.140625" style="523" customWidth="1"/>
    <col min="4355" max="4355" width="13.7109375" style="523" customWidth="1"/>
    <col min="4356" max="4356" width="12.7109375" style="523" bestFit="1" customWidth="1"/>
    <col min="4357" max="4357" width="13.85546875" style="523" bestFit="1" customWidth="1"/>
    <col min="4358" max="4358" width="9.140625" style="523"/>
    <col min="4359" max="4359" width="9.7109375" style="523" bestFit="1" customWidth="1"/>
    <col min="4360" max="4608" width="9.140625" style="523"/>
    <col min="4609" max="4609" width="33.7109375" style="523" customWidth="1"/>
    <col min="4610" max="4610" width="13.140625" style="523" customWidth="1"/>
    <col min="4611" max="4611" width="13.7109375" style="523" customWidth="1"/>
    <col min="4612" max="4612" width="12.7109375" style="523" bestFit="1" customWidth="1"/>
    <col min="4613" max="4613" width="13.85546875" style="523" bestFit="1" customWidth="1"/>
    <col min="4614" max="4614" width="9.140625" style="523"/>
    <col min="4615" max="4615" width="9.7109375" style="523" bestFit="1" customWidth="1"/>
    <col min="4616" max="4864" width="9.140625" style="523"/>
    <col min="4865" max="4865" width="33.7109375" style="523" customWidth="1"/>
    <col min="4866" max="4866" width="13.140625" style="523" customWidth="1"/>
    <col min="4867" max="4867" width="13.7109375" style="523" customWidth="1"/>
    <col min="4868" max="4868" width="12.7109375" style="523" bestFit="1" customWidth="1"/>
    <col min="4869" max="4869" width="13.85546875" style="523" bestFit="1" customWidth="1"/>
    <col min="4870" max="4870" width="9.140625" style="523"/>
    <col min="4871" max="4871" width="9.7109375" style="523" bestFit="1" customWidth="1"/>
    <col min="4872" max="5120" width="9.140625" style="523"/>
    <col min="5121" max="5121" width="33.7109375" style="523" customWidth="1"/>
    <col min="5122" max="5122" width="13.140625" style="523" customWidth="1"/>
    <col min="5123" max="5123" width="13.7109375" style="523" customWidth="1"/>
    <col min="5124" max="5124" width="12.7109375" style="523" bestFit="1" customWidth="1"/>
    <col min="5125" max="5125" width="13.85546875" style="523" bestFit="1" customWidth="1"/>
    <col min="5126" max="5126" width="9.140625" style="523"/>
    <col min="5127" max="5127" width="9.7109375" style="523" bestFit="1" customWidth="1"/>
    <col min="5128" max="5376" width="9.140625" style="523"/>
    <col min="5377" max="5377" width="33.7109375" style="523" customWidth="1"/>
    <col min="5378" max="5378" width="13.140625" style="523" customWidth="1"/>
    <col min="5379" max="5379" width="13.7109375" style="523" customWidth="1"/>
    <col min="5380" max="5380" width="12.7109375" style="523" bestFit="1" customWidth="1"/>
    <col min="5381" max="5381" width="13.85546875" style="523" bestFit="1" customWidth="1"/>
    <col min="5382" max="5382" width="9.140625" style="523"/>
    <col min="5383" max="5383" width="9.7109375" style="523" bestFit="1" customWidth="1"/>
    <col min="5384" max="5632" width="9.140625" style="523"/>
    <col min="5633" max="5633" width="33.7109375" style="523" customWidth="1"/>
    <col min="5634" max="5634" width="13.140625" style="523" customWidth="1"/>
    <col min="5635" max="5635" width="13.7109375" style="523" customWidth="1"/>
    <col min="5636" max="5636" width="12.7109375" style="523" bestFit="1" customWidth="1"/>
    <col min="5637" max="5637" width="13.85546875" style="523" bestFit="1" customWidth="1"/>
    <col min="5638" max="5638" width="9.140625" style="523"/>
    <col min="5639" max="5639" width="9.7109375" style="523" bestFit="1" customWidth="1"/>
    <col min="5640" max="5888" width="9.140625" style="523"/>
    <col min="5889" max="5889" width="33.7109375" style="523" customWidth="1"/>
    <col min="5890" max="5890" width="13.140625" style="523" customWidth="1"/>
    <col min="5891" max="5891" width="13.7109375" style="523" customWidth="1"/>
    <col min="5892" max="5892" width="12.7109375" style="523" bestFit="1" customWidth="1"/>
    <col min="5893" max="5893" width="13.85546875" style="523" bestFit="1" customWidth="1"/>
    <col min="5894" max="5894" width="9.140625" style="523"/>
    <col min="5895" max="5895" width="9.7109375" style="523" bestFit="1" customWidth="1"/>
    <col min="5896" max="6144" width="9.140625" style="523"/>
    <col min="6145" max="6145" width="33.7109375" style="523" customWidth="1"/>
    <col min="6146" max="6146" width="13.140625" style="523" customWidth="1"/>
    <col min="6147" max="6147" width="13.7109375" style="523" customWidth="1"/>
    <col min="6148" max="6148" width="12.7109375" style="523" bestFit="1" customWidth="1"/>
    <col min="6149" max="6149" width="13.85546875" style="523" bestFit="1" customWidth="1"/>
    <col min="6150" max="6150" width="9.140625" style="523"/>
    <col min="6151" max="6151" width="9.7109375" style="523" bestFit="1" customWidth="1"/>
    <col min="6152" max="6400" width="9.140625" style="523"/>
    <col min="6401" max="6401" width="33.7109375" style="523" customWidth="1"/>
    <col min="6402" max="6402" width="13.140625" style="523" customWidth="1"/>
    <col min="6403" max="6403" width="13.7109375" style="523" customWidth="1"/>
    <col min="6404" max="6404" width="12.7109375" style="523" bestFit="1" customWidth="1"/>
    <col min="6405" max="6405" width="13.85546875" style="523" bestFit="1" customWidth="1"/>
    <col min="6406" max="6406" width="9.140625" style="523"/>
    <col min="6407" max="6407" width="9.7109375" style="523" bestFit="1" customWidth="1"/>
    <col min="6408" max="6656" width="9.140625" style="523"/>
    <col min="6657" max="6657" width="33.7109375" style="523" customWidth="1"/>
    <col min="6658" max="6658" width="13.140625" style="523" customWidth="1"/>
    <col min="6659" max="6659" width="13.7109375" style="523" customWidth="1"/>
    <col min="6660" max="6660" width="12.7109375" style="523" bestFit="1" customWidth="1"/>
    <col min="6661" max="6661" width="13.85546875" style="523" bestFit="1" customWidth="1"/>
    <col min="6662" max="6662" width="9.140625" style="523"/>
    <col min="6663" max="6663" width="9.7109375" style="523" bestFit="1" customWidth="1"/>
    <col min="6664" max="6912" width="9.140625" style="523"/>
    <col min="6913" max="6913" width="33.7109375" style="523" customWidth="1"/>
    <col min="6914" max="6914" width="13.140625" style="523" customWidth="1"/>
    <col min="6915" max="6915" width="13.7109375" style="523" customWidth="1"/>
    <col min="6916" max="6916" width="12.7109375" style="523" bestFit="1" customWidth="1"/>
    <col min="6917" max="6917" width="13.85546875" style="523" bestFit="1" customWidth="1"/>
    <col min="6918" max="6918" width="9.140625" style="523"/>
    <col min="6919" max="6919" width="9.7109375" style="523" bestFit="1" customWidth="1"/>
    <col min="6920" max="7168" width="9.140625" style="523"/>
    <col min="7169" max="7169" width="33.7109375" style="523" customWidth="1"/>
    <col min="7170" max="7170" width="13.140625" style="523" customWidth="1"/>
    <col min="7171" max="7171" width="13.7109375" style="523" customWidth="1"/>
    <col min="7172" max="7172" width="12.7109375" style="523" bestFit="1" customWidth="1"/>
    <col min="7173" max="7173" width="13.85546875" style="523" bestFit="1" customWidth="1"/>
    <col min="7174" max="7174" width="9.140625" style="523"/>
    <col min="7175" max="7175" width="9.7109375" style="523" bestFit="1" customWidth="1"/>
    <col min="7176" max="7424" width="9.140625" style="523"/>
    <col min="7425" max="7425" width="33.7109375" style="523" customWidth="1"/>
    <col min="7426" max="7426" width="13.140625" style="523" customWidth="1"/>
    <col min="7427" max="7427" width="13.7109375" style="523" customWidth="1"/>
    <col min="7428" max="7428" width="12.7109375" style="523" bestFit="1" customWidth="1"/>
    <col min="7429" max="7429" width="13.85546875" style="523" bestFit="1" customWidth="1"/>
    <col min="7430" max="7430" width="9.140625" style="523"/>
    <col min="7431" max="7431" width="9.7109375" style="523" bestFit="1" customWidth="1"/>
    <col min="7432" max="7680" width="9.140625" style="523"/>
    <col min="7681" max="7681" width="33.7109375" style="523" customWidth="1"/>
    <col min="7682" max="7682" width="13.140625" style="523" customWidth="1"/>
    <col min="7683" max="7683" width="13.7109375" style="523" customWidth="1"/>
    <col min="7684" max="7684" width="12.7109375" style="523" bestFit="1" customWidth="1"/>
    <col min="7685" max="7685" width="13.85546875" style="523" bestFit="1" customWidth="1"/>
    <col min="7686" max="7686" width="9.140625" style="523"/>
    <col min="7687" max="7687" width="9.7109375" style="523" bestFit="1" customWidth="1"/>
    <col min="7688" max="7936" width="9.140625" style="523"/>
    <col min="7937" max="7937" width="33.7109375" style="523" customWidth="1"/>
    <col min="7938" max="7938" width="13.140625" style="523" customWidth="1"/>
    <col min="7939" max="7939" width="13.7109375" style="523" customWidth="1"/>
    <col min="7940" max="7940" width="12.7109375" style="523" bestFit="1" customWidth="1"/>
    <col min="7941" max="7941" width="13.85546875" style="523" bestFit="1" customWidth="1"/>
    <col min="7942" max="7942" width="9.140625" style="523"/>
    <col min="7943" max="7943" width="9.7109375" style="523" bestFit="1" customWidth="1"/>
    <col min="7944" max="8192" width="9.140625" style="523"/>
    <col min="8193" max="8193" width="33.7109375" style="523" customWidth="1"/>
    <col min="8194" max="8194" width="13.140625" style="523" customWidth="1"/>
    <col min="8195" max="8195" width="13.7109375" style="523" customWidth="1"/>
    <col min="8196" max="8196" width="12.7109375" style="523" bestFit="1" customWidth="1"/>
    <col min="8197" max="8197" width="13.85546875" style="523" bestFit="1" customWidth="1"/>
    <col min="8198" max="8198" width="9.140625" style="523"/>
    <col min="8199" max="8199" width="9.7109375" style="523" bestFit="1" customWidth="1"/>
    <col min="8200" max="8448" width="9.140625" style="523"/>
    <col min="8449" max="8449" width="33.7109375" style="523" customWidth="1"/>
    <col min="8450" max="8450" width="13.140625" style="523" customWidth="1"/>
    <col min="8451" max="8451" width="13.7109375" style="523" customWidth="1"/>
    <col min="8452" max="8452" width="12.7109375" style="523" bestFit="1" customWidth="1"/>
    <col min="8453" max="8453" width="13.85546875" style="523" bestFit="1" customWidth="1"/>
    <col min="8454" max="8454" width="9.140625" style="523"/>
    <col min="8455" max="8455" width="9.7109375" style="523" bestFit="1" customWidth="1"/>
    <col min="8456" max="8704" width="9.140625" style="523"/>
    <col min="8705" max="8705" width="33.7109375" style="523" customWidth="1"/>
    <col min="8706" max="8706" width="13.140625" style="523" customWidth="1"/>
    <col min="8707" max="8707" width="13.7109375" style="523" customWidth="1"/>
    <col min="8708" max="8708" width="12.7109375" style="523" bestFit="1" customWidth="1"/>
    <col min="8709" max="8709" width="13.85546875" style="523" bestFit="1" customWidth="1"/>
    <col min="8710" max="8710" width="9.140625" style="523"/>
    <col min="8711" max="8711" width="9.7109375" style="523" bestFit="1" customWidth="1"/>
    <col min="8712" max="8960" width="9.140625" style="523"/>
    <col min="8961" max="8961" width="33.7109375" style="523" customWidth="1"/>
    <col min="8962" max="8962" width="13.140625" style="523" customWidth="1"/>
    <col min="8963" max="8963" width="13.7109375" style="523" customWidth="1"/>
    <col min="8964" max="8964" width="12.7109375" style="523" bestFit="1" customWidth="1"/>
    <col min="8965" max="8965" width="13.85546875" style="523" bestFit="1" customWidth="1"/>
    <col min="8966" max="8966" width="9.140625" style="523"/>
    <col min="8967" max="8967" width="9.7109375" style="523" bestFit="1" customWidth="1"/>
    <col min="8968" max="9216" width="9.140625" style="523"/>
    <col min="9217" max="9217" width="33.7109375" style="523" customWidth="1"/>
    <col min="9218" max="9218" width="13.140625" style="523" customWidth="1"/>
    <col min="9219" max="9219" width="13.7109375" style="523" customWidth="1"/>
    <col min="9220" max="9220" width="12.7109375" style="523" bestFit="1" customWidth="1"/>
    <col min="9221" max="9221" width="13.85546875" style="523" bestFit="1" customWidth="1"/>
    <col min="9222" max="9222" width="9.140625" style="523"/>
    <col min="9223" max="9223" width="9.7109375" style="523" bestFit="1" customWidth="1"/>
    <col min="9224" max="9472" width="9.140625" style="523"/>
    <col min="9473" max="9473" width="33.7109375" style="523" customWidth="1"/>
    <col min="9474" max="9474" width="13.140625" style="523" customWidth="1"/>
    <col min="9475" max="9475" width="13.7109375" style="523" customWidth="1"/>
    <col min="9476" max="9476" width="12.7109375" style="523" bestFit="1" customWidth="1"/>
    <col min="9477" max="9477" width="13.85546875" style="523" bestFit="1" customWidth="1"/>
    <col min="9478" max="9478" width="9.140625" style="523"/>
    <col min="9479" max="9479" width="9.7109375" style="523" bestFit="1" customWidth="1"/>
    <col min="9480" max="9728" width="9.140625" style="523"/>
    <col min="9729" max="9729" width="33.7109375" style="523" customWidth="1"/>
    <col min="9730" max="9730" width="13.140625" style="523" customWidth="1"/>
    <col min="9731" max="9731" width="13.7109375" style="523" customWidth="1"/>
    <col min="9732" max="9732" width="12.7109375" style="523" bestFit="1" customWidth="1"/>
    <col min="9733" max="9733" width="13.85546875" style="523" bestFit="1" customWidth="1"/>
    <col min="9734" max="9734" width="9.140625" style="523"/>
    <col min="9735" max="9735" width="9.7109375" style="523" bestFit="1" customWidth="1"/>
    <col min="9736" max="9984" width="9.140625" style="523"/>
    <col min="9985" max="9985" width="33.7109375" style="523" customWidth="1"/>
    <col min="9986" max="9986" width="13.140625" style="523" customWidth="1"/>
    <col min="9987" max="9987" width="13.7109375" style="523" customWidth="1"/>
    <col min="9988" max="9988" width="12.7109375" style="523" bestFit="1" customWidth="1"/>
    <col min="9989" max="9989" width="13.85546875" style="523" bestFit="1" customWidth="1"/>
    <col min="9990" max="9990" width="9.140625" style="523"/>
    <col min="9991" max="9991" width="9.7109375" style="523" bestFit="1" customWidth="1"/>
    <col min="9992" max="10240" width="9.140625" style="523"/>
    <col min="10241" max="10241" width="33.7109375" style="523" customWidth="1"/>
    <col min="10242" max="10242" width="13.140625" style="523" customWidth="1"/>
    <col min="10243" max="10243" width="13.7109375" style="523" customWidth="1"/>
    <col min="10244" max="10244" width="12.7109375" style="523" bestFit="1" customWidth="1"/>
    <col min="10245" max="10245" width="13.85546875" style="523" bestFit="1" customWidth="1"/>
    <col min="10246" max="10246" width="9.140625" style="523"/>
    <col min="10247" max="10247" width="9.7109375" style="523" bestFit="1" customWidth="1"/>
    <col min="10248" max="10496" width="9.140625" style="523"/>
    <col min="10497" max="10497" width="33.7109375" style="523" customWidth="1"/>
    <col min="10498" max="10498" width="13.140625" style="523" customWidth="1"/>
    <col min="10499" max="10499" width="13.7109375" style="523" customWidth="1"/>
    <col min="10500" max="10500" width="12.7109375" style="523" bestFit="1" customWidth="1"/>
    <col min="10501" max="10501" width="13.85546875" style="523" bestFit="1" customWidth="1"/>
    <col min="10502" max="10502" width="9.140625" style="523"/>
    <col min="10503" max="10503" width="9.7109375" style="523" bestFit="1" customWidth="1"/>
    <col min="10504" max="10752" width="9.140625" style="523"/>
    <col min="10753" max="10753" width="33.7109375" style="523" customWidth="1"/>
    <col min="10754" max="10754" width="13.140625" style="523" customWidth="1"/>
    <col min="10755" max="10755" width="13.7109375" style="523" customWidth="1"/>
    <col min="10756" max="10756" width="12.7109375" style="523" bestFit="1" customWidth="1"/>
    <col min="10757" max="10757" width="13.85546875" style="523" bestFit="1" customWidth="1"/>
    <col min="10758" max="10758" width="9.140625" style="523"/>
    <col min="10759" max="10759" width="9.7109375" style="523" bestFit="1" customWidth="1"/>
    <col min="10760" max="11008" width="9.140625" style="523"/>
    <col min="11009" max="11009" width="33.7109375" style="523" customWidth="1"/>
    <col min="11010" max="11010" width="13.140625" style="523" customWidth="1"/>
    <col min="11011" max="11011" width="13.7109375" style="523" customWidth="1"/>
    <col min="11012" max="11012" width="12.7109375" style="523" bestFit="1" customWidth="1"/>
    <col min="11013" max="11013" width="13.85546875" style="523" bestFit="1" customWidth="1"/>
    <col min="11014" max="11014" width="9.140625" style="523"/>
    <col min="11015" max="11015" width="9.7109375" style="523" bestFit="1" customWidth="1"/>
    <col min="11016" max="11264" width="9.140625" style="523"/>
    <col min="11265" max="11265" width="33.7109375" style="523" customWidth="1"/>
    <col min="11266" max="11266" width="13.140625" style="523" customWidth="1"/>
    <col min="11267" max="11267" width="13.7109375" style="523" customWidth="1"/>
    <col min="11268" max="11268" width="12.7109375" style="523" bestFit="1" customWidth="1"/>
    <col min="11269" max="11269" width="13.85546875" style="523" bestFit="1" customWidth="1"/>
    <col min="11270" max="11270" width="9.140625" style="523"/>
    <col min="11271" max="11271" width="9.7109375" style="523" bestFit="1" customWidth="1"/>
    <col min="11272" max="11520" width="9.140625" style="523"/>
    <col min="11521" max="11521" width="33.7109375" style="523" customWidth="1"/>
    <col min="11522" max="11522" width="13.140625" style="523" customWidth="1"/>
    <col min="11523" max="11523" width="13.7109375" style="523" customWidth="1"/>
    <col min="11524" max="11524" width="12.7109375" style="523" bestFit="1" customWidth="1"/>
    <col min="11525" max="11525" width="13.85546875" style="523" bestFit="1" customWidth="1"/>
    <col min="11526" max="11526" width="9.140625" style="523"/>
    <col min="11527" max="11527" width="9.7109375" style="523" bestFit="1" customWidth="1"/>
    <col min="11528" max="11776" width="9.140625" style="523"/>
    <col min="11777" max="11777" width="33.7109375" style="523" customWidth="1"/>
    <col min="11778" max="11778" width="13.140625" style="523" customWidth="1"/>
    <col min="11779" max="11779" width="13.7109375" style="523" customWidth="1"/>
    <col min="11780" max="11780" width="12.7109375" style="523" bestFit="1" customWidth="1"/>
    <col min="11781" max="11781" width="13.85546875" style="523" bestFit="1" customWidth="1"/>
    <col min="11782" max="11782" width="9.140625" style="523"/>
    <col min="11783" max="11783" width="9.7109375" style="523" bestFit="1" customWidth="1"/>
    <col min="11784" max="12032" width="9.140625" style="523"/>
    <col min="12033" max="12033" width="33.7109375" style="523" customWidth="1"/>
    <col min="12034" max="12034" width="13.140625" style="523" customWidth="1"/>
    <col min="12035" max="12035" width="13.7109375" style="523" customWidth="1"/>
    <col min="12036" max="12036" width="12.7109375" style="523" bestFit="1" customWidth="1"/>
    <col min="12037" max="12037" width="13.85546875" style="523" bestFit="1" customWidth="1"/>
    <col min="12038" max="12038" width="9.140625" style="523"/>
    <col min="12039" max="12039" width="9.7109375" style="523" bestFit="1" customWidth="1"/>
    <col min="12040" max="12288" width="9.140625" style="523"/>
    <col min="12289" max="12289" width="33.7109375" style="523" customWidth="1"/>
    <col min="12290" max="12290" width="13.140625" style="523" customWidth="1"/>
    <col min="12291" max="12291" width="13.7109375" style="523" customWidth="1"/>
    <col min="12292" max="12292" width="12.7109375" style="523" bestFit="1" customWidth="1"/>
    <col min="12293" max="12293" width="13.85546875" style="523" bestFit="1" customWidth="1"/>
    <col min="12294" max="12294" width="9.140625" style="523"/>
    <col min="12295" max="12295" width="9.7109375" style="523" bestFit="1" customWidth="1"/>
    <col min="12296" max="12544" width="9.140625" style="523"/>
    <col min="12545" max="12545" width="33.7109375" style="523" customWidth="1"/>
    <col min="12546" max="12546" width="13.140625" style="523" customWidth="1"/>
    <col min="12547" max="12547" width="13.7109375" style="523" customWidth="1"/>
    <col min="12548" max="12548" width="12.7109375" style="523" bestFit="1" customWidth="1"/>
    <col min="12549" max="12549" width="13.85546875" style="523" bestFit="1" customWidth="1"/>
    <col min="12550" max="12550" width="9.140625" style="523"/>
    <col min="12551" max="12551" width="9.7109375" style="523" bestFit="1" customWidth="1"/>
    <col min="12552" max="12800" width="9.140625" style="523"/>
    <col min="12801" max="12801" width="33.7109375" style="523" customWidth="1"/>
    <col min="12802" max="12802" width="13.140625" style="523" customWidth="1"/>
    <col min="12803" max="12803" width="13.7109375" style="523" customWidth="1"/>
    <col min="12804" max="12804" width="12.7109375" style="523" bestFit="1" customWidth="1"/>
    <col min="12805" max="12805" width="13.85546875" style="523" bestFit="1" customWidth="1"/>
    <col min="12806" max="12806" width="9.140625" style="523"/>
    <col min="12807" max="12807" width="9.7109375" style="523" bestFit="1" customWidth="1"/>
    <col min="12808" max="13056" width="9.140625" style="523"/>
    <col min="13057" max="13057" width="33.7109375" style="523" customWidth="1"/>
    <col min="13058" max="13058" width="13.140625" style="523" customWidth="1"/>
    <col min="13059" max="13059" width="13.7109375" style="523" customWidth="1"/>
    <col min="13060" max="13060" width="12.7109375" style="523" bestFit="1" customWidth="1"/>
    <col min="13061" max="13061" width="13.85546875" style="523" bestFit="1" customWidth="1"/>
    <col min="13062" max="13062" width="9.140625" style="523"/>
    <col min="13063" max="13063" width="9.7109375" style="523" bestFit="1" customWidth="1"/>
    <col min="13064" max="13312" width="9.140625" style="523"/>
    <col min="13313" max="13313" width="33.7109375" style="523" customWidth="1"/>
    <col min="13314" max="13314" width="13.140625" style="523" customWidth="1"/>
    <col min="13315" max="13315" width="13.7109375" style="523" customWidth="1"/>
    <col min="13316" max="13316" width="12.7109375" style="523" bestFit="1" customWidth="1"/>
    <col min="13317" max="13317" width="13.85546875" style="523" bestFit="1" customWidth="1"/>
    <col min="13318" max="13318" width="9.140625" style="523"/>
    <col min="13319" max="13319" width="9.7109375" style="523" bestFit="1" customWidth="1"/>
    <col min="13320" max="13568" width="9.140625" style="523"/>
    <col min="13569" max="13569" width="33.7109375" style="523" customWidth="1"/>
    <col min="13570" max="13570" width="13.140625" style="523" customWidth="1"/>
    <col min="13571" max="13571" width="13.7109375" style="523" customWidth="1"/>
    <col min="13572" max="13572" width="12.7109375" style="523" bestFit="1" customWidth="1"/>
    <col min="13573" max="13573" width="13.85546875" style="523" bestFit="1" customWidth="1"/>
    <col min="13574" max="13574" width="9.140625" style="523"/>
    <col min="13575" max="13575" width="9.7109375" style="523" bestFit="1" customWidth="1"/>
    <col min="13576" max="13824" width="9.140625" style="523"/>
    <col min="13825" max="13825" width="33.7109375" style="523" customWidth="1"/>
    <col min="13826" max="13826" width="13.140625" style="523" customWidth="1"/>
    <col min="13827" max="13827" width="13.7109375" style="523" customWidth="1"/>
    <col min="13828" max="13828" width="12.7109375" style="523" bestFit="1" customWidth="1"/>
    <col min="13829" max="13829" width="13.85546875" style="523" bestFit="1" customWidth="1"/>
    <col min="13830" max="13830" width="9.140625" style="523"/>
    <col min="13831" max="13831" width="9.7109375" style="523" bestFit="1" customWidth="1"/>
    <col min="13832" max="14080" width="9.140625" style="523"/>
    <col min="14081" max="14081" width="33.7109375" style="523" customWidth="1"/>
    <col min="14082" max="14082" width="13.140625" style="523" customWidth="1"/>
    <col min="14083" max="14083" width="13.7109375" style="523" customWidth="1"/>
    <col min="14084" max="14084" width="12.7109375" style="523" bestFit="1" customWidth="1"/>
    <col min="14085" max="14085" width="13.85546875" style="523" bestFit="1" customWidth="1"/>
    <col min="14086" max="14086" width="9.140625" style="523"/>
    <col min="14087" max="14087" width="9.7109375" style="523" bestFit="1" customWidth="1"/>
    <col min="14088" max="14336" width="9.140625" style="523"/>
    <col min="14337" max="14337" width="33.7109375" style="523" customWidth="1"/>
    <col min="14338" max="14338" width="13.140625" style="523" customWidth="1"/>
    <col min="14339" max="14339" width="13.7109375" style="523" customWidth="1"/>
    <col min="14340" max="14340" width="12.7109375" style="523" bestFit="1" customWidth="1"/>
    <col min="14341" max="14341" width="13.85546875" style="523" bestFit="1" customWidth="1"/>
    <col min="14342" max="14342" width="9.140625" style="523"/>
    <col min="14343" max="14343" width="9.7109375" style="523" bestFit="1" customWidth="1"/>
    <col min="14344" max="14592" width="9.140625" style="523"/>
    <col min="14593" max="14593" width="33.7109375" style="523" customWidth="1"/>
    <col min="14594" max="14594" width="13.140625" style="523" customWidth="1"/>
    <col min="14595" max="14595" width="13.7109375" style="523" customWidth="1"/>
    <col min="14596" max="14596" width="12.7109375" style="523" bestFit="1" customWidth="1"/>
    <col min="14597" max="14597" width="13.85546875" style="523" bestFit="1" customWidth="1"/>
    <col min="14598" max="14598" width="9.140625" style="523"/>
    <col min="14599" max="14599" width="9.7109375" style="523" bestFit="1" customWidth="1"/>
    <col min="14600" max="14848" width="9.140625" style="523"/>
    <col min="14849" max="14849" width="33.7109375" style="523" customWidth="1"/>
    <col min="14850" max="14850" width="13.140625" style="523" customWidth="1"/>
    <col min="14851" max="14851" width="13.7109375" style="523" customWidth="1"/>
    <col min="14852" max="14852" width="12.7109375" style="523" bestFit="1" customWidth="1"/>
    <col min="14853" max="14853" width="13.85546875" style="523" bestFit="1" customWidth="1"/>
    <col min="14854" max="14854" width="9.140625" style="523"/>
    <col min="14855" max="14855" width="9.7109375" style="523" bestFit="1" customWidth="1"/>
    <col min="14856" max="15104" width="9.140625" style="523"/>
    <col min="15105" max="15105" width="33.7109375" style="523" customWidth="1"/>
    <col min="15106" max="15106" width="13.140625" style="523" customWidth="1"/>
    <col min="15107" max="15107" width="13.7109375" style="523" customWidth="1"/>
    <col min="15108" max="15108" width="12.7109375" style="523" bestFit="1" customWidth="1"/>
    <col min="15109" max="15109" width="13.85546875" style="523" bestFit="1" customWidth="1"/>
    <col min="15110" max="15110" width="9.140625" style="523"/>
    <col min="15111" max="15111" width="9.7109375" style="523" bestFit="1" customWidth="1"/>
    <col min="15112" max="15360" width="9.140625" style="523"/>
    <col min="15361" max="15361" width="33.7109375" style="523" customWidth="1"/>
    <col min="15362" max="15362" width="13.140625" style="523" customWidth="1"/>
    <col min="15363" max="15363" width="13.7109375" style="523" customWidth="1"/>
    <col min="15364" max="15364" width="12.7109375" style="523" bestFit="1" customWidth="1"/>
    <col min="15365" max="15365" width="13.85546875" style="523" bestFit="1" customWidth="1"/>
    <col min="15366" max="15366" width="9.140625" style="523"/>
    <col min="15367" max="15367" width="9.7109375" style="523" bestFit="1" customWidth="1"/>
    <col min="15368" max="15616" width="9.140625" style="523"/>
    <col min="15617" max="15617" width="33.7109375" style="523" customWidth="1"/>
    <col min="15618" max="15618" width="13.140625" style="523" customWidth="1"/>
    <col min="15619" max="15619" width="13.7109375" style="523" customWidth="1"/>
    <col min="15620" max="15620" width="12.7109375" style="523" bestFit="1" customWidth="1"/>
    <col min="15621" max="15621" width="13.85546875" style="523" bestFit="1" customWidth="1"/>
    <col min="15622" max="15622" width="9.140625" style="523"/>
    <col min="15623" max="15623" width="9.7109375" style="523" bestFit="1" customWidth="1"/>
    <col min="15624" max="15872" width="9.140625" style="523"/>
    <col min="15873" max="15873" width="33.7109375" style="523" customWidth="1"/>
    <col min="15874" max="15874" width="13.140625" style="523" customWidth="1"/>
    <col min="15875" max="15875" width="13.7109375" style="523" customWidth="1"/>
    <col min="15876" max="15876" width="12.7109375" style="523" bestFit="1" customWidth="1"/>
    <col min="15877" max="15877" width="13.85546875" style="523" bestFit="1" customWidth="1"/>
    <col min="15878" max="15878" width="9.140625" style="523"/>
    <col min="15879" max="15879" width="9.7109375" style="523" bestFit="1" customWidth="1"/>
    <col min="15880" max="16128" width="9.140625" style="523"/>
    <col min="16129" max="16129" width="33.7109375" style="523" customWidth="1"/>
    <col min="16130" max="16130" width="13.140625" style="523" customWidth="1"/>
    <col min="16131" max="16131" width="13.7109375" style="523" customWidth="1"/>
    <col min="16132" max="16132" width="12.7109375" style="523" bestFit="1" customWidth="1"/>
    <col min="16133" max="16133" width="13.85546875" style="523" bestFit="1" customWidth="1"/>
    <col min="16134" max="16134" width="9.140625" style="523"/>
    <col min="16135" max="16135" width="9.7109375" style="523" bestFit="1" customWidth="1"/>
    <col min="16136" max="16384" width="9.140625" style="523"/>
  </cols>
  <sheetData>
    <row r="1" spans="1:7">
      <c r="C1" s="523" t="s">
        <v>1470</v>
      </c>
      <c r="G1" s="1383" t="s">
        <v>1020</v>
      </c>
    </row>
    <row r="6" spans="1:7" ht="16.5" customHeight="1"/>
    <row r="7" spans="1:7">
      <c r="A7" s="2409" t="s">
        <v>1469</v>
      </c>
      <c r="B7" s="2409"/>
      <c r="C7" s="2409"/>
      <c r="D7" s="2409"/>
      <c r="E7" s="2409"/>
    </row>
    <row r="8" spans="1:7">
      <c r="A8" s="2409" t="s">
        <v>1468</v>
      </c>
      <c r="B8" s="2409"/>
      <c r="C8" s="2409"/>
      <c r="D8" s="2409"/>
      <c r="E8" s="2409"/>
    </row>
    <row r="9" spans="1:7" ht="17.25" customHeight="1" thickBot="1">
      <c r="E9" s="615" t="s">
        <v>1467</v>
      </c>
      <c r="G9" s="589"/>
    </row>
    <row r="10" spans="1:7" s="610" customFormat="1" ht="22.5" customHeight="1" thickTop="1">
      <c r="A10" s="614" t="s">
        <v>1294</v>
      </c>
      <c r="B10" s="612" t="s">
        <v>235</v>
      </c>
      <c r="C10" s="613" t="s">
        <v>1</v>
      </c>
      <c r="D10" s="612" t="s">
        <v>3</v>
      </c>
      <c r="E10" s="611" t="s">
        <v>4</v>
      </c>
      <c r="G10" s="589"/>
    </row>
    <row r="11" spans="1:7" s="588" customFormat="1" ht="22.5" customHeight="1">
      <c r="A11" s="609" t="s">
        <v>1351</v>
      </c>
      <c r="B11" s="607"/>
      <c r="C11" s="608"/>
      <c r="D11" s="607"/>
      <c r="E11" s="606">
        <f>E18+E19</f>
        <v>527200000</v>
      </c>
      <c r="G11" s="576"/>
    </row>
    <row r="12" spans="1:7" ht="22.5" customHeight="1">
      <c r="A12" s="599" t="s">
        <v>1466</v>
      </c>
      <c r="B12" s="598" t="s">
        <v>8</v>
      </c>
      <c r="C12" s="597">
        <v>20</v>
      </c>
      <c r="D12" s="596">
        <v>16000000</v>
      </c>
      <c r="E12" s="595">
        <f t="shared" ref="E12:E17" si="0">C12*D12</f>
        <v>320000000</v>
      </c>
      <c r="G12" s="589">
        <v>10</v>
      </c>
    </row>
    <row r="13" spans="1:7" ht="22.5" customHeight="1">
      <c r="A13" s="599" t="s">
        <v>1465</v>
      </c>
      <c r="B13" s="598" t="s">
        <v>11</v>
      </c>
      <c r="C13" s="597">
        <f t="shared" ref="C13:C22" si="1">G13*$C$12/$G$12</f>
        <v>7400</v>
      </c>
      <c r="D13" s="596">
        <v>8000</v>
      </c>
      <c r="E13" s="595">
        <f t="shared" si="0"/>
        <v>59200000</v>
      </c>
      <c r="G13" s="605">
        <v>3700</v>
      </c>
    </row>
    <row r="14" spans="1:7" ht="22.5" customHeight="1">
      <c r="A14" s="599" t="s">
        <v>1464</v>
      </c>
      <c r="B14" s="598" t="s">
        <v>11</v>
      </c>
      <c r="C14" s="597">
        <f t="shared" si="1"/>
        <v>220000</v>
      </c>
      <c r="D14" s="596">
        <v>350</v>
      </c>
      <c r="E14" s="595">
        <f t="shared" si="0"/>
        <v>77000000</v>
      </c>
      <c r="G14" s="605">
        <v>110000</v>
      </c>
    </row>
    <row r="15" spans="1:7" ht="22.5" customHeight="1">
      <c r="A15" s="599" t="s">
        <v>1463</v>
      </c>
      <c r="B15" s="598" t="s">
        <v>1270</v>
      </c>
      <c r="C15" s="597">
        <f t="shared" si="1"/>
        <v>20</v>
      </c>
      <c r="D15" s="596">
        <v>150000</v>
      </c>
      <c r="E15" s="595">
        <f t="shared" si="0"/>
        <v>3000000</v>
      </c>
      <c r="G15" s="589">
        <v>10</v>
      </c>
    </row>
    <row r="16" spans="1:7" ht="22.5" customHeight="1">
      <c r="A16" s="599" t="s">
        <v>1462</v>
      </c>
      <c r="B16" s="598" t="s">
        <v>1270</v>
      </c>
      <c r="C16" s="597">
        <f t="shared" si="1"/>
        <v>20</v>
      </c>
      <c r="D16" s="596">
        <v>200000</v>
      </c>
      <c r="E16" s="595">
        <f t="shared" si="0"/>
        <v>4000000</v>
      </c>
      <c r="G16" s="589">
        <v>10</v>
      </c>
    </row>
    <row r="17" spans="1:7" ht="22.5" customHeight="1">
      <c r="A17" s="599" t="s">
        <v>1461</v>
      </c>
      <c r="B17" s="598" t="s">
        <v>511</v>
      </c>
      <c r="C17" s="597">
        <f t="shared" si="1"/>
        <v>360</v>
      </c>
      <c r="D17" s="596">
        <v>100000</v>
      </c>
      <c r="E17" s="595">
        <f t="shared" si="0"/>
        <v>36000000</v>
      </c>
      <c r="G17" s="589">
        <v>180</v>
      </c>
    </row>
    <row r="18" spans="1:7" s="588" customFormat="1" ht="22.5" customHeight="1">
      <c r="A18" s="603" t="s">
        <v>1344</v>
      </c>
      <c r="B18" s="602"/>
      <c r="C18" s="597">
        <f t="shared" si="1"/>
        <v>0</v>
      </c>
      <c r="D18" s="601"/>
      <c r="E18" s="600">
        <f>SUM(E12:E17)</f>
        <v>499200000</v>
      </c>
      <c r="G18" s="576"/>
    </row>
    <row r="19" spans="1:7" ht="22.5" customHeight="1">
      <c r="A19" s="599" t="s">
        <v>1460</v>
      </c>
      <c r="B19" s="598" t="s">
        <v>1270</v>
      </c>
      <c r="C19" s="597">
        <f t="shared" si="1"/>
        <v>0.14000000000000001</v>
      </c>
      <c r="D19" s="596"/>
      <c r="E19" s="595">
        <f>G19*C26</f>
        <v>28000000.000000004</v>
      </c>
      <c r="G19" s="604">
        <v>7.0000000000000007E-2</v>
      </c>
    </row>
    <row r="20" spans="1:7" s="588" customFormat="1" ht="22.5" customHeight="1">
      <c r="A20" s="603" t="s">
        <v>1341</v>
      </c>
      <c r="B20" s="602"/>
      <c r="C20" s="597">
        <f t="shared" si="1"/>
        <v>0</v>
      </c>
      <c r="D20" s="601"/>
      <c r="E20" s="600">
        <f>E21+E22</f>
        <v>678000000</v>
      </c>
      <c r="G20" s="589"/>
    </row>
    <row r="21" spans="1:7" ht="22.5" customHeight="1">
      <c r="A21" s="599" t="s">
        <v>1459</v>
      </c>
      <c r="B21" s="598" t="s">
        <v>228</v>
      </c>
      <c r="C21" s="597">
        <f t="shared" si="1"/>
        <v>60</v>
      </c>
      <c r="D21" s="596">
        <v>300000</v>
      </c>
      <c r="E21" s="595">
        <f>D21*C21</f>
        <v>18000000</v>
      </c>
      <c r="G21" s="576">
        <v>30</v>
      </c>
    </row>
    <row r="22" spans="1:7" ht="22.5" customHeight="1">
      <c r="A22" s="599" t="s">
        <v>1458</v>
      </c>
      <c r="B22" s="598" t="s">
        <v>11</v>
      </c>
      <c r="C22" s="597">
        <f t="shared" si="1"/>
        <v>20</v>
      </c>
      <c r="D22" s="596">
        <v>33000000</v>
      </c>
      <c r="E22" s="595">
        <f>C22*D22</f>
        <v>660000000</v>
      </c>
      <c r="G22" s="589">
        <v>10</v>
      </c>
    </row>
    <row r="23" spans="1:7" s="588" customFormat="1" ht="22.5" customHeight="1">
      <c r="A23" s="594" t="s">
        <v>1337</v>
      </c>
      <c r="B23" s="593"/>
      <c r="C23" s="592"/>
      <c r="D23" s="591"/>
      <c r="E23" s="590">
        <f>E20-E11</f>
        <v>150800000</v>
      </c>
      <c r="G23" s="589"/>
    </row>
    <row r="24" spans="1:7" ht="22.5" customHeight="1" thickBot="1">
      <c r="A24" s="587" t="s">
        <v>1269</v>
      </c>
      <c r="B24" s="586" t="s">
        <v>90</v>
      </c>
      <c r="C24" s="585"/>
      <c r="D24" s="584"/>
      <c r="E24" s="583">
        <f>E23/E20</f>
        <v>0.22241887905604721</v>
      </c>
      <c r="G24" s="576"/>
    </row>
    <row r="25" spans="1:7" ht="22.5" customHeight="1" thickTop="1">
      <c r="A25" s="582"/>
      <c r="B25" s="581"/>
      <c r="C25" s="580"/>
      <c r="D25" s="579"/>
      <c r="E25" s="578"/>
      <c r="G25" s="576"/>
    </row>
    <row r="26" spans="1:7" ht="22.5" customHeight="1">
      <c r="A26" s="577" t="s">
        <v>1268</v>
      </c>
      <c r="C26" s="2467">
        <v>400000000</v>
      </c>
      <c r="D26" s="2467"/>
      <c r="G26" s="576"/>
    </row>
    <row r="27" spans="1:7" ht="22.5" customHeight="1">
      <c r="A27" s="523" t="s">
        <v>1457</v>
      </c>
    </row>
    <row r="28" spans="1:7" ht="22.5" customHeight="1">
      <c r="A28" s="523" t="s">
        <v>1456</v>
      </c>
    </row>
    <row r="29" spans="1:7">
      <c r="A29" s="575" t="s">
        <v>1455</v>
      </c>
    </row>
  </sheetData>
  <mergeCells count="3">
    <mergeCell ref="A7:E7"/>
    <mergeCell ref="A8:E8"/>
    <mergeCell ref="C26:D26"/>
  </mergeCells>
  <pageMargins left="1" right="0.5" top="0.75" bottom="0.75" header="0.5" footer="0.5"/>
  <pageSetup paperSize="9" orientation="portrait" r:id="rId1"/>
  <headerFooter alignWithMargins="0">
    <oddFooter>&amp;CTrang</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3"/>
  <dimension ref="A1:G50"/>
  <sheetViews>
    <sheetView zoomScale="90" zoomScaleNormal="90" workbookViewId="0">
      <selection activeCell="C2" sqref="C2"/>
    </sheetView>
  </sheetViews>
  <sheetFormatPr defaultRowHeight="16.5"/>
  <cols>
    <col min="1" max="1" width="5.28515625" style="1692" bestFit="1" customWidth="1"/>
    <col min="2" max="2" width="43" style="1692" bestFit="1" customWidth="1"/>
    <col min="3" max="3" width="6.85546875" style="1692" bestFit="1" customWidth="1"/>
    <col min="4" max="4" width="9.28515625" style="1692" bestFit="1" customWidth="1"/>
    <col min="5" max="5" width="14.140625" style="1692" bestFit="1" customWidth="1"/>
    <col min="6" max="6" width="15.28515625" style="1692" bestFit="1" customWidth="1"/>
    <col min="7" max="7" width="14.140625" style="1692" bestFit="1" customWidth="1"/>
    <col min="8" max="16384" width="9.140625" style="1692"/>
  </cols>
  <sheetData>
    <row r="1" spans="1:7">
      <c r="C1" s="1692" t="s">
        <v>3132</v>
      </c>
      <c r="G1" s="1678" t="s">
        <v>1020</v>
      </c>
    </row>
    <row r="5" spans="1:7" ht="33">
      <c r="A5" s="1679" t="s">
        <v>97</v>
      </c>
      <c r="B5" s="1679" t="s">
        <v>14</v>
      </c>
      <c r="C5" s="1679" t="s">
        <v>3131</v>
      </c>
      <c r="D5" s="1679" t="s">
        <v>1</v>
      </c>
      <c r="E5" s="1679" t="s">
        <v>1729</v>
      </c>
      <c r="F5" s="1680" t="s">
        <v>2885</v>
      </c>
    </row>
    <row r="6" spans="1:7">
      <c r="A6" s="2468" t="s">
        <v>3130</v>
      </c>
      <c r="B6" s="2468"/>
      <c r="C6" s="2468"/>
      <c r="D6" s="2468"/>
      <c r="E6" s="1681"/>
      <c r="F6" s="1682">
        <f>F7+F14+F21</f>
        <v>420664800</v>
      </c>
    </row>
    <row r="7" spans="1:7">
      <c r="A7" s="1679" t="s">
        <v>480</v>
      </c>
      <c r="B7" s="2311" t="s">
        <v>3129</v>
      </c>
      <c r="C7" s="2311"/>
      <c r="D7" s="2311"/>
      <c r="E7" s="1681"/>
      <c r="F7" s="1682">
        <f>SUM(F8:F13)</f>
        <v>109779000</v>
      </c>
    </row>
    <row r="8" spans="1:7">
      <c r="A8" s="1683">
        <v>1</v>
      </c>
      <c r="B8" s="1684" t="s">
        <v>3128</v>
      </c>
      <c r="C8" s="1685" t="s">
        <v>3127</v>
      </c>
      <c r="D8" s="1686">
        <v>1.5</v>
      </c>
      <c r="E8" s="1687">
        <v>35000000</v>
      </c>
      <c r="F8" s="1688">
        <v>42265000</v>
      </c>
    </row>
    <row r="9" spans="1:7">
      <c r="A9" s="1683">
        <v>2</v>
      </c>
      <c r="B9" s="1684" t="s">
        <v>3126</v>
      </c>
      <c r="C9" s="1685" t="s">
        <v>3124</v>
      </c>
      <c r="D9" s="1687"/>
      <c r="E9" s="1687">
        <v>12000</v>
      </c>
      <c r="F9" s="1688">
        <f>E9*D9</f>
        <v>0</v>
      </c>
    </row>
    <row r="10" spans="1:7">
      <c r="A10" s="1683">
        <v>3</v>
      </c>
      <c r="B10" s="1684" t="s">
        <v>3125</v>
      </c>
      <c r="C10" s="1685" t="s">
        <v>3124</v>
      </c>
      <c r="D10" s="1687"/>
      <c r="E10" s="1687">
        <v>50000</v>
      </c>
      <c r="F10" s="1688">
        <f>E10*D10</f>
        <v>0</v>
      </c>
    </row>
    <row r="11" spans="1:7">
      <c r="A11" s="1683">
        <v>4</v>
      </c>
      <c r="B11" s="1684" t="s">
        <v>3123</v>
      </c>
      <c r="C11" s="1685" t="s">
        <v>3122</v>
      </c>
      <c r="D11" s="1686">
        <v>4</v>
      </c>
      <c r="E11" s="1687">
        <v>9500000</v>
      </c>
      <c r="F11" s="1688">
        <v>26154000</v>
      </c>
    </row>
    <row r="12" spans="1:7">
      <c r="A12" s="1683">
        <v>5</v>
      </c>
      <c r="B12" s="1684" t="s">
        <v>3121</v>
      </c>
      <c r="C12" s="1685" t="s">
        <v>244</v>
      </c>
      <c r="D12" s="1686">
        <v>2</v>
      </c>
      <c r="E12" s="1687">
        <v>18000000</v>
      </c>
      <c r="F12" s="1688">
        <v>22360000</v>
      </c>
    </row>
    <row r="13" spans="1:7">
      <c r="A13" s="1683">
        <v>6</v>
      </c>
      <c r="B13" s="1684" t="s">
        <v>3120</v>
      </c>
      <c r="C13" s="1689"/>
      <c r="D13" s="1689"/>
      <c r="E13" s="1689"/>
      <c r="F13" s="1688">
        <v>19000000</v>
      </c>
    </row>
    <row r="14" spans="1:7">
      <c r="A14" s="1679" t="s">
        <v>485</v>
      </c>
      <c r="B14" s="2311" t="s">
        <v>3119</v>
      </c>
      <c r="C14" s="1681"/>
      <c r="D14" s="1681"/>
      <c r="E14" s="1681"/>
      <c r="F14" s="1682">
        <f>SUM(F15:F20)</f>
        <v>194330000</v>
      </c>
      <c r="G14" s="1699">
        <f>F14+F21</f>
        <v>310885800</v>
      </c>
    </row>
    <row r="15" spans="1:7">
      <c r="A15" s="1683">
        <v>1</v>
      </c>
      <c r="B15" s="1684" t="s">
        <v>3118</v>
      </c>
      <c r="C15" s="1685" t="s">
        <v>3117</v>
      </c>
      <c r="D15" s="1687">
        <v>30000</v>
      </c>
      <c r="E15" s="1686">
        <v>90</v>
      </c>
      <c r="F15" s="1690">
        <f t="shared" ref="F15:F20" si="0">E15*D15</f>
        <v>2700000</v>
      </c>
    </row>
    <row r="16" spans="1:7">
      <c r="A16" s="1683">
        <v>2</v>
      </c>
      <c r="B16" s="1684" t="s">
        <v>3116</v>
      </c>
      <c r="C16" s="1685" t="s">
        <v>3115</v>
      </c>
      <c r="D16" s="1686">
        <v>250</v>
      </c>
      <c r="E16" s="1687">
        <v>650000</v>
      </c>
      <c r="F16" s="1690">
        <f t="shared" si="0"/>
        <v>162500000</v>
      </c>
    </row>
    <row r="17" spans="1:7">
      <c r="A17" s="1683">
        <v>3</v>
      </c>
      <c r="B17" s="1684" t="s">
        <v>3114</v>
      </c>
      <c r="C17" s="1685" t="s">
        <v>3100</v>
      </c>
      <c r="D17" s="1687">
        <v>80</v>
      </c>
      <c r="E17" s="1687">
        <v>11000</v>
      </c>
      <c r="F17" s="1690">
        <f t="shared" si="0"/>
        <v>880000</v>
      </c>
    </row>
    <row r="18" spans="1:7">
      <c r="A18" s="1683">
        <v>4</v>
      </c>
      <c r="B18" s="1684" t="s">
        <v>3113</v>
      </c>
      <c r="C18" s="1685" t="s">
        <v>3112</v>
      </c>
      <c r="D18" s="1686">
        <v>60</v>
      </c>
      <c r="E18" s="1687">
        <v>250000</v>
      </c>
      <c r="F18" s="1690">
        <f t="shared" si="0"/>
        <v>15000000</v>
      </c>
    </row>
    <row r="19" spans="1:7">
      <c r="A19" s="1683">
        <v>5</v>
      </c>
      <c r="B19" s="1684" t="s">
        <v>3111</v>
      </c>
      <c r="C19" s="1685" t="s">
        <v>3110</v>
      </c>
      <c r="D19" s="1686">
        <v>50</v>
      </c>
      <c r="E19" s="1687">
        <v>55000</v>
      </c>
      <c r="F19" s="1690">
        <f t="shared" si="0"/>
        <v>2750000</v>
      </c>
    </row>
    <row r="20" spans="1:7">
      <c r="A20" s="1683">
        <v>6</v>
      </c>
      <c r="B20" s="1684" t="s">
        <v>3109</v>
      </c>
      <c r="C20" s="1685" t="s">
        <v>3108</v>
      </c>
      <c r="D20" s="1687">
        <v>3500</v>
      </c>
      <c r="E20" s="1687">
        <v>3000</v>
      </c>
      <c r="F20" s="1690">
        <f t="shared" si="0"/>
        <v>10500000</v>
      </c>
    </row>
    <row r="21" spans="1:7">
      <c r="A21" s="1679" t="s">
        <v>489</v>
      </c>
      <c r="B21" s="2311" t="s">
        <v>3107</v>
      </c>
      <c r="C21" s="1683"/>
      <c r="D21" s="1691"/>
      <c r="E21" s="1691"/>
      <c r="F21" s="1682">
        <f>SUM(F22:F27)</f>
        <v>116555800</v>
      </c>
    </row>
    <row r="22" spans="1:7" ht="49.5">
      <c r="A22" s="1683">
        <v>1</v>
      </c>
      <c r="B22" s="1681" t="s">
        <v>2400</v>
      </c>
      <c r="C22" s="1683" t="s">
        <v>2456</v>
      </c>
      <c r="D22" s="1693"/>
      <c r="E22" s="1694">
        <v>4500000</v>
      </c>
      <c r="F22" s="1688">
        <f>E22*D22*12</f>
        <v>0</v>
      </c>
    </row>
    <row r="23" spans="1:7" ht="49.5">
      <c r="A23" s="1683">
        <v>2</v>
      </c>
      <c r="B23" s="1681" t="s">
        <v>337</v>
      </c>
      <c r="C23" s="1683" t="s">
        <v>3096</v>
      </c>
      <c r="D23" s="1693">
        <v>12</v>
      </c>
      <c r="E23" s="1694">
        <v>3000000</v>
      </c>
      <c r="F23" s="1688">
        <f>E23*D23</f>
        <v>36000000</v>
      </c>
    </row>
    <row r="24" spans="1:7">
      <c r="A24" s="1683">
        <v>4</v>
      </c>
      <c r="B24" s="1681" t="s">
        <v>3106</v>
      </c>
      <c r="C24" s="1683" t="s">
        <v>3104</v>
      </c>
      <c r="D24" s="1695">
        <v>0.12</v>
      </c>
      <c r="E24" s="1694">
        <f>F50</f>
        <v>100000000</v>
      </c>
      <c r="F24" s="1688">
        <f>E24*D24</f>
        <v>12000000</v>
      </c>
    </row>
    <row r="25" spans="1:7">
      <c r="A25" s="1683">
        <v>5</v>
      </c>
      <c r="B25" s="1681" t="s">
        <v>3105</v>
      </c>
      <c r="C25" s="1683" t="s">
        <v>3104</v>
      </c>
      <c r="D25" s="1696">
        <v>9.1999999999999998E-2</v>
      </c>
      <c r="E25" s="1694">
        <f>F42</f>
        <v>50000000</v>
      </c>
      <c r="F25" s="1688">
        <f>E25*D25</f>
        <v>4600000</v>
      </c>
    </row>
    <row r="26" spans="1:7">
      <c r="A26" s="1683">
        <v>6</v>
      </c>
      <c r="B26" s="1681" t="s">
        <v>484</v>
      </c>
      <c r="C26" s="1683" t="s">
        <v>3104</v>
      </c>
      <c r="D26" s="1697">
        <v>5</v>
      </c>
      <c r="E26" s="1694">
        <f>F7</f>
        <v>109779000</v>
      </c>
      <c r="F26" s="1688">
        <f>E26/D26</f>
        <v>21955800</v>
      </c>
    </row>
    <row r="27" spans="1:7" ht="33">
      <c r="A27" s="1683">
        <v>7</v>
      </c>
      <c r="B27" s="1681" t="s">
        <v>3103</v>
      </c>
      <c r="C27" s="1683" t="s">
        <v>358</v>
      </c>
      <c r="D27" s="1681">
        <v>12</v>
      </c>
      <c r="E27" s="1698">
        <v>3500000</v>
      </c>
      <c r="F27" s="1698">
        <f>E27*D27</f>
        <v>42000000</v>
      </c>
    </row>
    <row r="28" spans="1:7">
      <c r="A28" s="1679" t="s">
        <v>116</v>
      </c>
      <c r="B28" s="2311" t="s">
        <v>3102</v>
      </c>
      <c r="C28" s="1683"/>
      <c r="D28" s="1681"/>
      <c r="E28" s="1681"/>
      <c r="F28" s="1682">
        <f>F29-F31</f>
        <v>416000000</v>
      </c>
      <c r="G28" s="1699">
        <f>F28-F32</f>
        <v>310885800</v>
      </c>
    </row>
    <row r="29" spans="1:7">
      <c r="A29" s="1679" t="s">
        <v>480</v>
      </c>
      <c r="B29" s="2311" t="s">
        <v>1999</v>
      </c>
      <c r="C29" s="1683"/>
      <c r="D29" s="1681"/>
      <c r="E29" s="1681"/>
      <c r="F29" s="1682">
        <f>F30</f>
        <v>416000000</v>
      </c>
    </row>
    <row r="30" spans="1:7">
      <c r="A30" s="1683">
        <v>1</v>
      </c>
      <c r="B30" s="1681" t="s">
        <v>3101</v>
      </c>
      <c r="C30" s="1683" t="s">
        <v>3100</v>
      </c>
      <c r="D30" s="1700">
        <v>2600</v>
      </c>
      <c r="E30" s="1700">
        <v>160000</v>
      </c>
      <c r="F30" s="1688">
        <f>E30*D30</f>
        <v>416000000</v>
      </c>
    </row>
    <row r="31" spans="1:7">
      <c r="A31" s="1679" t="s">
        <v>485</v>
      </c>
      <c r="B31" s="2468" t="s">
        <v>3099</v>
      </c>
      <c r="C31" s="2468"/>
      <c r="D31" s="2468"/>
      <c r="E31" s="2468"/>
      <c r="F31" s="1680">
        <v>0</v>
      </c>
    </row>
    <row r="32" spans="1:7">
      <c r="A32" s="1679" t="s">
        <v>135</v>
      </c>
      <c r="B32" s="2311" t="s">
        <v>3098</v>
      </c>
      <c r="C32" s="1681"/>
      <c r="D32" s="1681"/>
      <c r="E32" s="1681"/>
      <c r="F32" s="1682">
        <f>F35</f>
        <v>105114200</v>
      </c>
    </row>
    <row r="33" spans="1:6">
      <c r="A33" s="1683">
        <v>1</v>
      </c>
      <c r="B33" s="1681" t="s">
        <v>3097</v>
      </c>
      <c r="C33" s="1681"/>
      <c r="D33" s="1681"/>
      <c r="E33" s="1681"/>
      <c r="F33" s="1688">
        <f>F28-F14-F21</f>
        <v>105114200</v>
      </c>
    </row>
    <row r="34" spans="1:6" ht="49.5">
      <c r="A34" s="1683">
        <v>2</v>
      </c>
      <c r="B34" s="1681" t="s">
        <v>546</v>
      </c>
      <c r="C34" s="1683" t="s">
        <v>3096</v>
      </c>
      <c r="D34" s="1701">
        <v>12</v>
      </c>
      <c r="E34" s="1701"/>
      <c r="F34" s="1701">
        <v>0</v>
      </c>
    </row>
    <row r="35" spans="1:6">
      <c r="A35" s="1683">
        <v>3</v>
      </c>
      <c r="B35" s="1681" t="s">
        <v>2854</v>
      </c>
      <c r="C35" s="1681"/>
      <c r="D35" s="1681"/>
      <c r="E35" s="1681"/>
      <c r="F35" s="1688">
        <f>F33-F34</f>
        <v>105114200</v>
      </c>
    </row>
    <row r="36" spans="1:6">
      <c r="A36" s="1679" t="s">
        <v>645</v>
      </c>
      <c r="B36" s="2311" t="s">
        <v>3095</v>
      </c>
      <c r="C36" s="1681"/>
      <c r="D36" s="1681"/>
      <c r="E36" s="1681"/>
      <c r="F36" s="1680"/>
    </row>
    <row r="37" spans="1:6">
      <c r="A37" s="1683">
        <v>1</v>
      </c>
      <c r="B37" s="1681" t="s">
        <v>3094</v>
      </c>
      <c r="C37" s="1681"/>
      <c r="D37" s="1681"/>
      <c r="E37" s="1681"/>
      <c r="F37" s="1688">
        <f>F7</f>
        <v>109779000</v>
      </c>
    </row>
    <row r="38" spans="1:6">
      <c r="A38" s="1683">
        <v>2</v>
      </c>
      <c r="B38" s="1681" t="s">
        <v>559</v>
      </c>
      <c r="C38" s="1681"/>
      <c r="D38" s="1702">
        <f>F38/F37</f>
        <v>0.54453948387214313</v>
      </c>
      <c r="E38" s="1683" t="s">
        <v>3091</v>
      </c>
      <c r="F38" s="1688">
        <f>F37-F42</f>
        <v>59779000</v>
      </c>
    </row>
    <row r="39" spans="1:6">
      <c r="A39" s="1703">
        <v>2.1</v>
      </c>
      <c r="B39" s="1704" t="s">
        <v>1112</v>
      </c>
      <c r="C39" s="1704"/>
      <c r="D39" s="1704"/>
      <c r="E39" s="1704"/>
      <c r="F39" s="1705">
        <f>F38</f>
        <v>59779000</v>
      </c>
    </row>
    <row r="40" spans="1:6">
      <c r="A40" s="1703">
        <v>2.2000000000000002</v>
      </c>
      <c r="B40" s="1704" t="s">
        <v>3090</v>
      </c>
      <c r="C40" s="1704"/>
      <c r="D40" s="1704"/>
      <c r="E40" s="1704"/>
      <c r="F40" s="1706"/>
    </row>
    <row r="41" spans="1:6" ht="33">
      <c r="A41" s="1703">
        <v>2.2999999999999998</v>
      </c>
      <c r="B41" s="1704" t="s">
        <v>3089</v>
      </c>
      <c r="C41" s="1704"/>
      <c r="D41" s="1704"/>
      <c r="E41" s="1704"/>
      <c r="F41" s="1706"/>
    </row>
    <row r="42" spans="1:6" s="1707" customFormat="1">
      <c r="A42" s="1679">
        <v>3</v>
      </c>
      <c r="B42" s="2311" t="s">
        <v>3093</v>
      </c>
      <c r="C42" s="2311"/>
      <c r="D42" s="2311"/>
      <c r="E42" s="2311"/>
      <c r="F42" s="1682">
        <v>50000000</v>
      </c>
    </row>
    <row r="43" spans="1:6" ht="49.5">
      <c r="A43" s="1683">
        <v>4</v>
      </c>
      <c r="B43" s="1681" t="s">
        <v>3092</v>
      </c>
      <c r="C43" s="1681"/>
      <c r="D43" s="1681"/>
      <c r="E43" s="1681"/>
      <c r="F43" s="1688">
        <f>F6-F7-F24-F25-F31</f>
        <v>294285800</v>
      </c>
    </row>
    <row r="44" spans="1:6">
      <c r="A44" s="1683">
        <v>5</v>
      </c>
      <c r="B44" s="1681" t="s">
        <v>557</v>
      </c>
      <c r="C44" s="1681"/>
      <c r="D44" s="1681"/>
      <c r="E44" s="1681"/>
      <c r="F44" s="1708">
        <v>2</v>
      </c>
    </row>
    <row r="45" spans="1:6">
      <c r="A45" s="1683">
        <v>6</v>
      </c>
      <c r="B45" s="1681" t="s">
        <v>25</v>
      </c>
      <c r="C45" s="1681"/>
      <c r="D45" s="1681"/>
      <c r="E45" s="1681"/>
      <c r="F45" s="1688">
        <f>F43/F44</f>
        <v>147142900</v>
      </c>
    </row>
    <row r="46" spans="1:6">
      <c r="A46" s="1683">
        <v>7</v>
      </c>
      <c r="B46" s="1681" t="s">
        <v>559</v>
      </c>
      <c r="C46" s="1681"/>
      <c r="D46" s="1709">
        <f>F46/F45</f>
        <v>0.32038854745964634</v>
      </c>
      <c r="E46" s="1683" t="s">
        <v>3091</v>
      </c>
      <c r="F46" s="1688">
        <f>F45-F50</f>
        <v>47142900</v>
      </c>
    </row>
    <row r="47" spans="1:6">
      <c r="A47" s="1703">
        <v>7.1</v>
      </c>
      <c r="B47" s="1704" t="s">
        <v>1112</v>
      </c>
      <c r="C47" s="1704"/>
      <c r="D47" s="1704"/>
      <c r="E47" s="1704"/>
      <c r="F47" s="1705">
        <f>F46</f>
        <v>47142900</v>
      </c>
    </row>
    <row r="48" spans="1:6">
      <c r="A48" s="1703">
        <v>7.2</v>
      </c>
      <c r="B48" s="1704" t="s">
        <v>3090</v>
      </c>
      <c r="C48" s="1704"/>
      <c r="D48" s="1704"/>
      <c r="E48" s="1704"/>
      <c r="F48" s="1706"/>
    </row>
    <row r="49" spans="1:6" ht="33">
      <c r="A49" s="1703">
        <v>7.3</v>
      </c>
      <c r="B49" s="1704" t="s">
        <v>3089</v>
      </c>
      <c r="C49" s="1704"/>
      <c r="D49" s="1704"/>
      <c r="E49" s="1704"/>
      <c r="F49" s="1706"/>
    </row>
    <row r="50" spans="1:6" s="1707" customFormat="1">
      <c r="A50" s="1679">
        <v>8</v>
      </c>
      <c r="B50" s="2311" t="s">
        <v>3088</v>
      </c>
      <c r="C50" s="2311"/>
      <c r="D50" s="2311"/>
      <c r="E50" s="2311"/>
      <c r="F50" s="1682">
        <v>100000000</v>
      </c>
    </row>
  </sheetData>
  <mergeCells count="2">
    <mergeCell ref="A6:D6"/>
    <mergeCell ref="B31:E31"/>
  </mergeCells>
  <pageMargins left="0.7" right="0.7" top="0.75" bottom="0.75" header="0.3" footer="0.3"/>
  <pageSetup paperSize="9"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24"/>
  <sheetViews>
    <sheetView workbookViewId="0">
      <selection activeCell="D16" sqref="D16"/>
    </sheetView>
  </sheetViews>
  <sheetFormatPr defaultRowHeight="16.5"/>
  <cols>
    <col min="1" max="1" width="5.140625" style="151" bestFit="1" customWidth="1"/>
    <col min="2" max="2" width="44.5703125" style="151" bestFit="1" customWidth="1"/>
    <col min="3" max="4" width="19.140625" style="151" bestFit="1" customWidth="1"/>
    <col min="5" max="16384" width="9.140625" style="151"/>
  </cols>
  <sheetData>
    <row r="1" spans="1:7">
      <c r="C1" s="151" t="s">
        <v>522</v>
      </c>
      <c r="G1" s="309" t="s">
        <v>1020</v>
      </c>
    </row>
    <row r="3" spans="1:7" s="156" customFormat="1" ht="33">
      <c r="A3" s="2312" t="s">
        <v>97</v>
      </c>
      <c r="B3" s="100" t="s">
        <v>279</v>
      </c>
      <c r="C3" s="100" t="s">
        <v>358</v>
      </c>
      <c r="D3" s="100" t="s">
        <v>380</v>
      </c>
    </row>
    <row r="4" spans="1:7" s="156" customFormat="1">
      <c r="A4" s="2333" t="s">
        <v>109</v>
      </c>
      <c r="B4" s="101" t="s">
        <v>359</v>
      </c>
      <c r="C4" s="102">
        <f>SUM(C6:C14)</f>
        <v>2052500000</v>
      </c>
      <c r="D4" s="102">
        <f>SUM(D6:D14)</f>
        <v>12315000000</v>
      </c>
    </row>
    <row r="5" spans="1:7">
      <c r="A5" s="2334">
        <v>1</v>
      </c>
      <c r="B5" s="103" t="s">
        <v>381</v>
      </c>
      <c r="C5" s="104">
        <f>C6+C7</f>
        <v>1350000000</v>
      </c>
      <c r="D5" s="104">
        <f>D6+D7</f>
        <v>8100000000</v>
      </c>
    </row>
    <row r="6" spans="1:7">
      <c r="A6" s="2334" t="s">
        <v>30</v>
      </c>
      <c r="B6" s="105" t="s">
        <v>382</v>
      </c>
      <c r="C6" s="104">
        <f>150000*4000</f>
        <v>600000000</v>
      </c>
      <c r="D6" s="161">
        <f>C6*6</f>
        <v>3600000000</v>
      </c>
    </row>
    <row r="7" spans="1:7">
      <c r="A7" s="2334" t="s">
        <v>30</v>
      </c>
      <c r="B7" s="103" t="s">
        <v>383</v>
      </c>
      <c r="C7" s="104">
        <f>2500000*300</f>
        <v>750000000</v>
      </c>
      <c r="D7" s="161">
        <f>C7*6</f>
        <v>4500000000</v>
      </c>
    </row>
    <row r="8" spans="1:7">
      <c r="A8" s="2334">
        <v>4</v>
      </c>
      <c r="B8" s="103" t="s">
        <v>384</v>
      </c>
      <c r="C8" s="104">
        <v>100000000</v>
      </c>
      <c r="D8" s="161">
        <f t="shared" ref="D8:D14" si="0">C8*6</f>
        <v>600000000</v>
      </c>
    </row>
    <row r="9" spans="1:7">
      <c r="A9" s="2334">
        <v>5</v>
      </c>
      <c r="B9" s="103" t="s">
        <v>385</v>
      </c>
      <c r="C9" s="104">
        <v>300000000</v>
      </c>
      <c r="D9" s="161">
        <f t="shared" si="0"/>
        <v>1800000000</v>
      </c>
    </row>
    <row r="10" spans="1:7">
      <c r="A10" s="2334">
        <v>6</v>
      </c>
      <c r="B10" s="103" t="s">
        <v>386</v>
      </c>
      <c r="C10" s="104">
        <f>5500000*30</f>
        <v>165000000</v>
      </c>
      <c r="D10" s="161">
        <f t="shared" si="0"/>
        <v>990000000</v>
      </c>
    </row>
    <row r="11" spans="1:7">
      <c r="A11" s="2334">
        <v>7</v>
      </c>
      <c r="B11" s="103" t="s">
        <v>238</v>
      </c>
      <c r="C11" s="104">
        <v>30000000</v>
      </c>
      <c r="D11" s="161">
        <f t="shared" si="0"/>
        <v>180000000</v>
      </c>
    </row>
    <row r="12" spans="1:7">
      <c r="A12" s="2334">
        <v>8</v>
      </c>
      <c r="B12" s="103" t="s">
        <v>337</v>
      </c>
      <c r="C12" s="104">
        <v>40000000</v>
      </c>
      <c r="D12" s="161">
        <f t="shared" si="0"/>
        <v>240000000</v>
      </c>
    </row>
    <row r="13" spans="1:7">
      <c r="A13" s="2334">
        <v>9</v>
      </c>
      <c r="B13" s="103" t="s">
        <v>21</v>
      </c>
      <c r="C13" s="104">
        <v>15000000</v>
      </c>
      <c r="D13" s="161">
        <f t="shared" si="0"/>
        <v>90000000</v>
      </c>
    </row>
    <row r="14" spans="1:7">
      <c r="A14" s="2334">
        <v>10</v>
      </c>
      <c r="B14" s="103" t="s">
        <v>387</v>
      </c>
      <c r="C14" s="104">
        <f>C21*C23/12</f>
        <v>52500000.000000007</v>
      </c>
      <c r="D14" s="161">
        <f t="shared" si="0"/>
        <v>315000000.00000006</v>
      </c>
    </row>
    <row r="15" spans="1:7" s="156" customFormat="1">
      <c r="A15" s="2333" t="s">
        <v>116</v>
      </c>
      <c r="B15" s="101" t="s">
        <v>242</v>
      </c>
      <c r="C15" s="159">
        <f>SUM(C16:C17)</f>
        <v>2310000000</v>
      </c>
      <c r="D15" s="159">
        <f>SUM(D16:D17)</f>
        <v>13860000000</v>
      </c>
    </row>
    <row r="16" spans="1:7" s="156" customFormat="1">
      <c r="A16" s="2334">
        <v>1</v>
      </c>
      <c r="B16" s="103" t="s">
        <v>388</v>
      </c>
      <c r="C16" s="161">
        <f>420000*3500</f>
        <v>1470000000</v>
      </c>
      <c r="D16" s="161">
        <f>C16*6</f>
        <v>8820000000</v>
      </c>
    </row>
    <row r="17" spans="1:4">
      <c r="A17" s="2334">
        <v>2</v>
      </c>
      <c r="B17" s="103" t="s">
        <v>389</v>
      </c>
      <c r="C17" s="160">
        <f>420000*2000</f>
        <v>840000000</v>
      </c>
      <c r="D17" s="161">
        <f>C17*6</f>
        <v>5040000000</v>
      </c>
    </row>
    <row r="18" spans="1:4" s="156" customFormat="1">
      <c r="A18" s="2333" t="s">
        <v>135</v>
      </c>
      <c r="B18" s="157" t="s">
        <v>24</v>
      </c>
      <c r="C18" s="159">
        <f>C15-C4</f>
        <v>257500000</v>
      </c>
      <c r="D18" s="159">
        <f>D15-D4</f>
        <v>1545000000</v>
      </c>
    </row>
    <row r="20" spans="1:4">
      <c r="B20" s="151" t="s">
        <v>25</v>
      </c>
      <c r="C20" s="163">
        <f>D4-D11-D14</f>
        <v>11820000000</v>
      </c>
      <c r="D20" s="152"/>
    </row>
    <row r="21" spans="1:4">
      <c r="B21" s="151" t="s">
        <v>27</v>
      </c>
      <c r="C21" s="163">
        <v>9000000000</v>
      </c>
      <c r="D21" s="152"/>
    </row>
    <row r="22" spans="1:4">
      <c r="B22" s="151" t="s">
        <v>26</v>
      </c>
      <c r="C22" s="163">
        <f>C20-C21</f>
        <v>2820000000</v>
      </c>
      <c r="D22" s="153">
        <f>C22/C20</f>
        <v>0.23857868020304568</v>
      </c>
    </row>
    <row r="23" spans="1:4">
      <c r="B23" s="154" t="s">
        <v>305</v>
      </c>
      <c r="C23" s="162">
        <v>7.0000000000000007E-2</v>
      </c>
    </row>
    <row r="24" spans="1:4">
      <c r="C24" s="163"/>
    </row>
  </sheetData>
  <pageMargins left="0.7" right="0.7" top="0.75" bottom="0.75" header="0.3" footer="0.3"/>
  <pageSetup paperSize="9" orientation="portrait"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G24"/>
  <sheetViews>
    <sheetView workbookViewId="0">
      <selection activeCell="B3" sqref="B3"/>
    </sheetView>
  </sheetViews>
  <sheetFormatPr defaultRowHeight="16.5"/>
  <cols>
    <col min="1" max="1" width="5.28515625" style="151" bestFit="1" customWidth="1"/>
    <col min="2" max="2" width="24.7109375" style="151" bestFit="1" customWidth="1"/>
    <col min="3" max="3" width="10.28515625" style="151" customWidth="1"/>
    <col min="4" max="4" width="11.5703125" style="151" bestFit="1" customWidth="1"/>
    <col min="5" max="5" width="18.5703125" style="151" bestFit="1" customWidth="1"/>
    <col min="6" max="6" width="21.140625" style="151" bestFit="1" customWidth="1"/>
    <col min="7" max="16384" width="9.140625" style="151"/>
  </cols>
  <sheetData>
    <row r="1" spans="1:7">
      <c r="C1" s="151" t="s">
        <v>517</v>
      </c>
      <c r="G1" s="309" t="s">
        <v>1020</v>
      </c>
    </row>
    <row r="3" spans="1:7" s="156" customFormat="1" ht="33">
      <c r="A3" s="155" t="s">
        <v>97</v>
      </c>
      <c r="B3" s="100" t="s">
        <v>279</v>
      </c>
      <c r="C3" s="100" t="s">
        <v>2</v>
      </c>
      <c r="D3" s="100" t="s">
        <v>1</v>
      </c>
      <c r="E3" s="100" t="s">
        <v>3</v>
      </c>
      <c r="F3" s="100" t="s">
        <v>4</v>
      </c>
    </row>
    <row r="4" spans="1:7" s="156" customFormat="1">
      <c r="A4" s="157"/>
      <c r="B4" s="101" t="s">
        <v>359</v>
      </c>
      <c r="C4" s="101"/>
      <c r="D4" s="101"/>
      <c r="E4" s="101"/>
      <c r="F4" s="102">
        <f>SUM(F5:F14)</f>
        <v>8360000000</v>
      </c>
    </row>
    <row r="5" spans="1:7">
      <c r="A5" s="158">
        <v>1</v>
      </c>
      <c r="B5" s="103" t="s">
        <v>508</v>
      </c>
      <c r="C5" s="103" t="s">
        <v>108</v>
      </c>
      <c r="D5" s="103">
        <v>1</v>
      </c>
      <c r="E5" s="104">
        <v>760000000</v>
      </c>
      <c r="F5" s="104">
        <f>E5*D5</f>
        <v>760000000</v>
      </c>
    </row>
    <row r="6" spans="1:7">
      <c r="A6" s="158">
        <v>2</v>
      </c>
      <c r="B6" s="105" t="s">
        <v>509</v>
      </c>
      <c r="C6" s="103" t="s">
        <v>108</v>
      </c>
      <c r="D6" s="103">
        <v>1</v>
      </c>
      <c r="E6" s="106">
        <v>1500000000</v>
      </c>
      <c r="F6" s="104">
        <f>E6*D6</f>
        <v>1500000000</v>
      </c>
    </row>
    <row r="7" spans="1:7">
      <c r="A7" s="158">
        <v>3</v>
      </c>
      <c r="B7" s="105" t="s">
        <v>509</v>
      </c>
      <c r="C7" s="103" t="s">
        <v>108</v>
      </c>
      <c r="D7" s="103">
        <v>1</v>
      </c>
      <c r="E7" s="106">
        <v>1500000000</v>
      </c>
      <c r="F7" s="104">
        <f>E7*D7</f>
        <v>1500000000</v>
      </c>
    </row>
    <row r="8" spans="1:7">
      <c r="A8" s="158">
        <v>4</v>
      </c>
      <c r="B8" s="105" t="s">
        <v>510</v>
      </c>
      <c r="C8" s="103" t="s">
        <v>108</v>
      </c>
      <c r="D8" s="103">
        <v>1</v>
      </c>
      <c r="E8" s="104">
        <v>240000000</v>
      </c>
      <c r="F8" s="104">
        <f>E8*D8</f>
        <v>240000000</v>
      </c>
    </row>
    <row r="9" spans="1:7">
      <c r="A9" s="158">
        <v>5</v>
      </c>
      <c r="B9" s="103" t="s">
        <v>384</v>
      </c>
      <c r="C9" s="103"/>
      <c r="D9" s="103"/>
      <c r="E9" s="104">
        <v>15000000</v>
      </c>
      <c r="F9" s="104">
        <f>E9*12</f>
        <v>180000000</v>
      </c>
    </row>
    <row r="10" spans="1:7">
      <c r="A10" s="158">
        <v>6</v>
      </c>
      <c r="B10" s="103" t="s">
        <v>391</v>
      </c>
      <c r="C10" s="103" t="s">
        <v>511</v>
      </c>
      <c r="D10" s="103">
        <v>50</v>
      </c>
      <c r="E10" s="104">
        <v>4000000</v>
      </c>
      <c r="F10" s="104">
        <f>E10*D10*12</f>
        <v>2400000000</v>
      </c>
    </row>
    <row r="11" spans="1:7">
      <c r="A11" s="158">
        <v>7</v>
      </c>
      <c r="B11" s="103" t="s">
        <v>512</v>
      </c>
      <c r="C11" s="103" t="s">
        <v>513</v>
      </c>
      <c r="D11" s="104">
        <v>150000</v>
      </c>
      <c r="E11" s="103">
        <v>10200</v>
      </c>
      <c r="F11" s="104">
        <f>E11*D11</f>
        <v>1530000000</v>
      </c>
    </row>
    <row r="12" spans="1:7">
      <c r="A12" s="158">
        <v>8</v>
      </c>
      <c r="B12" s="103" t="s">
        <v>337</v>
      </c>
      <c r="C12" s="103"/>
      <c r="D12" s="103">
        <v>4</v>
      </c>
      <c r="E12" s="104">
        <v>15000000</v>
      </c>
      <c r="F12" s="104">
        <f>E12*D12</f>
        <v>60000000</v>
      </c>
    </row>
    <row r="13" spans="1:7">
      <c r="A13" s="158">
        <v>9</v>
      </c>
      <c r="B13" s="103" t="s">
        <v>21</v>
      </c>
      <c r="C13" s="103"/>
      <c r="D13" s="103"/>
      <c r="E13" s="103"/>
      <c r="F13" s="104">
        <v>15000000</v>
      </c>
    </row>
    <row r="14" spans="1:7">
      <c r="A14" s="158">
        <v>10</v>
      </c>
      <c r="B14" s="103" t="s">
        <v>387</v>
      </c>
      <c r="C14" s="103"/>
      <c r="D14" s="103"/>
      <c r="E14" s="103"/>
      <c r="F14" s="104">
        <f>C21*C23</f>
        <v>175000000.00000003</v>
      </c>
    </row>
    <row r="15" spans="1:7" s="156" customFormat="1">
      <c r="A15" s="157"/>
      <c r="B15" s="101" t="s">
        <v>242</v>
      </c>
      <c r="C15" s="101"/>
      <c r="D15" s="101"/>
      <c r="E15" s="101"/>
      <c r="F15" s="159">
        <f>F16</f>
        <v>9600000000</v>
      </c>
    </row>
    <row r="16" spans="1:7">
      <c r="A16" s="158">
        <v>1</v>
      </c>
      <c r="B16" s="103" t="s">
        <v>514</v>
      </c>
      <c r="C16" s="103" t="s">
        <v>515</v>
      </c>
      <c r="D16" s="103">
        <v>30000</v>
      </c>
      <c r="E16" s="104">
        <v>320000</v>
      </c>
      <c r="F16" s="160">
        <f>E16*D16</f>
        <v>9600000000</v>
      </c>
    </row>
    <row r="17" spans="1:6">
      <c r="A17" s="158">
        <v>2</v>
      </c>
      <c r="B17" s="103" t="s">
        <v>516</v>
      </c>
      <c r="C17" s="103" t="s">
        <v>5</v>
      </c>
      <c r="D17" s="103">
        <v>5000</v>
      </c>
      <c r="E17" s="104">
        <v>400000</v>
      </c>
      <c r="F17" s="160">
        <f>E17*D17</f>
        <v>2000000000</v>
      </c>
    </row>
    <row r="18" spans="1:6" s="156" customFormat="1">
      <c r="A18" s="158">
        <v>3</v>
      </c>
      <c r="B18" s="158" t="s">
        <v>24</v>
      </c>
      <c r="C18" s="158"/>
      <c r="D18" s="158"/>
      <c r="E18" s="158"/>
      <c r="F18" s="161">
        <f>F15-F4</f>
        <v>1240000000</v>
      </c>
    </row>
    <row r="20" spans="1:6">
      <c r="B20" s="151" t="s">
        <v>22</v>
      </c>
      <c r="C20" s="2387">
        <f>F4-F14</f>
        <v>8185000000</v>
      </c>
      <c r="D20" s="2387"/>
      <c r="E20" s="152"/>
    </row>
    <row r="21" spans="1:6">
      <c r="B21" s="151" t="s">
        <v>27</v>
      </c>
      <c r="C21" s="2387">
        <v>2500000000</v>
      </c>
      <c r="D21" s="2387"/>
      <c r="E21" s="152"/>
    </row>
    <row r="22" spans="1:6">
      <c r="B22" s="151" t="s">
        <v>26</v>
      </c>
      <c r="C22" s="2387">
        <f>C20-C21</f>
        <v>5685000000</v>
      </c>
      <c r="D22" s="2387"/>
      <c r="E22" s="153">
        <f>C22/C20</f>
        <v>0.69456322541233961</v>
      </c>
    </row>
    <row r="23" spans="1:6">
      <c r="B23" s="154" t="s">
        <v>305</v>
      </c>
      <c r="C23" s="162">
        <v>7.0000000000000007E-2</v>
      </c>
    </row>
    <row r="24" spans="1:6">
      <c r="C24" s="163"/>
    </row>
  </sheetData>
  <mergeCells count="3">
    <mergeCell ref="C20:D20"/>
    <mergeCell ref="C21:D21"/>
    <mergeCell ref="C22:D22"/>
  </mergeCells>
  <pageMargins left="0.7" right="0.7" top="0.75" bottom="0.75" header="0.3" footer="0.3"/>
  <pageSetup paperSize="9" orientation="portrait"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G22"/>
  <sheetViews>
    <sheetView workbookViewId="0">
      <selection activeCell="F17" sqref="F17"/>
    </sheetView>
  </sheetViews>
  <sheetFormatPr defaultRowHeight="16.5"/>
  <cols>
    <col min="1" max="1" width="5.42578125" style="151" customWidth="1"/>
    <col min="2" max="2" width="40.42578125" style="151" bestFit="1" customWidth="1"/>
    <col min="3" max="3" width="7.42578125" style="151" bestFit="1" customWidth="1"/>
    <col min="4" max="4" width="9.5703125" style="151" customWidth="1"/>
    <col min="5" max="5" width="13.140625" style="151" bestFit="1" customWidth="1"/>
    <col min="6" max="6" width="15.85546875" style="151" bestFit="1" customWidth="1"/>
    <col min="7" max="16384" width="9.140625" style="151"/>
  </cols>
  <sheetData>
    <row r="1" spans="1:7">
      <c r="C1" s="151" t="s">
        <v>479</v>
      </c>
      <c r="G1" s="309" t="s">
        <v>1020</v>
      </c>
    </row>
    <row r="3" spans="1:7" s="156" customFormat="1" ht="33">
      <c r="A3" s="155" t="s">
        <v>97</v>
      </c>
      <c r="B3" s="100" t="s">
        <v>279</v>
      </c>
      <c r="C3" s="100" t="s">
        <v>2</v>
      </c>
      <c r="D3" s="100" t="s">
        <v>1</v>
      </c>
      <c r="E3" s="100" t="s">
        <v>3</v>
      </c>
      <c r="F3" s="100" t="s">
        <v>390</v>
      </c>
    </row>
    <row r="4" spans="1:7" s="156" customFormat="1">
      <c r="A4" s="2326" t="s">
        <v>480</v>
      </c>
      <c r="B4" s="101" t="s">
        <v>359</v>
      </c>
      <c r="C4" s="101"/>
      <c r="D4" s="101"/>
      <c r="E4" s="101"/>
      <c r="F4" s="102">
        <f>SUM(F5:F11)</f>
        <v>897100000</v>
      </c>
    </row>
    <row r="5" spans="1:7">
      <c r="A5" s="177">
        <v>1</v>
      </c>
      <c r="B5" s="103" t="s">
        <v>481</v>
      </c>
      <c r="C5" s="103" t="s">
        <v>228</v>
      </c>
      <c r="D5" s="104">
        <v>75</v>
      </c>
      <c r="E5" s="104">
        <v>4000000</v>
      </c>
      <c r="F5" s="104">
        <f>E5*D5</f>
        <v>300000000</v>
      </c>
    </row>
    <row r="6" spans="1:7">
      <c r="A6" s="177">
        <v>2</v>
      </c>
      <c r="B6" s="103" t="s">
        <v>384</v>
      </c>
      <c r="C6" s="103" t="s">
        <v>482</v>
      </c>
      <c r="D6" s="104">
        <v>3200</v>
      </c>
      <c r="E6" s="104">
        <v>3000</v>
      </c>
      <c r="F6" s="104">
        <f>E6*D6*6</f>
        <v>57600000</v>
      </c>
    </row>
    <row r="7" spans="1:7">
      <c r="A7" s="177">
        <v>3</v>
      </c>
      <c r="B7" s="103" t="s">
        <v>391</v>
      </c>
      <c r="C7" s="103" t="s">
        <v>10</v>
      </c>
      <c r="D7" s="104">
        <v>10</v>
      </c>
      <c r="E7" s="104">
        <v>6000000</v>
      </c>
      <c r="F7" s="104">
        <f>E7*D7*6</f>
        <v>360000000</v>
      </c>
    </row>
    <row r="8" spans="1:7">
      <c r="A8" s="177">
        <v>4</v>
      </c>
      <c r="B8" s="103" t="s">
        <v>337</v>
      </c>
      <c r="C8" s="103" t="s">
        <v>10</v>
      </c>
      <c r="D8" s="104">
        <v>2</v>
      </c>
      <c r="E8" s="104">
        <v>7000000</v>
      </c>
      <c r="F8" s="104">
        <f>E8*D8*6</f>
        <v>84000000</v>
      </c>
    </row>
    <row r="9" spans="1:7">
      <c r="A9" s="177">
        <v>5</v>
      </c>
      <c r="B9" s="103" t="s">
        <v>483</v>
      </c>
      <c r="C9" s="103"/>
      <c r="D9" s="104"/>
      <c r="E9" s="104"/>
      <c r="F9" s="104">
        <f>8000000*6</f>
        <v>48000000</v>
      </c>
    </row>
    <row r="10" spans="1:7">
      <c r="A10" s="177">
        <v>6</v>
      </c>
      <c r="B10" s="103" t="s">
        <v>387</v>
      </c>
      <c r="C10" s="103"/>
      <c r="D10" s="104"/>
      <c r="E10" s="104"/>
      <c r="F10" s="104">
        <f>C20*C22/12*6</f>
        <v>17500000</v>
      </c>
    </row>
    <row r="11" spans="1:7">
      <c r="A11" s="177">
        <v>7</v>
      </c>
      <c r="B11" s="103" t="s">
        <v>484</v>
      </c>
      <c r="C11" s="103"/>
      <c r="D11" s="104"/>
      <c r="E11" s="104"/>
      <c r="F11" s="104">
        <v>30000000</v>
      </c>
    </row>
    <row r="12" spans="1:7" s="156" customFormat="1">
      <c r="A12" s="2326" t="s">
        <v>485</v>
      </c>
      <c r="B12" s="101" t="s">
        <v>242</v>
      </c>
      <c r="C12" s="101"/>
      <c r="D12" s="176"/>
      <c r="E12" s="176"/>
      <c r="F12" s="159">
        <f>SUM(F13:F15)</f>
        <v>996000000</v>
      </c>
    </row>
    <row r="13" spans="1:7">
      <c r="A13" s="177">
        <v>1</v>
      </c>
      <c r="B13" s="103" t="s">
        <v>486</v>
      </c>
      <c r="C13" s="103" t="s">
        <v>108</v>
      </c>
      <c r="D13" s="104">
        <v>600</v>
      </c>
      <c r="E13" s="104">
        <v>260000</v>
      </c>
      <c r="F13" s="160">
        <f>D13*E13</f>
        <v>156000000</v>
      </c>
    </row>
    <row r="14" spans="1:7">
      <c r="A14" s="177">
        <v>2</v>
      </c>
      <c r="B14" s="103" t="s">
        <v>487</v>
      </c>
      <c r="C14" s="103" t="s">
        <v>108</v>
      </c>
      <c r="D14" s="104">
        <v>200</v>
      </c>
      <c r="E14" s="104">
        <v>3200000</v>
      </c>
      <c r="F14" s="160">
        <f>E14*D14</f>
        <v>640000000</v>
      </c>
    </row>
    <row r="15" spans="1:7">
      <c r="A15" s="177">
        <v>3</v>
      </c>
      <c r="B15" s="103" t="s">
        <v>488</v>
      </c>
      <c r="C15" s="103"/>
      <c r="D15" s="103"/>
      <c r="E15" s="103"/>
      <c r="F15" s="160">
        <v>200000000</v>
      </c>
    </row>
    <row r="16" spans="1:7" s="156" customFormat="1">
      <c r="A16" s="2326" t="s">
        <v>489</v>
      </c>
      <c r="B16" s="157" t="s">
        <v>24</v>
      </c>
      <c r="C16" s="157"/>
      <c r="D16" s="157"/>
      <c r="E16" s="157"/>
      <c r="F16" s="159">
        <f>F12-F4</f>
        <v>98900000</v>
      </c>
    </row>
    <row r="17" spans="1:6">
      <c r="A17" s="158"/>
      <c r="B17" s="103" t="s">
        <v>490</v>
      </c>
      <c r="C17" s="158"/>
      <c r="D17" s="158"/>
      <c r="E17" s="158"/>
      <c r="F17" s="178">
        <f>F16/F12</f>
        <v>9.9297188755020083E-2</v>
      </c>
    </row>
    <row r="18" spans="1:6">
      <c r="B18" s="151" t="s">
        <v>22</v>
      </c>
      <c r="C18" s="2387">
        <f>F4</f>
        <v>897100000</v>
      </c>
      <c r="D18" s="2387"/>
      <c r="E18" s="152"/>
    </row>
    <row r="19" spans="1:6">
      <c r="B19" s="154" t="s">
        <v>491</v>
      </c>
      <c r="C19" s="2469">
        <f>C18-F10</f>
        <v>879600000</v>
      </c>
      <c r="D19" s="2469"/>
    </row>
    <row r="20" spans="1:6">
      <c r="B20" s="151" t="s">
        <v>27</v>
      </c>
      <c r="C20" s="2387">
        <v>500000000</v>
      </c>
      <c r="D20" s="2387"/>
      <c r="E20" s="152"/>
    </row>
    <row r="21" spans="1:6">
      <c r="B21" s="151" t="s">
        <v>26</v>
      </c>
      <c r="C21" s="2387">
        <f>C19-C20</f>
        <v>379600000</v>
      </c>
      <c r="D21" s="2387"/>
      <c r="E21" s="153">
        <f>C21/C18</f>
        <v>0.42314123286144245</v>
      </c>
    </row>
    <row r="22" spans="1:6">
      <c r="B22" s="154" t="s">
        <v>305</v>
      </c>
      <c r="C22" s="2470">
        <v>7.0000000000000007E-2</v>
      </c>
      <c r="D22" s="2470"/>
    </row>
  </sheetData>
  <mergeCells count="5">
    <mergeCell ref="C18:D18"/>
    <mergeCell ref="C19:D19"/>
    <mergeCell ref="C20:D20"/>
    <mergeCell ref="C21:D21"/>
    <mergeCell ref="C22:D22"/>
  </mergeCells>
  <pageMargins left="0.7" right="0.7" top="0.75" bottom="0.75" header="0.3" footer="0.3"/>
  <pageSetup paperSize="9" orientation="portrait"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pageSetUpPr fitToPage="1"/>
  </sheetPr>
  <dimension ref="A1:G34"/>
  <sheetViews>
    <sheetView zoomScaleNormal="100" workbookViewId="0">
      <selection activeCell="A7" sqref="A7:B7"/>
    </sheetView>
  </sheetViews>
  <sheetFormatPr defaultRowHeight="16.5"/>
  <cols>
    <col min="1" max="1" width="6" style="311" customWidth="1"/>
    <col min="2" max="2" width="28.85546875" style="311" customWidth="1"/>
    <col min="3" max="3" width="9.7109375" style="311" customWidth="1"/>
    <col min="4" max="4" width="10.28515625" style="311" customWidth="1"/>
    <col min="5" max="5" width="11" style="311" customWidth="1"/>
    <col min="6" max="6" width="14" style="311" customWidth="1"/>
    <col min="7" max="7" width="14.7109375" style="311" customWidth="1"/>
    <col min="8" max="16384" width="9.140625" style="311"/>
  </cols>
  <sheetData>
    <row r="1" spans="1:7">
      <c r="C1" s="311" t="s">
        <v>2553</v>
      </c>
      <c r="G1" s="309" t="s">
        <v>1020</v>
      </c>
    </row>
    <row r="5" spans="1:7">
      <c r="A5" s="1710" t="s">
        <v>1949</v>
      </c>
      <c r="B5" s="1711"/>
      <c r="C5" s="2482">
        <f>G18</f>
        <v>430000000</v>
      </c>
      <c r="D5" s="2482"/>
      <c r="E5" s="2482"/>
      <c r="F5" s="1712"/>
      <c r="G5" s="1712"/>
    </row>
    <row r="6" spans="1:7">
      <c r="A6" s="2483" t="s">
        <v>1948</v>
      </c>
      <c r="B6" s="2484"/>
      <c r="C6" s="2482">
        <f>C5-C7</f>
        <v>30000000</v>
      </c>
      <c r="D6" s="2482"/>
      <c r="E6" s="2482"/>
      <c r="F6" s="1713"/>
      <c r="G6" s="1713"/>
    </row>
    <row r="7" spans="1:7">
      <c r="A7" s="2483" t="s">
        <v>2379</v>
      </c>
      <c r="B7" s="2484"/>
      <c r="C7" s="2482">
        <v>400000000</v>
      </c>
      <c r="D7" s="2482"/>
      <c r="E7" s="2482"/>
      <c r="F7" s="1713"/>
      <c r="G7" s="1713"/>
    </row>
    <row r="8" spans="1:7">
      <c r="A8" s="1714" t="s">
        <v>2378</v>
      </c>
      <c r="B8" s="1715"/>
      <c r="C8" s="2485">
        <f>C6/C5</f>
        <v>6.9767441860465115E-2</v>
      </c>
      <c r="D8" s="2485"/>
      <c r="E8" s="2485"/>
      <c r="F8" s="1716"/>
      <c r="G8" s="1716"/>
    </row>
    <row r="9" spans="1:7">
      <c r="A9" s="1717" t="s">
        <v>2377</v>
      </c>
      <c r="B9" s="1718"/>
      <c r="C9" s="1718"/>
      <c r="D9" s="1718"/>
      <c r="E9" s="1718"/>
      <c r="F9" s="1718"/>
      <c r="G9" s="1718"/>
    </row>
    <row r="10" spans="1:7">
      <c r="A10" s="2481" t="s">
        <v>2395</v>
      </c>
      <c r="B10" s="2481"/>
      <c r="C10" s="2481"/>
      <c r="D10" s="2481"/>
      <c r="E10" s="2481"/>
      <c r="F10" s="2481"/>
      <c r="G10" s="2481"/>
    </row>
    <row r="11" spans="1:7">
      <c r="A11" s="2486" t="s">
        <v>2375</v>
      </c>
      <c r="B11" s="2486"/>
      <c r="C11" s="2486"/>
      <c r="D11" s="2486"/>
      <c r="E11" s="2486"/>
      <c r="F11" s="2486"/>
      <c r="G11" s="2486"/>
    </row>
    <row r="12" spans="1:7" ht="33">
      <c r="A12" s="1719" t="s">
        <v>0</v>
      </c>
      <c r="B12" s="1719" t="s">
        <v>103</v>
      </c>
      <c r="C12" s="1719" t="s">
        <v>100</v>
      </c>
      <c r="D12" s="1719" t="s">
        <v>1055</v>
      </c>
      <c r="E12" s="1719" t="s">
        <v>3</v>
      </c>
      <c r="F12" s="1719" t="s">
        <v>2368</v>
      </c>
      <c r="G12" s="1719" t="s">
        <v>2354</v>
      </c>
    </row>
    <row r="13" spans="1:7">
      <c r="A13" s="1720">
        <v>1</v>
      </c>
      <c r="B13" s="1721" t="s">
        <v>2552</v>
      </c>
      <c r="C13" s="1720" t="s">
        <v>2300</v>
      </c>
      <c r="D13" s="1722">
        <v>300</v>
      </c>
      <c r="E13" s="1723">
        <v>200000</v>
      </c>
      <c r="F13" s="1724">
        <f>E13*D13</f>
        <v>60000000</v>
      </c>
      <c r="G13" s="1724">
        <f>F13</f>
        <v>60000000</v>
      </c>
    </row>
    <row r="14" spans="1:7">
      <c r="A14" s="1720">
        <v>2</v>
      </c>
      <c r="B14" s="1721" t="s">
        <v>2551</v>
      </c>
      <c r="C14" s="1720" t="s">
        <v>2300</v>
      </c>
      <c r="D14" s="1725">
        <v>500</v>
      </c>
      <c r="E14" s="1723">
        <v>300000</v>
      </c>
      <c r="F14" s="1724">
        <f>E14*D14</f>
        <v>150000000</v>
      </c>
      <c r="G14" s="1724">
        <f>F14</f>
        <v>150000000</v>
      </c>
    </row>
    <row r="15" spans="1:7">
      <c r="A15" s="1720">
        <v>3</v>
      </c>
      <c r="B15" s="1721" t="s">
        <v>2550</v>
      </c>
      <c r="C15" s="1720" t="s">
        <v>2300</v>
      </c>
      <c r="D15" s="1725">
        <v>500</v>
      </c>
      <c r="E15" s="1723">
        <v>300000</v>
      </c>
      <c r="F15" s="1724">
        <f>E15*D15</f>
        <v>150000000</v>
      </c>
      <c r="G15" s="1724">
        <f>F15</f>
        <v>150000000</v>
      </c>
    </row>
    <row r="16" spans="1:7">
      <c r="A16" s="1720">
        <v>4</v>
      </c>
      <c r="B16" s="1721" t="s">
        <v>2549</v>
      </c>
      <c r="C16" s="1720"/>
      <c r="D16" s="1726"/>
      <c r="E16" s="1723"/>
      <c r="F16" s="1724">
        <v>70000000</v>
      </c>
      <c r="G16" s="1724">
        <f>F16</f>
        <v>70000000</v>
      </c>
    </row>
    <row r="17" spans="1:7">
      <c r="A17" s="1727"/>
      <c r="B17" s="1728"/>
      <c r="C17" s="1728"/>
      <c r="D17" s="1728"/>
      <c r="E17" s="1728"/>
      <c r="F17" s="1729" t="s">
        <v>2362</v>
      </c>
      <c r="G17" s="1729"/>
    </row>
    <row r="18" spans="1:7">
      <c r="A18" s="1719"/>
      <c r="B18" s="1730" t="s">
        <v>288</v>
      </c>
      <c r="C18" s="1730"/>
      <c r="D18" s="1730"/>
      <c r="E18" s="1730"/>
      <c r="F18" s="1731">
        <f>SUM(F13:F17)</f>
        <v>430000000</v>
      </c>
      <c r="G18" s="1731">
        <f>SUM(G13:G17)</f>
        <v>430000000</v>
      </c>
    </row>
    <row r="19" spans="1:7">
      <c r="A19" s="1732"/>
      <c r="B19" s="1733"/>
      <c r="C19" s="1732"/>
      <c r="D19" s="1734"/>
      <c r="E19" s="1733"/>
      <c r="F19" s="1735"/>
      <c r="G19" s="1735"/>
    </row>
    <row r="20" spans="1:7">
      <c r="A20" s="2481" t="s">
        <v>2356</v>
      </c>
      <c r="B20" s="2481"/>
      <c r="C20" s="2481"/>
      <c r="D20" s="2481"/>
      <c r="E20" s="2481"/>
      <c r="F20" s="2481"/>
      <c r="G20" s="2481"/>
    </row>
    <row r="21" spans="1:7" ht="34.5" customHeight="1">
      <c r="A21" s="1719" t="s">
        <v>0</v>
      </c>
      <c r="B21" s="1719" t="s">
        <v>103</v>
      </c>
      <c r="C21" s="1719" t="s">
        <v>100</v>
      </c>
      <c r="D21" s="1719" t="s">
        <v>1055</v>
      </c>
      <c r="E21" s="1719" t="s">
        <v>3</v>
      </c>
      <c r="F21" s="1719" t="s">
        <v>2355</v>
      </c>
      <c r="G21" s="1719" t="s">
        <v>2354</v>
      </c>
    </row>
    <row r="22" spans="1:7">
      <c r="A22" s="1720">
        <v>1</v>
      </c>
      <c r="B22" s="1721" t="s">
        <v>2552</v>
      </c>
      <c r="C22" s="1720" t="s">
        <v>2300</v>
      </c>
      <c r="D22" s="1722">
        <v>300</v>
      </c>
      <c r="E22" s="1723">
        <f>E13*1.5</f>
        <v>300000</v>
      </c>
      <c r="F22" s="1724">
        <f>E22*D22</f>
        <v>90000000</v>
      </c>
      <c r="G22" s="1724">
        <f>F22</f>
        <v>90000000</v>
      </c>
    </row>
    <row r="23" spans="1:7">
      <c r="A23" s="1720">
        <v>2</v>
      </c>
      <c r="B23" s="1721" t="s">
        <v>2551</v>
      </c>
      <c r="C23" s="1720" t="s">
        <v>2300</v>
      </c>
      <c r="D23" s="1725">
        <v>500</v>
      </c>
      <c r="E23" s="1723">
        <f>E14*1.5</f>
        <v>450000</v>
      </c>
      <c r="F23" s="1724">
        <f>E23*D23</f>
        <v>225000000</v>
      </c>
      <c r="G23" s="1724">
        <f>F23</f>
        <v>225000000</v>
      </c>
    </row>
    <row r="24" spans="1:7">
      <c r="A24" s="1720">
        <v>3</v>
      </c>
      <c r="B24" s="1721" t="s">
        <v>2550</v>
      </c>
      <c r="C24" s="1720" t="s">
        <v>2300</v>
      </c>
      <c r="D24" s="1725">
        <v>500</v>
      </c>
      <c r="E24" s="1723">
        <f>E15*1.5</f>
        <v>450000</v>
      </c>
      <c r="F24" s="1724">
        <f>E24*D24</f>
        <v>225000000</v>
      </c>
      <c r="G24" s="1724">
        <f>F24</f>
        <v>225000000</v>
      </c>
    </row>
    <row r="25" spans="1:7">
      <c r="A25" s="1736">
        <v>4</v>
      </c>
      <c r="B25" s="1721" t="s">
        <v>2549</v>
      </c>
      <c r="C25" s="1736"/>
      <c r="D25" s="1737"/>
      <c r="E25" s="1738"/>
      <c r="F25" s="1739">
        <v>100000000</v>
      </c>
      <c r="G25" s="1724">
        <f>F25</f>
        <v>100000000</v>
      </c>
    </row>
    <row r="26" spans="1:7">
      <c r="A26" s="1719"/>
      <c r="B26" s="1730" t="s">
        <v>288</v>
      </c>
      <c r="C26" s="1730"/>
      <c r="D26" s="1730"/>
      <c r="E26" s="1730"/>
      <c r="F26" s="1731">
        <f>SUM(F22:F25)</f>
        <v>640000000</v>
      </c>
      <c r="G26" s="1731">
        <f>SUM(G22:G25)</f>
        <v>640000000</v>
      </c>
    </row>
    <row r="27" spans="1:7">
      <c r="A27" s="2487" t="s">
        <v>2348</v>
      </c>
      <c r="B27" s="2487"/>
      <c r="C27" s="2487"/>
      <c r="D27" s="2487"/>
      <c r="E27" s="2487"/>
      <c r="F27" s="2487"/>
      <c r="G27" s="2487"/>
    </row>
    <row r="28" spans="1:7">
      <c r="A28" s="2488" t="s">
        <v>406</v>
      </c>
      <c r="B28" s="2489"/>
      <c r="C28" s="2490">
        <f>F29-F30-F31</f>
        <v>86000000</v>
      </c>
      <c r="D28" s="2491"/>
      <c r="E28" s="2491"/>
      <c r="F28" s="2491"/>
      <c r="G28" s="2492"/>
    </row>
    <row r="29" spans="1:7">
      <c r="A29" s="1720">
        <v>1</v>
      </c>
      <c r="B29" s="2471" t="s">
        <v>2347</v>
      </c>
      <c r="C29" s="2472"/>
      <c r="D29" s="2472"/>
      <c r="E29" s="2473"/>
      <c r="F29" s="2474">
        <f>G26-G18</f>
        <v>210000000</v>
      </c>
      <c r="G29" s="2475"/>
    </row>
    <row r="30" spans="1:7">
      <c r="A30" s="1720">
        <v>2</v>
      </c>
      <c r="B30" s="2471" t="s">
        <v>2346</v>
      </c>
      <c r="C30" s="2472"/>
      <c r="D30" s="2472"/>
      <c r="E30" s="2473"/>
      <c r="F30" s="2474">
        <f>C7*11%</f>
        <v>44000000</v>
      </c>
      <c r="G30" s="2475"/>
    </row>
    <row r="31" spans="1:7">
      <c r="A31" s="1740">
        <v>3</v>
      </c>
      <c r="B31" s="1741" t="s">
        <v>2345</v>
      </c>
      <c r="C31" s="1742"/>
      <c r="D31" s="1742"/>
      <c r="E31" s="1743"/>
      <c r="F31" s="2474">
        <v>80000000</v>
      </c>
      <c r="G31" s="2475"/>
    </row>
    <row r="32" spans="1:7">
      <c r="A32" s="1727">
        <v>4</v>
      </c>
      <c r="B32" s="2476" t="s">
        <v>2344</v>
      </c>
      <c r="C32" s="2477"/>
      <c r="D32" s="2477"/>
      <c r="E32" s="2478"/>
      <c r="F32" s="2479">
        <f>C28/G26</f>
        <v>0.13437499999999999</v>
      </c>
      <c r="G32" s="2480"/>
    </row>
    <row r="33" spans="1:7" ht="17.25">
      <c r="A33" s="1744"/>
      <c r="B33" s="1745"/>
      <c r="C33" s="1746"/>
      <c r="D33" s="1746"/>
      <c r="E33" s="1746"/>
      <c r="F33" s="1746"/>
      <c r="G33" s="1746"/>
    </row>
    <row r="34" spans="1:7">
      <c r="A34" s="1747"/>
      <c r="B34" s="1747"/>
      <c r="C34" s="1747"/>
      <c r="D34" s="1747"/>
      <c r="E34" s="1747"/>
      <c r="F34" s="1747"/>
      <c r="G34" s="1747"/>
    </row>
  </sheetData>
  <mergeCells count="19">
    <mergeCell ref="B29:E29"/>
    <mergeCell ref="F29:G29"/>
    <mergeCell ref="A10:G10"/>
    <mergeCell ref="C5:E5"/>
    <mergeCell ref="A6:B6"/>
    <mergeCell ref="C6:E6"/>
    <mergeCell ref="A7:B7"/>
    <mergeCell ref="C7:E7"/>
    <mergeCell ref="C8:E8"/>
    <mergeCell ref="A11:G11"/>
    <mergeCell ref="A20:G20"/>
    <mergeCell ref="A27:G27"/>
    <mergeCell ref="A28:B28"/>
    <mergeCell ref="C28:G28"/>
    <mergeCell ref="B30:E30"/>
    <mergeCell ref="F30:G30"/>
    <mergeCell ref="F31:G31"/>
    <mergeCell ref="B32:E32"/>
    <mergeCell ref="F32:G32"/>
  </mergeCells>
  <pageMargins left="0.85" right="0.45" top="0.42" bottom="0.53" header="0.3" footer="0.3"/>
  <pageSetup scale="54"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H22"/>
  <sheetViews>
    <sheetView zoomScaleNormal="100" workbookViewId="0">
      <selection activeCell="J13" sqref="J13"/>
    </sheetView>
  </sheetViews>
  <sheetFormatPr defaultRowHeight="16.5"/>
  <cols>
    <col min="1" max="1" width="4.28515625" style="151" bestFit="1" customWidth="1"/>
    <col min="2" max="2" width="26.28515625" style="151" bestFit="1" customWidth="1"/>
    <col min="3" max="3" width="8.140625" style="151" bestFit="1" customWidth="1"/>
    <col min="4" max="4" width="16" style="151" bestFit="1" customWidth="1"/>
    <col min="5" max="5" width="11.42578125" style="151" bestFit="1" customWidth="1"/>
    <col min="6" max="6" width="22.28515625" style="151" customWidth="1"/>
    <col min="7" max="7" width="17.28515625" style="151" bestFit="1" customWidth="1"/>
    <col min="8" max="8" width="9.140625" style="151"/>
    <col min="9" max="9" width="15.140625" style="151" bestFit="1" customWidth="1"/>
    <col min="10" max="16384" width="9.140625" style="151"/>
  </cols>
  <sheetData>
    <row r="1" spans="1:8">
      <c r="C1" s="151" t="s">
        <v>1945</v>
      </c>
      <c r="G1" s="309" t="s">
        <v>1020</v>
      </c>
    </row>
    <row r="4" spans="1:8">
      <c r="A4" s="2494" t="s">
        <v>1944</v>
      </c>
      <c r="B4" s="2494"/>
      <c r="C4" s="2494"/>
      <c r="D4" s="2494"/>
      <c r="E4" s="2494"/>
      <c r="F4" s="2494"/>
    </row>
    <row r="5" spans="1:8" s="1043" customFormat="1" ht="16.5" customHeight="1">
      <c r="A5" s="2495" t="s">
        <v>0</v>
      </c>
      <c r="B5" s="2495" t="s">
        <v>103</v>
      </c>
      <c r="C5" s="2495" t="s">
        <v>2</v>
      </c>
      <c r="D5" s="2495" t="s">
        <v>3</v>
      </c>
      <c r="E5" s="2495" t="s">
        <v>1</v>
      </c>
      <c r="F5" s="2493" t="s">
        <v>1943</v>
      </c>
      <c r="G5" s="2493" t="s">
        <v>1942</v>
      </c>
      <c r="H5" s="1044"/>
    </row>
    <row r="6" spans="1:8" s="1043" customFormat="1" ht="16.5" customHeight="1">
      <c r="A6" s="2496"/>
      <c r="B6" s="2496"/>
      <c r="C6" s="2496"/>
      <c r="D6" s="2496"/>
      <c r="E6" s="2496"/>
      <c r="F6" s="2493"/>
      <c r="G6" s="2493"/>
      <c r="H6" s="1044"/>
    </row>
    <row r="7" spans="1:8" s="156" customFormat="1">
      <c r="A7" s="2333" t="s">
        <v>109</v>
      </c>
      <c r="B7" s="157" t="s">
        <v>211</v>
      </c>
      <c r="C7" s="157"/>
      <c r="D7" s="1040"/>
      <c r="E7" s="1040"/>
      <c r="F7" s="1042">
        <f>SUM(F8:F12)</f>
        <v>1861000000.0000002</v>
      </c>
      <c r="G7" s="1039">
        <f>F7*1.5</f>
        <v>2791500000.0000005</v>
      </c>
      <c r="H7" s="1038"/>
    </row>
    <row r="8" spans="1:8">
      <c r="A8" s="2334">
        <v>1</v>
      </c>
      <c r="B8" s="158" t="s">
        <v>1941</v>
      </c>
      <c r="C8" s="2334" t="s">
        <v>829</v>
      </c>
      <c r="D8" s="160">
        <v>32000</v>
      </c>
      <c r="E8" s="160">
        <v>80000</v>
      </c>
      <c r="F8" s="339">
        <f>(G8/12)*8</f>
        <v>1706666666.6666667</v>
      </c>
      <c r="G8" s="1041">
        <f>D8*E8</f>
        <v>2560000000</v>
      </c>
      <c r="H8" s="1038"/>
    </row>
    <row r="9" spans="1:8">
      <c r="A9" s="2334">
        <v>2</v>
      </c>
      <c r="B9" s="158" t="s">
        <v>1940</v>
      </c>
      <c r="C9" s="2334" t="s">
        <v>829</v>
      </c>
      <c r="D9" s="160">
        <v>500</v>
      </c>
      <c r="E9" s="160">
        <v>80000</v>
      </c>
      <c r="F9" s="339">
        <f>(G9/12)*8</f>
        <v>26666666.666666668</v>
      </c>
      <c r="G9" s="1041">
        <f>E9*D9</f>
        <v>40000000</v>
      </c>
      <c r="H9" s="1038"/>
    </row>
    <row r="10" spans="1:8">
      <c r="A10" s="2334">
        <v>3</v>
      </c>
      <c r="B10" s="158" t="s">
        <v>1939</v>
      </c>
      <c r="C10" s="2334" t="s">
        <v>829</v>
      </c>
      <c r="D10" s="160">
        <v>600000</v>
      </c>
      <c r="E10" s="160">
        <v>40</v>
      </c>
      <c r="F10" s="339">
        <f>(G10/12)*8</f>
        <v>16000000</v>
      </c>
      <c r="G10" s="1041">
        <f>D10*E10</f>
        <v>24000000</v>
      </c>
      <c r="H10" s="1038"/>
    </row>
    <row r="11" spans="1:8">
      <c r="A11" s="2334">
        <v>4</v>
      </c>
      <c r="B11" s="158" t="s">
        <v>213</v>
      </c>
      <c r="C11" s="2334"/>
      <c r="D11" s="160"/>
      <c r="E11" s="160"/>
      <c r="F11" s="339">
        <f>G11/1.5</f>
        <v>105000000</v>
      </c>
      <c r="G11" s="1041">
        <f>D20*D22</f>
        <v>157500000</v>
      </c>
      <c r="H11" s="1038"/>
    </row>
    <row r="12" spans="1:8">
      <c r="A12" s="2334">
        <v>5</v>
      </c>
      <c r="B12" s="158" t="s">
        <v>217</v>
      </c>
      <c r="C12" s="2334"/>
      <c r="D12" s="160"/>
      <c r="E12" s="160"/>
      <c r="F12" s="339">
        <f>(G12/12)*8</f>
        <v>6666666.666666667</v>
      </c>
      <c r="G12" s="1041">
        <v>10000000</v>
      </c>
      <c r="H12" s="1038"/>
    </row>
    <row r="13" spans="1:8" s="156" customFormat="1">
      <c r="A13" s="2333" t="s">
        <v>116</v>
      </c>
      <c r="B13" s="157" t="s">
        <v>110</v>
      </c>
      <c r="C13" s="2333"/>
      <c r="D13" s="1040"/>
      <c r="E13" s="1040"/>
      <c r="F13" s="343">
        <f>SUM(F14:F16)</f>
        <v>2133333333.3333333</v>
      </c>
      <c r="G13" s="1039">
        <f>F13*1.5</f>
        <v>3200000000</v>
      </c>
      <c r="H13" s="1038"/>
    </row>
    <row r="14" spans="1:8">
      <c r="A14" s="2334">
        <v>1</v>
      </c>
      <c r="B14" s="158" t="s">
        <v>1938</v>
      </c>
      <c r="C14" s="2334" t="s">
        <v>829</v>
      </c>
      <c r="D14" s="160">
        <v>160000</v>
      </c>
      <c r="E14" s="160">
        <v>20000</v>
      </c>
      <c r="F14" s="339">
        <f>(G14/12)*8</f>
        <v>2133333333.3333333</v>
      </c>
      <c r="G14" s="1041">
        <f>D14*E14</f>
        <v>3200000000</v>
      </c>
      <c r="H14" s="1038"/>
    </row>
    <row r="15" spans="1:8">
      <c r="A15" s="2334">
        <v>2</v>
      </c>
      <c r="B15" s="158" t="s">
        <v>1937</v>
      </c>
      <c r="C15" s="2334" t="s">
        <v>829</v>
      </c>
      <c r="D15" s="160">
        <v>0</v>
      </c>
      <c r="E15" s="160">
        <v>0</v>
      </c>
      <c r="F15" s="339">
        <f>D15*E15</f>
        <v>0</v>
      </c>
      <c r="G15" s="1041">
        <f>F15*1.5</f>
        <v>0</v>
      </c>
      <c r="H15" s="1038"/>
    </row>
    <row r="16" spans="1:8">
      <c r="A16" s="2334">
        <v>3</v>
      </c>
      <c r="B16" s="158" t="s">
        <v>1936</v>
      </c>
      <c r="C16" s="2334" t="s">
        <v>829</v>
      </c>
      <c r="D16" s="160"/>
      <c r="E16" s="160"/>
      <c r="F16" s="339">
        <f>D16*E16</f>
        <v>0</v>
      </c>
      <c r="G16" s="1041">
        <f>F16*2</f>
        <v>0</v>
      </c>
      <c r="H16" s="1038"/>
    </row>
    <row r="17" spans="1:8" s="156" customFormat="1">
      <c r="A17" s="2333" t="s">
        <v>135</v>
      </c>
      <c r="B17" s="157" t="s">
        <v>136</v>
      </c>
      <c r="C17" s="157"/>
      <c r="D17" s="1040"/>
      <c r="E17" s="1040"/>
      <c r="F17" s="343">
        <f>F13-F7</f>
        <v>272333333.33333302</v>
      </c>
      <c r="G17" s="1039">
        <f>F17*1.5</f>
        <v>408499999.99999952</v>
      </c>
      <c r="H17" s="1038"/>
    </row>
    <row r="18" spans="1:8">
      <c r="A18" s="1037"/>
      <c r="B18" s="1036"/>
      <c r="C18" s="1036"/>
      <c r="D18" s="1036"/>
    </row>
    <row r="19" spans="1:8">
      <c r="B19" s="1034" t="s">
        <v>25</v>
      </c>
      <c r="C19" s="1033"/>
      <c r="D19" s="1035">
        <f>F7-F11</f>
        <v>1756000000.0000002</v>
      </c>
      <c r="E19" s="158"/>
    </row>
    <row r="20" spans="1:8">
      <c r="B20" s="1034" t="s">
        <v>27</v>
      </c>
      <c r="C20" s="1033"/>
      <c r="D20" s="488">
        <v>1500000000</v>
      </c>
      <c r="E20" s="158"/>
    </row>
    <row r="21" spans="1:8">
      <c r="B21" s="1034" t="s">
        <v>26</v>
      </c>
      <c r="C21" s="1033"/>
      <c r="D21" s="488">
        <f>D19-D20</f>
        <v>256000000.00000024</v>
      </c>
      <c r="E21" s="178">
        <f>D21/D19</f>
        <v>0.14578587699316639</v>
      </c>
    </row>
    <row r="22" spans="1:8">
      <c r="B22" s="1032" t="s">
        <v>63</v>
      </c>
      <c r="C22" s="1031"/>
      <c r="D22" s="1030">
        <v>0.105</v>
      </c>
      <c r="E22" s="158"/>
    </row>
  </sheetData>
  <mergeCells count="8">
    <mergeCell ref="G5:G6"/>
    <mergeCell ref="A4:F4"/>
    <mergeCell ref="A5:A6"/>
    <mergeCell ref="B5:B6"/>
    <mergeCell ref="C5:C6"/>
    <mergeCell ref="D5:D6"/>
    <mergeCell ref="E5:E6"/>
    <mergeCell ref="F5:F6"/>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dimension ref="A1:L56"/>
  <sheetViews>
    <sheetView workbookViewId="0">
      <selection activeCell="C2" sqref="C2"/>
    </sheetView>
  </sheetViews>
  <sheetFormatPr defaultRowHeight="16.5"/>
  <cols>
    <col min="1" max="1" width="7.140625" style="1397" customWidth="1"/>
    <col min="2" max="2" width="36.28515625" style="1397" bestFit="1" customWidth="1"/>
    <col min="3" max="3" width="13.5703125" style="1397" customWidth="1"/>
    <col min="4" max="4" width="10.42578125" style="1397" customWidth="1"/>
    <col min="5" max="5" width="16.140625" style="1397" customWidth="1"/>
    <col min="6" max="6" width="18.42578125" style="1397" customWidth="1"/>
    <col min="7" max="7" width="12.28515625" style="1397" bestFit="1" customWidth="1"/>
    <col min="8" max="8" width="9.140625" style="1397"/>
    <col min="9" max="9" width="17" style="1397" bestFit="1" customWidth="1"/>
    <col min="10" max="10" width="15.7109375" style="1397" bestFit="1" customWidth="1"/>
    <col min="11" max="11" width="13.85546875" style="1397" bestFit="1" customWidth="1"/>
    <col min="12" max="12" width="14.7109375" style="1397" bestFit="1" customWidth="1"/>
    <col min="13" max="256" width="9.140625" style="1397"/>
    <col min="257" max="257" width="7.140625" style="1397" customWidth="1"/>
    <col min="258" max="258" width="31.5703125" style="1397" customWidth="1"/>
    <col min="259" max="259" width="12.5703125" style="1397" customWidth="1"/>
    <col min="260" max="260" width="10.42578125" style="1397" customWidth="1"/>
    <col min="261" max="261" width="16.140625" style="1397" customWidth="1"/>
    <col min="262" max="262" width="18.42578125" style="1397" customWidth="1"/>
    <col min="263" max="263" width="12.28515625" style="1397" bestFit="1" customWidth="1"/>
    <col min="264" max="264" width="9.140625" style="1397"/>
    <col min="265" max="265" width="19.140625" style="1397" bestFit="1" customWidth="1"/>
    <col min="266" max="266" width="15.7109375" style="1397" bestFit="1" customWidth="1"/>
    <col min="267" max="267" width="9.140625" style="1397"/>
    <col min="268" max="268" width="14.7109375" style="1397" bestFit="1" customWidth="1"/>
    <col min="269" max="512" width="9.140625" style="1397"/>
    <col min="513" max="513" width="7.140625" style="1397" customWidth="1"/>
    <col min="514" max="514" width="31.5703125" style="1397" customWidth="1"/>
    <col min="515" max="515" width="12.5703125" style="1397" customWidth="1"/>
    <col min="516" max="516" width="10.42578125" style="1397" customWidth="1"/>
    <col min="517" max="517" width="16.140625" style="1397" customWidth="1"/>
    <col min="518" max="518" width="18.42578125" style="1397" customWidth="1"/>
    <col min="519" max="519" width="12.28515625" style="1397" bestFit="1" customWidth="1"/>
    <col min="520" max="520" width="9.140625" style="1397"/>
    <col min="521" max="521" width="19.140625" style="1397" bestFit="1" customWidth="1"/>
    <col min="522" max="522" width="15.7109375" style="1397" bestFit="1" customWidth="1"/>
    <col min="523" max="523" width="9.140625" style="1397"/>
    <col min="524" max="524" width="14.7109375" style="1397" bestFit="1" customWidth="1"/>
    <col min="525" max="768" width="9.140625" style="1397"/>
    <col min="769" max="769" width="7.140625" style="1397" customWidth="1"/>
    <col min="770" max="770" width="31.5703125" style="1397" customWidth="1"/>
    <col min="771" max="771" width="12.5703125" style="1397" customWidth="1"/>
    <col min="772" max="772" width="10.42578125" style="1397" customWidth="1"/>
    <col min="773" max="773" width="16.140625" style="1397" customWidth="1"/>
    <col min="774" max="774" width="18.42578125" style="1397" customWidth="1"/>
    <col min="775" max="775" width="12.28515625" style="1397" bestFit="1" customWidth="1"/>
    <col min="776" max="776" width="9.140625" style="1397"/>
    <col min="777" max="777" width="19.140625" style="1397" bestFit="1" customWidth="1"/>
    <col min="778" max="778" width="15.7109375" style="1397" bestFit="1" customWidth="1"/>
    <col min="779" max="779" width="9.140625" style="1397"/>
    <col min="780" max="780" width="14.7109375" style="1397" bestFit="1" customWidth="1"/>
    <col min="781" max="1024" width="9.140625" style="1397"/>
    <col min="1025" max="1025" width="7.140625" style="1397" customWidth="1"/>
    <col min="1026" max="1026" width="31.5703125" style="1397" customWidth="1"/>
    <col min="1027" max="1027" width="12.5703125" style="1397" customWidth="1"/>
    <col min="1028" max="1028" width="10.42578125" style="1397" customWidth="1"/>
    <col min="1029" max="1029" width="16.140625" style="1397" customWidth="1"/>
    <col min="1030" max="1030" width="18.42578125" style="1397" customWidth="1"/>
    <col min="1031" max="1031" width="12.28515625" style="1397" bestFit="1" customWidth="1"/>
    <col min="1032" max="1032" width="9.140625" style="1397"/>
    <col min="1033" max="1033" width="19.140625" style="1397" bestFit="1" customWidth="1"/>
    <col min="1034" max="1034" width="15.7109375" style="1397" bestFit="1" customWidth="1"/>
    <col min="1035" max="1035" width="9.140625" style="1397"/>
    <col min="1036" max="1036" width="14.7109375" style="1397" bestFit="1" customWidth="1"/>
    <col min="1037" max="1280" width="9.140625" style="1397"/>
    <col min="1281" max="1281" width="7.140625" style="1397" customWidth="1"/>
    <col min="1282" max="1282" width="31.5703125" style="1397" customWidth="1"/>
    <col min="1283" max="1283" width="12.5703125" style="1397" customWidth="1"/>
    <col min="1284" max="1284" width="10.42578125" style="1397" customWidth="1"/>
    <col min="1285" max="1285" width="16.140625" style="1397" customWidth="1"/>
    <col min="1286" max="1286" width="18.42578125" style="1397" customWidth="1"/>
    <col min="1287" max="1287" width="12.28515625" style="1397" bestFit="1" customWidth="1"/>
    <col min="1288" max="1288" width="9.140625" style="1397"/>
    <col min="1289" max="1289" width="19.140625" style="1397" bestFit="1" customWidth="1"/>
    <col min="1290" max="1290" width="15.7109375" style="1397" bestFit="1" customWidth="1"/>
    <col min="1291" max="1291" width="9.140625" style="1397"/>
    <col min="1292" max="1292" width="14.7109375" style="1397" bestFit="1" customWidth="1"/>
    <col min="1293" max="1536" width="9.140625" style="1397"/>
    <col min="1537" max="1537" width="7.140625" style="1397" customWidth="1"/>
    <col min="1538" max="1538" width="31.5703125" style="1397" customWidth="1"/>
    <col min="1539" max="1539" width="12.5703125" style="1397" customWidth="1"/>
    <col min="1540" max="1540" width="10.42578125" style="1397" customWidth="1"/>
    <col min="1541" max="1541" width="16.140625" style="1397" customWidth="1"/>
    <col min="1542" max="1542" width="18.42578125" style="1397" customWidth="1"/>
    <col min="1543" max="1543" width="12.28515625" style="1397" bestFit="1" customWidth="1"/>
    <col min="1544" max="1544" width="9.140625" style="1397"/>
    <col min="1545" max="1545" width="19.140625" style="1397" bestFit="1" customWidth="1"/>
    <col min="1546" max="1546" width="15.7109375" style="1397" bestFit="1" customWidth="1"/>
    <col min="1547" max="1547" width="9.140625" style="1397"/>
    <col min="1548" max="1548" width="14.7109375" style="1397" bestFit="1" customWidth="1"/>
    <col min="1549" max="1792" width="9.140625" style="1397"/>
    <col min="1793" max="1793" width="7.140625" style="1397" customWidth="1"/>
    <col min="1794" max="1794" width="31.5703125" style="1397" customWidth="1"/>
    <col min="1795" max="1795" width="12.5703125" style="1397" customWidth="1"/>
    <col min="1796" max="1796" width="10.42578125" style="1397" customWidth="1"/>
    <col min="1797" max="1797" width="16.140625" style="1397" customWidth="1"/>
    <col min="1798" max="1798" width="18.42578125" style="1397" customWidth="1"/>
    <col min="1799" max="1799" width="12.28515625" style="1397" bestFit="1" customWidth="1"/>
    <col min="1800" max="1800" width="9.140625" style="1397"/>
    <col min="1801" max="1801" width="19.140625" style="1397" bestFit="1" customWidth="1"/>
    <col min="1802" max="1802" width="15.7109375" style="1397" bestFit="1" customWidth="1"/>
    <col min="1803" max="1803" width="9.140625" style="1397"/>
    <col min="1804" max="1804" width="14.7109375" style="1397" bestFit="1" customWidth="1"/>
    <col min="1805" max="2048" width="9.140625" style="1397"/>
    <col min="2049" max="2049" width="7.140625" style="1397" customWidth="1"/>
    <col min="2050" max="2050" width="31.5703125" style="1397" customWidth="1"/>
    <col min="2051" max="2051" width="12.5703125" style="1397" customWidth="1"/>
    <col min="2052" max="2052" width="10.42578125" style="1397" customWidth="1"/>
    <col min="2053" max="2053" width="16.140625" style="1397" customWidth="1"/>
    <col min="2054" max="2054" width="18.42578125" style="1397" customWidth="1"/>
    <col min="2055" max="2055" width="12.28515625" style="1397" bestFit="1" customWidth="1"/>
    <col min="2056" max="2056" width="9.140625" style="1397"/>
    <col min="2057" max="2057" width="19.140625" style="1397" bestFit="1" customWidth="1"/>
    <col min="2058" max="2058" width="15.7109375" style="1397" bestFit="1" customWidth="1"/>
    <col min="2059" max="2059" width="9.140625" style="1397"/>
    <col min="2060" max="2060" width="14.7109375" style="1397" bestFit="1" customWidth="1"/>
    <col min="2061" max="2304" width="9.140625" style="1397"/>
    <col min="2305" max="2305" width="7.140625" style="1397" customWidth="1"/>
    <col min="2306" max="2306" width="31.5703125" style="1397" customWidth="1"/>
    <col min="2307" max="2307" width="12.5703125" style="1397" customWidth="1"/>
    <col min="2308" max="2308" width="10.42578125" style="1397" customWidth="1"/>
    <col min="2309" max="2309" width="16.140625" style="1397" customWidth="1"/>
    <col min="2310" max="2310" width="18.42578125" style="1397" customWidth="1"/>
    <col min="2311" max="2311" width="12.28515625" style="1397" bestFit="1" customWidth="1"/>
    <col min="2312" max="2312" width="9.140625" style="1397"/>
    <col min="2313" max="2313" width="19.140625" style="1397" bestFit="1" customWidth="1"/>
    <col min="2314" max="2314" width="15.7109375" style="1397" bestFit="1" customWidth="1"/>
    <col min="2315" max="2315" width="9.140625" style="1397"/>
    <col min="2316" max="2316" width="14.7109375" style="1397" bestFit="1" customWidth="1"/>
    <col min="2317" max="2560" width="9.140625" style="1397"/>
    <col min="2561" max="2561" width="7.140625" style="1397" customWidth="1"/>
    <col min="2562" max="2562" width="31.5703125" style="1397" customWidth="1"/>
    <col min="2563" max="2563" width="12.5703125" style="1397" customWidth="1"/>
    <col min="2564" max="2564" width="10.42578125" style="1397" customWidth="1"/>
    <col min="2565" max="2565" width="16.140625" style="1397" customWidth="1"/>
    <col min="2566" max="2566" width="18.42578125" style="1397" customWidth="1"/>
    <col min="2567" max="2567" width="12.28515625" style="1397" bestFit="1" customWidth="1"/>
    <col min="2568" max="2568" width="9.140625" style="1397"/>
    <col min="2569" max="2569" width="19.140625" style="1397" bestFit="1" customWidth="1"/>
    <col min="2570" max="2570" width="15.7109375" style="1397" bestFit="1" customWidth="1"/>
    <col min="2571" max="2571" width="9.140625" style="1397"/>
    <col min="2572" max="2572" width="14.7109375" style="1397" bestFit="1" customWidth="1"/>
    <col min="2573" max="2816" width="9.140625" style="1397"/>
    <col min="2817" max="2817" width="7.140625" style="1397" customWidth="1"/>
    <col min="2818" max="2818" width="31.5703125" style="1397" customWidth="1"/>
    <col min="2819" max="2819" width="12.5703125" style="1397" customWidth="1"/>
    <col min="2820" max="2820" width="10.42578125" style="1397" customWidth="1"/>
    <col min="2821" max="2821" width="16.140625" style="1397" customWidth="1"/>
    <col min="2822" max="2822" width="18.42578125" style="1397" customWidth="1"/>
    <col min="2823" max="2823" width="12.28515625" style="1397" bestFit="1" customWidth="1"/>
    <col min="2824" max="2824" width="9.140625" style="1397"/>
    <col min="2825" max="2825" width="19.140625" style="1397" bestFit="1" customWidth="1"/>
    <col min="2826" max="2826" width="15.7109375" style="1397" bestFit="1" customWidth="1"/>
    <col min="2827" max="2827" width="9.140625" style="1397"/>
    <col min="2828" max="2828" width="14.7109375" style="1397" bestFit="1" customWidth="1"/>
    <col min="2829" max="3072" width="9.140625" style="1397"/>
    <col min="3073" max="3073" width="7.140625" style="1397" customWidth="1"/>
    <col min="3074" max="3074" width="31.5703125" style="1397" customWidth="1"/>
    <col min="3075" max="3075" width="12.5703125" style="1397" customWidth="1"/>
    <col min="3076" max="3076" width="10.42578125" style="1397" customWidth="1"/>
    <col min="3077" max="3077" width="16.140625" style="1397" customWidth="1"/>
    <col min="3078" max="3078" width="18.42578125" style="1397" customWidth="1"/>
    <col min="3079" max="3079" width="12.28515625" style="1397" bestFit="1" customWidth="1"/>
    <col min="3080" max="3080" width="9.140625" style="1397"/>
    <col min="3081" max="3081" width="19.140625" style="1397" bestFit="1" customWidth="1"/>
    <col min="3082" max="3082" width="15.7109375" style="1397" bestFit="1" customWidth="1"/>
    <col min="3083" max="3083" width="9.140625" style="1397"/>
    <col min="3084" max="3084" width="14.7109375" style="1397" bestFit="1" customWidth="1"/>
    <col min="3085" max="3328" width="9.140625" style="1397"/>
    <col min="3329" max="3329" width="7.140625" style="1397" customWidth="1"/>
    <col min="3330" max="3330" width="31.5703125" style="1397" customWidth="1"/>
    <col min="3331" max="3331" width="12.5703125" style="1397" customWidth="1"/>
    <col min="3332" max="3332" width="10.42578125" style="1397" customWidth="1"/>
    <col min="3333" max="3333" width="16.140625" style="1397" customWidth="1"/>
    <col min="3334" max="3334" width="18.42578125" style="1397" customWidth="1"/>
    <col min="3335" max="3335" width="12.28515625" style="1397" bestFit="1" customWidth="1"/>
    <col min="3336" max="3336" width="9.140625" style="1397"/>
    <col min="3337" max="3337" width="19.140625" style="1397" bestFit="1" customWidth="1"/>
    <col min="3338" max="3338" width="15.7109375" style="1397" bestFit="1" customWidth="1"/>
    <col min="3339" max="3339" width="9.140625" style="1397"/>
    <col min="3340" max="3340" width="14.7109375" style="1397" bestFit="1" customWidth="1"/>
    <col min="3341" max="3584" width="9.140625" style="1397"/>
    <col min="3585" max="3585" width="7.140625" style="1397" customWidth="1"/>
    <col min="3586" max="3586" width="31.5703125" style="1397" customWidth="1"/>
    <col min="3587" max="3587" width="12.5703125" style="1397" customWidth="1"/>
    <col min="3588" max="3588" width="10.42578125" style="1397" customWidth="1"/>
    <col min="3589" max="3589" width="16.140625" style="1397" customWidth="1"/>
    <col min="3590" max="3590" width="18.42578125" style="1397" customWidth="1"/>
    <col min="3591" max="3591" width="12.28515625" style="1397" bestFit="1" customWidth="1"/>
    <col min="3592" max="3592" width="9.140625" style="1397"/>
    <col min="3593" max="3593" width="19.140625" style="1397" bestFit="1" customWidth="1"/>
    <col min="3594" max="3594" width="15.7109375" style="1397" bestFit="1" customWidth="1"/>
    <col min="3595" max="3595" width="9.140625" style="1397"/>
    <col min="3596" max="3596" width="14.7109375" style="1397" bestFit="1" customWidth="1"/>
    <col min="3597" max="3840" width="9.140625" style="1397"/>
    <col min="3841" max="3841" width="7.140625" style="1397" customWidth="1"/>
    <col min="3842" max="3842" width="31.5703125" style="1397" customWidth="1"/>
    <col min="3843" max="3843" width="12.5703125" style="1397" customWidth="1"/>
    <col min="3844" max="3844" width="10.42578125" style="1397" customWidth="1"/>
    <col min="3845" max="3845" width="16.140625" style="1397" customWidth="1"/>
    <col min="3846" max="3846" width="18.42578125" style="1397" customWidth="1"/>
    <col min="3847" max="3847" width="12.28515625" style="1397" bestFit="1" customWidth="1"/>
    <col min="3848" max="3848" width="9.140625" style="1397"/>
    <col min="3849" max="3849" width="19.140625" style="1397" bestFit="1" customWidth="1"/>
    <col min="3850" max="3850" width="15.7109375" style="1397" bestFit="1" customWidth="1"/>
    <col min="3851" max="3851" width="9.140625" style="1397"/>
    <col min="3852" max="3852" width="14.7109375" style="1397" bestFit="1" customWidth="1"/>
    <col min="3853" max="4096" width="9.140625" style="1397"/>
    <col min="4097" max="4097" width="7.140625" style="1397" customWidth="1"/>
    <col min="4098" max="4098" width="31.5703125" style="1397" customWidth="1"/>
    <col min="4099" max="4099" width="12.5703125" style="1397" customWidth="1"/>
    <col min="4100" max="4100" width="10.42578125" style="1397" customWidth="1"/>
    <col min="4101" max="4101" width="16.140625" style="1397" customWidth="1"/>
    <col min="4102" max="4102" width="18.42578125" style="1397" customWidth="1"/>
    <col min="4103" max="4103" width="12.28515625" style="1397" bestFit="1" customWidth="1"/>
    <col min="4104" max="4104" width="9.140625" style="1397"/>
    <col min="4105" max="4105" width="19.140625" style="1397" bestFit="1" customWidth="1"/>
    <col min="4106" max="4106" width="15.7109375" style="1397" bestFit="1" customWidth="1"/>
    <col min="4107" max="4107" width="9.140625" style="1397"/>
    <col min="4108" max="4108" width="14.7109375" style="1397" bestFit="1" customWidth="1"/>
    <col min="4109" max="4352" width="9.140625" style="1397"/>
    <col min="4353" max="4353" width="7.140625" style="1397" customWidth="1"/>
    <col min="4354" max="4354" width="31.5703125" style="1397" customWidth="1"/>
    <col min="4355" max="4355" width="12.5703125" style="1397" customWidth="1"/>
    <col min="4356" max="4356" width="10.42578125" style="1397" customWidth="1"/>
    <col min="4357" max="4357" width="16.140625" style="1397" customWidth="1"/>
    <col min="4358" max="4358" width="18.42578125" style="1397" customWidth="1"/>
    <col min="4359" max="4359" width="12.28515625" style="1397" bestFit="1" customWidth="1"/>
    <col min="4360" max="4360" width="9.140625" style="1397"/>
    <col min="4361" max="4361" width="19.140625" style="1397" bestFit="1" customWidth="1"/>
    <col min="4362" max="4362" width="15.7109375" style="1397" bestFit="1" customWidth="1"/>
    <col min="4363" max="4363" width="9.140625" style="1397"/>
    <col min="4364" max="4364" width="14.7109375" style="1397" bestFit="1" customWidth="1"/>
    <col min="4365" max="4608" width="9.140625" style="1397"/>
    <col min="4609" max="4609" width="7.140625" style="1397" customWidth="1"/>
    <col min="4610" max="4610" width="31.5703125" style="1397" customWidth="1"/>
    <col min="4611" max="4611" width="12.5703125" style="1397" customWidth="1"/>
    <col min="4612" max="4612" width="10.42578125" style="1397" customWidth="1"/>
    <col min="4613" max="4613" width="16.140625" style="1397" customWidth="1"/>
    <col min="4614" max="4614" width="18.42578125" style="1397" customWidth="1"/>
    <col min="4615" max="4615" width="12.28515625" style="1397" bestFit="1" customWidth="1"/>
    <col min="4616" max="4616" width="9.140625" style="1397"/>
    <col min="4617" max="4617" width="19.140625" style="1397" bestFit="1" customWidth="1"/>
    <col min="4618" max="4618" width="15.7109375" style="1397" bestFit="1" customWidth="1"/>
    <col min="4619" max="4619" width="9.140625" style="1397"/>
    <col min="4620" max="4620" width="14.7109375" style="1397" bestFit="1" customWidth="1"/>
    <col min="4621" max="4864" width="9.140625" style="1397"/>
    <col min="4865" max="4865" width="7.140625" style="1397" customWidth="1"/>
    <col min="4866" max="4866" width="31.5703125" style="1397" customWidth="1"/>
    <col min="4867" max="4867" width="12.5703125" style="1397" customWidth="1"/>
    <col min="4868" max="4868" width="10.42578125" style="1397" customWidth="1"/>
    <col min="4869" max="4869" width="16.140625" style="1397" customWidth="1"/>
    <col min="4870" max="4870" width="18.42578125" style="1397" customWidth="1"/>
    <col min="4871" max="4871" width="12.28515625" style="1397" bestFit="1" customWidth="1"/>
    <col min="4872" max="4872" width="9.140625" style="1397"/>
    <col min="4873" max="4873" width="19.140625" style="1397" bestFit="1" customWidth="1"/>
    <col min="4874" max="4874" width="15.7109375" style="1397" bestFit="1" customWidth="1"/>
    <col min="4875" max="4875" width="9.140625" style="1397"/>
    <col min="4876" max="4876" width="14.7109375" style="1397" bestFit="1" customWidth="1"/>
    <col min="4877" max="5120" width="9.140625" style="1397"/>
    <col min="5121" max="5121" width="7.140625" style="1397" customWidth="1"/>
    <col min="5122" max="5122" width="31.5703125" style="1397" customWidth="1"/>
    <col min="5123" max="5123" width="12.5703125" style="1397" customWidth="1"/>
    <col min="5124" max="5124" width="10.42578125" style="1397" customWidth="1"/>
    <col min="5125" max="5125" width="16.140625" style="1397" customWidth="1"/>
    <col min="5126" max="5126" width="18.42578125" style="1397" customWidth="1"/>
    <col min="5127" max="5127" width="12.28515625" style="1397" bestFit="1" customWidth="1"/>
    <col min="5128" max="5128" width="9.140625" style="1397"/>
    <col min="5129" max="5129" width="19.140625" style="1397" bestFit="1" customWidth="1"/>
    <col min="5130" max="5130" width="15.7109375" style="1397" bestFit="1" customWidth="1"/>
    <col min="5131" max="5131" width="9.140625" style="1397"/>
    <col min="5132" max="5132" width="14.7109375" style="1397" bestFit="1" customWidth="1"/>
    <col min="5133" max="5376" width="9.140625" style="1397"/>
    <col min="5377" max="5377" width="7.140625" style="1397" customWidth="1"/>
    <col min="5378" max="5378" width="31.5703125" style="1397" customWidth="1"/>
    <col min="5379" max="5379" width="12.5703125" style="1397" customWidth="1"/>
    <col min="5380" max="5380" width="10.42578125" style="1397" customWidth="1"/>
    <col min="5381" max="5381" width="16.140625" style="1397" customWidth="1"/>
    <col min="5382" max="5382" width="18.42578125" style="1397" customWidth="1"/>
    <col min="5383" max="5383" width="12.28515625" style="1397" bestFit="1" customWidth="1"/>
    <col min="5384" max="5384" width="9.140625" style="1397"/>
    <col min="5385" max="5385" width="19.140625" style="1397" bestFit="1" customWidth="1"/>
    <col min="5386" max="5386" width="15.7109375" style="1397" bestFit="1" customWidth="1"/>
    <col min="5387" max="5387" width="9.140625" style="1397"/>
    <col min="5388" max="5388" width="14.7109375" style="1397" bestFit="1" customWidth="1"/>
    <col min="5389" max="5632" width="9.140625" style="1397"/>
    <col min="5633" max="5633" width="7.140625" style="1397" customWidth="1"/>
    <col min="5634" max="5634" width="31.5703125" style="1397" customWidth="1"/>
    <col min="5635" max="5635" width="12.5703125" style="1397" customWidth="1"/>
    <col min="5636" max="5636" width="10.42578125" style="1397" customWidth="1"/>
    <col min="5637" max="5637" width="16.140625" style="1397" customWidth="1"/>
    <col min="5638" max="5638" width="18.42578125" style="1397" customWidth="1"/>
    <col min="5639" max="5639" width="12.28515625" style="1397" bestFit="1" customWidth="1"/>
    <col min="5640" max="5640" width="9.140625" style="1397"/>
    <col min="5641" max="5641" width="19.140625" style="1397" bestFit="1" customWidth="1"/>
    <col min="5642" max="5642" width="15.7109375" style="1397" bestFit="1" customWidth="1"/>
    <col min="5643" max="5643" width="9.140625" style="1397"/>
    <col min="5644" max="5644" width="14.7109375" style="1397" bestFit="1" customWidth="1"/>
    <col min="5645" max="5888" width="9.140625" style="1397"/>
    <col min="5889" max="5889" width="7.140625" style="1397" customWidth="1"/>
    <col min="5890" max="5890" width="31.5703125" style="1397" customWidth="1"/>
    <col min="5891" max="5891" width="12.5703125" style="1397" customWidth="1"/>
    <col min="5892" max="5892" width="10.42578125" style="1397" customWidth="1"/>
    <col min="5893" max="5893" width="16.140625" style="1397" customWidth="1"/>
    <col min="5894" max="5894" width="18.42578125" style="1397" customWidth="1"/>
    <col min="5895" max="5895" width="12.28515625" style="1397" bestFit="1" customWidth="1"/>
    <col min="5896" max="5896" width="9.140625" style="1397"/>
    <col min="5897" max="5897" width="19.140625" style="1397" bestFit="1" customWidth="1"/>
    <col min="5898" max="5898" width="15.7109375" style="1397" bestFit="1" customWidth="1"/>
    <col min="5899" max="5899" width="9.140625" style="1397"/>
    <col min="5900" max="5900" width="14.7109375" style="1397" bestFit="1" customWidth="1"/>
    <col min="5901" max="6144" width="9.140625" style="1397"/>
    <col min="6145" max="6145" width="7.140625" style="1397" customWidth="1"/>
    <col min="6146" max="6146" width="31.5703125" style="1397" customWidth="1"/>
    <col min="6147" max="6147" width="12.5703125" style="1397" customWidth="1"/>
    <col min="6148" max="6148" width="10.42578125" style="1397" customWidth="1"/>
    <col min="6149" max="6149" width="16.140625" style="1397" customWidth="1"/>
    <col min="6150" max="6150" width="18.42578125" style="1397" customWidth="1"/>
    <col min="6151" max="6151" width="12.28515625" style="1397" bestFit="1" customWidth="1"/>
    <col min="6152" max="6152" width="9.140625" style="1397"/>
    <col min="6153" max="6153" width="19.140625" style="1397" bestFit="1" customWidth="1"/>
    <col min="6154" max="6154" width="15.7109375" style="1397" bestFit="1" customWidth="1"/>
    <col min="6155" max="6155" width="9.140625" style="1397"/>
    <col min="6156" max="6156" width="14.7109375" style="1397" bestFit="1" customWidth="1"/>
    <col min="6157" max="6400" width="9.140625" style="1397"/>
    <col min="6401" max="6401" width="7.140625" style="1397" customWidth="1"/>
    <col min="6402" max="6402" width="31.5703125" style="1397" customWidth="1"/>
    <col min="6403" max="6403" width="12.5703125" style="1397" customWidth="1"/>
    <col min="6404" max="6404" width="10.42578125" style="1397" customWidth="1"/>
    <col min="6405" max="6405" width="16.140625" style="1397" customWidth="1"/>
    <col min="6406" max="6406" width="18.42578125" style="1397" customWidth="1"/>
    <col min="6407" max="6407" width="12.28515625" style="1397" bestFit="1" customWidth="1"/>
    <col min="6408" max="6408" width="9.140625" style="1397"/>
    <col min="6409" max="6409" width="19.140625" style="1397" bestFit="1" customWidth="1"/>
    <col min="6410" max="6410" width="15.7109375" style="1397" bestFit="1" customWidth="1"/>
    <col min="6411" max="6411" width="9.140625" style="1397"/>
    <col min="6412" max="6412" width="14.7109375" style="1397" bestFit="1" customWidth="1"/>
    <col min="6413" max="6656" width="9.140625" style="1397"/>
    <col min="6657" max="6657" width="7.140625" style="1397" customWidth="1"/>
    <col min="6658" max="6658" width="31.5703125" style="1397" customWidth="1"/>
    <col min="6659" max="6659" width="12.5703125" style="1397" customWidth="1"/>
    <col min="6660" max="6660" width="10.42578125" style="1397" customWidth="1"/>
    <col min="6661" max="6661" width="16.140625" style="1397" customWidth="1"/>
    <col min="6662" max="6662" width="18.42578125" style="1397" customWidth="1"/>
    <col min="6663" max="6663" width="12.28515625" style="1397" bestFit="1" customWidth="1"/>
    <col min="6664" max="6664" width="9.140625" style="1397"/>
    <col min="6665" max="6665" width="19.140625" style="1397" bestFit="1" customWidth="1"/>
    <col min="6666" max="6666" width="15.7109375" style="1397" bestFit="1" customWidth="1"/>
    <col min="6667" max="6667" width="9.140625" style="1397"/>
    <col min="6668" max="6668" width="14.7109375" style="1397" bestFit="1" customWidth="1"/>
    <col min="6669" max="6912" width="9.140625" style="1397"/>
    <col min="6913" max="6913" width="7.140625" style="1397" customWidth="1"/>
    <col min="6914" max="6914" width="31.5703125" style="1397" customWidth="1"/>
    <col min="6915" max="6915" width="12.5703125" style="1397" customWidth="1"/>
    <col min="6916" max="6916" width="10.42578125" style="1397" customWidth="1"/>
    <col min="6917" max="6917" width="16.140625" style="1397" customWidth="1"/>
    <col min="6918" max="6918" width="18.42578125" style="1397" customWidth="1"/>
    <col min="6919" max="6919" width="12.28515625" style="1397" bestFit="1" customWidth="1"/>
    <col min="6920" max="6920" width="9.140625" style="1397"/>
    <col min="6921" max="6921" width="19.140625" style="1397" bestFit="1" customWidth="1"/>
    <col min="6922" max="6922" width="15.7109375" style="1397" bestFit="1" customWidth="1"/>
    <col min="6923" max="6923" width="9.140625" style="1397"/>
    <col min="6924" max="6924" width="14.7109375" style="1397" bestFit="1" customWidth="1"/>
    <col min="6925" max="7168" width="9.140625" style="1397"/>
    <col min="7169" max="7169" width="7.140625" style="1397" customWidth="1"/>
    <col min="7170" max="7170" width="31.5703125" style="1397" customWidth="1"/>
    <col min="7171" max="7171" width="12.5703125" style="1397" customWidth="1"/>
    <col min="7172" max="7172" width="10.42578125" style="1397" customWidth="1"/>
    <col min="7173" max="7173" width="16.140625" style="1397" customWidth="1"/>
    <col min="7174" max="7174" width="18.42578125" style="1397" customWidth="1"/>
    <col min="7175" max="7175" width="12.28515625" style="1397" bestFit="1" customWidth="1"/>
    <col min="7176" max="7176" width="9.140625" style="1397"/>
    <col min="7177" max="7177" width="19.140625" style="1397" bestFit="1" customWidth="1"/>
    <col min="7178" max="7178" width="15.7109375" style="1397" bestFit="1" customWidth="1"/>
    <col min="7179" max="7179" width="9.140625" style="1397"/>
    <col min="7180" max="7180" width="14.7109375" style="1397" bestFit="1" customWidth="1"/>
    <col min="7181" max="7424" width="9.140625" style="1397"/>
    <col min="7425" max="7425" width="7.140625" style="1397" customWidth="1"/>
    <col min="7426" max="7426" width="31.5703125" style="1397" customWidth="1"/>
    <col min="7427" max="7427" width="12.5703125" style="1397" customWidth="1"/>
    <col min="7428" max="7428" width="10.42578125" style="1397" customWidth="1"/>
    <col min="7429" max="7429" width="16.140625" style="1397" customWidth="1"/>
    <col min="7430" max="7430" width="18.42578125" style="1397" customWidth="1"/>
    <col min="7431" max="7431" width="12.28515625" style="1397" bestFit="1" customWidth="1"/>
    <col min="7432" max="7432" width="9.140625" style="1397"/>
    <col min="7433" max="7433" width="19.140625" style="1397" bestFit="1" customWidth="1"/>
    <col min="7434" max="7434" width="15.7109375" style="1397" bestFit="1" customWidth="1"/>
    <col min="7435" max="7435" width="9.140625" style="1397"/>
    <col min="7436" max="7436" width="14.7109375" style="1397" bestFit="1" customWidth="1"/>
    <col min="7437" max="7680" width="9.140625" style="1397"/>
    <col min="7681" max="7681" width="7.140625" style="1397" customWidth="1"/>
    <col min="7682" max="7682" width="31.5703125" style="1397" customWidth="1"/>
    <col min="7683" max="7683" width="12.5703125" style="1397" customWidth="1"/>
    <col min="7684" max="7684" width="10.42578125" style="1397" customWidth="1"/>
    <col min="7685" max="7685" width="16.140625" style="1397" customWidth="1"/>
    <col min="7686" max="7686" width="18.42578125" style="1397" customWidth="1"/>
    <col min="7687" max="7687" width="12.28515625" style="1397" bestFit="1" customWidth="1"/>
    <col min="7688" max="7688" width="9.140625" style="1397"/>
    <col min="7689" max="7689" width="19.140625" style="1397" bestFit="1" customWidth="1"/>
    <col min="7690" max="7690" width="15.7109375" style="1397" bestFit="1" customWidth="1"/>
    <col min="7691" max="7691" width="9.140625" style="1397"/>
    <col min="7692" max="7692" width="14.7109375" style="1397" bestFit="1" customWidth="1"/>
    <col min="7693" max="7936" width="9.140625" style="1397"/>
    <col min="7937" max="7937" width="7.140625" style="1397" customWidth="1"/>
    <col min="7938" max="7938" width="31.5703125" style="1397" customWidth="1"/>
    <col min="7939" max="7939" width="12.5703125" style="1397" customWidth="1"/>
    <col min="7940" max="7940" width="10.42578125" style="1397" customWidth="1"/>
    <col min="7941" max="7941" width="16.140625" style="1397" customWidth="1"/>
    <col min="7942" max="7942" width="18.42578125" style="1397" customWidth="1"/>
    <col min="7943" max="7943" width="12.28515625" style="1397" bestFit="1" customWidth="1"/>
    <col min="7944" max="7944" width="9.140625" style="1397"/>
    <col min="7945" max="7945" width="19.140625" style="1397" bestFit="1" customWidth="1"/>
    <col min="7946" max="7946" width="15.7109375" style="1397" bestFit="1" customWidth="1"/>
    <col min="7947" max="7947" width="9.140625" style="1397"/>
    <col min="7948" max="7948" width="14.7109375" style="1397" bestFit="1" customWidth="1"/>
    <col min="7949" max="8192" width="9.140625" style="1397"/>
    <col min="8193" max="8193" width="7.140625" style="1397" customWidth="1"/>
    <col min="8194" max="8194" width="31.5703125" style="1397" customWidth="1"/>
    <col min="8195" max="8195" width="12.5703125" style="1397" customWidth="1"/>
    <col min="8196" max="8196" width="10.42578125" style="1397" customWidth="1"/>
    <col min="8197" max="8197" width="16.140625" style="1397" customWidth="1"/>
    <col min="8198" max="8198" width="18.42578125" style="1397" customWidth="1"/>
    <col min="8199" max="8199" width="12.28515625" style="1397" bestFit="1" customWidth="1"/>
    <col min="8200" max="8200" width="9.140625" style="1397"/>
    <col min="8201" max="8201" width="19.140625" style="1397" bestFit="1" customWidth="1"/>
    <col min="8202" max="8202" width="15.7109375" style="1397" bestFit="1" customWidth="1"/>
    <col min="8203" max="8203" width="9.140625" style="1397"/>
    <col min="8204" max="8204" width="14.7109375" style="1397" bestFit="1" customWidth="1"/>
    <col min="8205" max="8448" width="9.140625" style="1397"/>
    <col min="8449" max="8449" width="7.140625" style="1397" customWidth="1"/>
    <col min="8450" max="8450" width="31.5703125" style="1397" customWidth="1"/>
    <col min="8451" max="8451" width="12.5703125" style="1397" customWidth="1"/>
    <col min="8452" max="8452" width="10.42578125" style="1397" customWidth="1"/>
    <col min="8453" max="8453" width="16.140625" style="1397" customWidth="1"/>
    <col min="8454" max="8454" width="18.42578125" style="1397" customWidth="1"/>
    <col min="8455" max="8455" width="12.28515625" style="1397" bestFit="1" customWidth="1"/>
    <col min="8456" max="8456" width="9.140625" style="1397"/>
    <col min="8457" max="8457" width="19.140625" style="1397" bestFit="1" customWidth="1"/>
    <col min="8458" max="8458" width="15.7109375" style="1397" bestFit="1" customWidth="1"/>
    <col min="8459" max="8459" width="9.140625" style="1397"/>
    <col min="8460" max="8460" width="14.7109375" style="1397" bestFit="1" customWidth="1"/>
    <col min="8461" max="8704" width="9.140625" style="1397"/>
    <col min="8705" max="8705" width="7.140625" style="1397" customWidth="1"/>
    <col min="8706" max="8706" width="31.5703125" style="1397" customWidth="1"/>
    <col min="8707" max="8707" width="12.5703125" style="1397" customWidth="1"/>
    <col min="8708" max="8708" width="10.42578125" style="1397" customWidth="1"/>
    <col min="8709" max="8709" width="16.140625" style="1397" customWidth="1"/>
    <col min="8710" max="8710" width="18.42578125" style="1397" customWidth="1"/>
    <col min="8711" max="8711" width="12.28515625" style="1397" bestFit="1" customWidth="1"/>
    <col min="8712" max="8712" width="9.140625" style="1397"/>
    <col min="8713" max="8713" width="19.140625" style="1397" bestFit="1" customWidth="1"/>
    <col min="8714" max="8714" width="15.7109375" style="1397" bestFit="1" customWidth="1"/>
    <col min="8715" max="8715" width="9.140625" style="1397"/>
    <col min="8716" max="8716" width="14.7109375" style="1397" bestFit="1" customWidth="1"/>
    <col min="8717" max="8960" width="9.140625" style="1397"/>
    <col min="8961" max="8961" width="7.140625" style="1397" customWidth="1"/>
    <col min="8962" max="8962" width="31.5703125" style="1397" customWidth="1"/>
    <col min="8963" max="8963" width="12.5703125" style="1397" customWidth="1"/>
    <col min="8964" max="8964" width="10.42578125" style="1397" customWidth="1"/>
    <col min="8965" max="8965" width="16.140625" style="1397" customWidth="1"/>
    <col min="8966" max="8966" width="18.42578125" style="1397" customWidth="1"/>
    <col min="8967" max="8967" width="12.28515625" style="1397" bestFit="1" customWidth="1"/>
    <col min="8968" max="8968" width="9.140625" style="1397"/>
    <col min="8969" max="8969" width="19.140625" style="1397" bestFit="1" customWidth="1"/>
    <col min="8970" max="8970" width="15.7109375" style="1397" bestFit="1" customWidth="1"/>
    <col min="8971" max="8971" width="9.140625" style="1397"/>
    <col min="8972" max="8972" width="14.7109375" style="1397" bestFit="1" customWidth="1"/>
    <col min="8973" max="9216" width="9.140625" style="1397"/>
    <col min="9217" max="9217" width="7.140625" style="1397" customWidth="1"/>
    <col min="9218" max="9218" width="31.5703125" style="1397" customWidth="1"/>
    <col min="9219" max="9219" width="12.5703125" style="1397" customWidth="1"/>
    <col min="9220" max="9220" width="10.42578125" style="1397" customWidth="1"/>
    <col min="9221" max="9221" width="16.140625" style="1397" customWidth="1"/>
    <col min="9222" max="9222" width="18.42578125" style="1397" customWidth="1"/>
    <col min="9223" max="9223" width="12.28515625" style="1397" bestFit="1" customWidth="1"/>
    <col min="9224" max="9224" width="9.140625" style="1397"/>
    <col min="9225" max="9225" width="19.140625" style="1397" bestFit="1" customWidth="1"/>
    <col min="9226" max="9226" width="15.7109375" style="1397" bestFit="1" customWidth="1"/>
    <col min="9227" max="9227" width="9.140625" style="1397"/>
    <col min="9228" max="9228" width="14.7109375" style="1397" bestFit="1" customWidth="1"/>
    <col min="9229" max="9472" width="9.140625" style="1397"/>
    <col min="9473" max="9473" width="7.140625" style="1397" customWidth="1"/>
    <col min="9474" max="9474" width="31.5703125" style="1397" customWidth="1"/>
    <col min="9475" max="9475" width="12.5703125" style="1397" customWidth="1"/>
    <col min="9476" max="9476" width="10.42578125" style="1397" customWidth="1"/>
    <col min="9477" max="9477" width="16.140625" style="1397" customWidth="1"/>
    <col min="9478" max="9478" width="18.42578125" style="1397" customWidth="1"/>
    <col min="9479" max="9479" width="12.28515625" style="1397" bestFit="1" customWidth="1"/>
    <col min="9480" max="9480" width="9.140625" style="1397"/>
    <col min="9481" max="9481" width="19.140625" style="1397" bestFit="1" customWidth="1"/>
    <col min="9482" max="9482" width="15.7109375" style="1397" bestFit="1" customWidth="1"/>
    <col min="9483" max="9483" width="9.140625" style="1397"/>
    <col min="9484" max="9484" width="14.7109375" style="1397" bestFit="1" customWidth="1"/>
    <col min="9485" max="9728" width="9.140625" style="1397"/>
    <col min="9729" max="9729" width="7.140625" style="1397" customWidth="1"/>
    <col min="9730" max="9730" width="31.5703125" style="1397" customWidth="1"/>
    <col min="9731" max="9731" width="12.5703125" style="1397" customWidth="1"/>
    <col min="9732" max="9732" width="10.42578125" style="1397" customWidth="1"/>
    <col min="9733" max="9733" width="16.140625" style="1397" customWidth="1"/>
    <col min="9734" max="9734" width="18.42578125" style="1397" customWidth="1"/>
    <col min="9735" max="9735" width="12.28515625" style="1397" bestFit="1" customWidth="1"/>
    <col min="9736" max="9736" width="9.140625" style="1397"/>
    <col min="9737" max="9737" width="19.140625" style="1397" bestFit="1" customWidth="1"/>
    <col min="9738" max="9738" width="15.7109375" style="1397" bestFit="1" customWidth="1"/>
    <col min="9739" max="9739" width="9.140625" style="1397"/>
    <col min="9740" max="9740" width="14.7109375" style="1397" bestFit="1" customWidth="1"/>
    <col min="9741" max="9984" width="9.140625" style="1397"/>
    <col min="9985" max="9985" width="7.140625" style="1397" customWidth="1"/>
    <col min="9986" max="9986" width="31.5703125" style="1397" customWidth="1"/>
    <col min="9987" max="9987" width="12.5703125" style="1397" customWidth="1"/>
    <col min="9988" max="9988" width="10.42578125" style="1397" customWidth="1"/>
    <col min="9989" max="9989" width="16.140625" style="1397" customWidth="1"/>
    <col min="9990" max="9990" width="18.42578125" style="1397" customWidth="1"/>
    <col min="9991" max="9991" width="12.28515625" style="1397" bestFit="1" customWidth="1"/>
    <col min="9992" max="9992" width="9.140625" style="1397"/>
    <col min="9993" max="9993" width="19.140625" style="1397" bestFit="1" customWidth="1"/>
    <col min="9994" max="9994" width="15.7109375" style="1397" bestFit="1" customWidth="1"/>
    <col min="9995" max="9995" width="9.140625" style="1397"/>
    <col min="9996" max="9996" width="14.7109375" style="1397" bestFit="1" customWidth="1"/>
    <col min="9997" max="10240" width="9.140625" style="1397"/>
    <col min="10241" max="10241" width="7.140625" style="1397" customWidth="1"/>
    <col min="10242" max="10242" width="31.5703125" style="1397" customWidth="1"/>
    <col min="10243" max="10243" width="12.5703125" style="1397" customWidth="1"/>
    <col min="10244" max="10244" width="10.42578125" style="1397" customWidth="1"/>
    <col min="10245" max="10245" width="16.140625" style="1397" customWidth="1"/>
    <col min="10246" max="10246" width="18.42578125" style="1397" customWidth="1"/>
    <col min="10247" max="10247" width="12.28515625" style="1397" bestFit="1" customWidth="1"/>
    <col min="10248" max="10248" width="9.140625" style="1397"/>
    <col min="10249" max="10249" width="19.140625" style="1397" bestFit="1" customWidth="1"/>
    <col min="10250" max="10250" width="15.7109375" style="1397" bestFit="1" customWidth="1"/>
    <col min="10251" max="10251" width="9.140625" style="1397"/>
    <col min="10252" max="10252" width="14.7109375" style="1397" bestFit="1" customWidth="1"/>
    <col min="10253" max="10496" width="9.140625" style="1397"/>
    <col min="10497" max="10497" width="7.140625" style="1397" customWidth="1"/>
    <col min="10498" max="10498" width="31.5703125" style="1397" customWidth="1"/>
    <col min="10499" max="10499" width="12.5703125" style="1397" customWidth="1"/>
    <col min="10500" max="10500" width="10.42578125" style="1397" customWidth="1"/>
    <col min="10501" max="10501" width="16.140625" style="1397" customWidth="1"/>
    <col min="10502" max="10502" width="18.42578125" style="1397" customWidth="1"/>
    <col min="10503" max="10503" width="12.28515625" style="1397" bestFit="1" customWidth="1"/>
    <col min="10504" max="10504" width="9.140625" style="1397"/>
    <col min="10505" max="10505" width="19.140625" style="1397" bestFit="1" customWidth="1"/>
    <col min="10506" max="10506" width="15.7109375" style="1397" bestFit="1" customWidth="1"/>
    <col min="10507" max="10507" width="9.140625" style="1397"/>
    <col min="10508" max="10508" width="14.7109375" style="1397" bestFit="1" customWidth="1"/>
    <col min="10509" max="10752" width="9.140625" style="1397"/>
    <col min="10753" max="10753" width="7.140625" style="1397" customWidth="1"/>
    <col min="10754" max="10754" width="31.5703125" style="1397" customWidth="1"/>
    <col min="10755" max="10755" width="12.5703125" style="1397" customWidth="1"/>
    <col min="10756" max="10756" width="10.42578125" style="1397" customWidth="1"/>
    <col min="10757" max="10757" width="16.140625" style="1397" customWidth="1"/>
    <col min="10758" max="10758" width="18.42578125" style="1397" customWidth="1"/>
    <col min="10759" max="10759" width="12.28515625" style="1397" bestFit="1" customWidth="1"/>
    <col min="10760" max="10760" width="9.140625" style="1397"/>
    <col min="10761" max="10761" width="19.140625" style="1397" bestFit="1" customWidth="1"/>
    <col min="10762" max="10762" width="15.7109375" style="1397" bestFit="1" customWidth="1"/>
    <col min="10763" max="10763" width="9.140625" style="1397"/>
    <col min="10764" max="10764" width="14.7109375" style="1397" bestFit="1" customWidth="1"/>
    <col min="10765" max="11008" width="9.140625" style="1397"/>
    <col min="11009" max="11009" width="7.140625" style="1397" customWidth="1"/>
    <col min="11010" max="11010" width="31.5703125" style="1397" customWidth="1"/>
    <col min="11011" max="11011" width="12.5703125" style="1397" customWidth="1"/>
    <col min="11012" max="11012" width="10.42578125" style="1397" customWidth="1"/>
    <col min="11013" max="11013" width="16.140625" style="1397" customWidth="1"/>
    <col min="11014" max="11014" width="18.42578125" style="1397" customWidth="1"/>
    <col min="11015" max="11015" width="12.28515625" style="1397" bestFit="1" customWidth="1"/>
    <col min="11016" max="11016" width="9.140625" style="1397"/>
    <col min="11017" max="11017" width="19.140625" style="1397" bestFit="1" customWidth="1"/>
    <col min="11018" max="11018" width="15.7109375" style="1397" bestFit="1" customWidth="1"/>
    <col min="11019" max="11019" width="9.140625" style="1397"/>
    <col min="11020" max="11020" width="14.7109375" style="1397" bestFit="1" customWidth="1"/>
    <col min="11021" max="11264" width="9.140625" style="1397"/>
    <col min="11265" max="11265" width="7.140625" style="1397" customWidth="1"/>
    <col min="11266" max="11266" width="31.5703125" style="1397" customWidth="1"/>
    <col min="11267" max="11267" width="12.5703125" style="1397" customWidth="1"/>
    <col min="11268" max="11268" width="10.42578125" style="1397" customWidth="1"/>
    <col min="11269" max="11269" width="16.140625" style="1397" customWidth="1"/>
    <col min="11270" max="11270" width="18.42578125" style="1397" customWidth="1"/>
    <col min="11271" max="11271" width="12.28515625" style="1397" bestFit="1" customWidth="1"/>
    <col min="11272" max="11272" width="9.140625" style="1397"/>
    <col min="11273" max="11273" width="19.140625" style="1397" bestFit="1" customWidth="1"/>
    <col min="11274" max="11274" width="15.7109375" style="1397" bestFit="1" customWidth="1"/>
    <col min="11275" max="11275" width="9.140625" style="1397"/>
    <col min="11276" max="11276" width="14.7109375" style="1397" bestFit="1" customWidth="1"/>
    <col min="11277" max="11520" width="9.140625" style="1397"/>
    <col min="11521" max="11521" width="7.140625" style="1397" customWidth="1"/>
    <col min="11522" max="11522" width="31.5703125" style="1397" customWidth="1"/>
    <col min="11523" max="11523" width="12.5703125" style="1397" customWidth="1"/>
    <col min="11524" max="11524" width="10.42578125" style="1397" customWidth="1"/>
    <col min="11525" max="11525" width="16.140625" style="1397" customWidth="1"/>
    <col min="11526" max="11526" width="18.42578125" style="1397" customWidth="1"/>
    <col min="11527" max="11527" width="12.28515625" style="1397" bestFit="1" customWidth="1"/>
    <col min="11528" max="11528" width="9.140625" style="1397"/>
    <col min="11529" max="11529" width="19.140625" style="1397" bestFit="1" customWidth="1"/>
    <col min="11530" max="11530" width="15.7109375" style="1397" bestFit="1" customWidth="1"/>
    <col min="11531" max="11531" width="9.140625" style="1397"/>
    <col min="11532" max="11532" width="14.7109375" style="1397" bestFit="1" customWidth="1"/>
    <col min="11533" max="11776" width="9.140625" style="1397"/>
    <col min="11777" max="11777" width="7.140625" style="1397" customWidth="1"/>
    <col min="11778" max="11778" width="31.5703125" style="1397" customWidth="1"/>
    <col min="11779" max="11779" width="12.5703125" style="1397" customWidth="1"/>
    <col min="11780" max="11780" width="10.42578125" style="1397" customWidth="1"/>
    <col min="11781" max="11781" width="16.140625" style="1397" customWidth="1"/>
    <col min="11782" max="11782" width="18.42578125" style="1397" customWidth="1"/>
    <col min="11783" max="11783" width="12.28515625" style="1397" bestFit="1" customWidth="1"/>
    <col min="11784" max="11784" width="9.140625" style="1397"/>
    <col min="11785" max="11785" width="19.140625" style="1397" bestFit="1" customWidth="1"/>
    <col min="11786" max="11786" width="15.7109375" style="1397" bestFit="1" customWidth="1"/>
    <col min="11787" max="11787" width="9.140625" style="1397"/>
    <col min="11788" max="11788" width="14.7109375" style="1397" bestFit="1" customWidth="1"/>
    <col min="11789" max="12032" width="9.140625" style="1397"/>
    <col min="12033" max="12033" width="7.140625" style="1397" customWidth="1"/>
    <col min="12034" max="12034" width="31.5703125" style="1397" customWidth="1"/>
    <col min="12035" max="12035" width="12.5703125" style="1397" customWidth="1"/>
    <col min="12036" max="12036" width="10.42578125" style="1397" customWidth="1"/>
    <col min="12037" max="12037" width="16.140625" style="1397" customWidth="1"/>
    <col min="12038" max="12038" width="18.42578125" style="1397" customWidth="1"/>
    <col min="12039" max="12039" width="12.28515625" style="1397" bestFit="1" customWidth="1"/>
    <col min="12040" max="12040" width="9.140625" style="1397"/>
    <col min="12041" max="12041" width="19.140625" style="1397" bestFit="1" customWidth="1"/>
    <col min="12042" max="12042" width="15.7109375" style="1397" bestFit="1" customWidth="1"/>
    <col min="12043" max="12043" width="9.140625" style="1397"/>
    <col min="12044" max="12044" width="14.7109375" style="1397" bestFit="1" customWidth="1"/>
    <col min="12045" max="12288" width="9.140625" style="1397"/>
    <col min="12289" max="12289" width="7.140625" style="1397" customWidth="1"/>
    <col min="12290" max="12290" width="31.5703125" style="1397" customWidth="1"/>
    <col min="12291" max="12291" width="12.5703125" style="1397" customWidth="1"/>
    <col min="12292" max="12292" width="10.42578125" style="1397" customWidth="1"/>
    <col min="12293" max="12293" width="16.140625" style="1397" customWidth="1"/>
    <col min="12294" max="12294" width="18.42578125" style="1397" customWidth="1"/>
    <col min="12295" max="12295" width="12.28515625" style="1397" bestFit="1" customWidth="1"/>
    <col min="12296" max="12296" width="9.140625" style="1397"/>
    <col min="12297" max="12297" width="19.140625" style="1397" bestFit="1" customWidth="1"/>
    <col min="12298" max="12298" width="15.7109375" style="1397" bestFit="1" customWidth="1"/>
    <col min="12299" max="12299" width="9.140625" style="1397"/>
    <col min="12300" max="12300" width="14.7109375" style="1397" bestFit="1" customWidth="1"/>
    <col min="12301" max="12544" width="9.140625" style="1397"/>
    <col min="12545" max="12545" width="7.140625" style="1397" customWidth="1"/>
    <col min="12546" max="12546" width="31.5703125" style="1397" customWidth="1"/>
    <col min="12547" max="12547" width="12.5703125" style="1397" customWidth="1"/>
    <col min="12548" max="12548" width="10.42578125" style="1397" customWidth="1"/>
    <col min="12549" max="12549" width="16.140625" style="1397" customWidth="1"/>
    <col min="12550" max="12550" width="18.42578125" style="1397" customWidth="1"/>
    <col min="12551" max="12551" width="12.28515625" style="1397" bestFit="1" customWidth="1"/>
    <col min="12552" max="12552" width="9.140625" style="1397"/>
    <col min="12553" max="12553" width="19.140625" style="1397" bestFit="1" customWidth="1"/>
    <col min="12554" max="12554" width="15.7109375" style="1397" bestFit="1" customWidth="1"/>
    <col min="12555" max="12555" width="9.140625" style="1397"/>
    <col min="12556" max="12556" width="14.7109375" style="1397" bestFit="1" customWidth="1"/>
    <col min="12557" max="12800" width="9.140625" style="1397"/>
    <col min="12801" max="12801" width="7.140625" style="1397" customWidth="1"/>
    <col min="12802" max="12802" width="31.5703125" style="1397" customWidth="1"/>
    <col min="12803" max="12803" width="12.5703125" style="1397" customWidth="1"/>
    <col min="12804" max="12804" width="10.42578125" style="1397" customWidth="1"/>
    <col min="12805" max="12805" width="16.140625" style="1397" customWidth="1"/>
    <col min="12806" max="12806" width="18.42578125" style="1397" customWidth="1"/>
    <col min="12807" max="12807" width="12.28515625" style="1397" bestFit="1" customWidth="1"/>
    <col min="12808" max="12808" width="9.140625" style="1397"/>
    <col min="12809" max="12809" width="19.140625" style="1397" bestFit="1" customWidth="1"/>
    <col min="12810" max="12810" width="15.7109375" style="1397" bestFit="1" customWidth="1"/>
    <col min="12811" max="12811" width="9.140625" style="1397"/>
    <col min="12812" max="12812" width="14.7109375" style="1397" bestFit="1" customWidth="1"/>
    <col min="12813" max="13056" width="9.140625" style="1397"/>
    <col min="13057" max="13057" width="7.140625" style="1397" customWidth="1"/>
    <col min="13058" max="13058" width="31.5703125" style="1397" customWidth="1"/>
    <col min="13059" max="13059" width="12.5703125" style="1397" customWidth="1"/>
    <col min="13060" max="13060" width="10.42578125" style="1397" customWidth="1"/>
    <col min="13061" max="13061" width="16.140625" style="1397" customWidth="1"/>
    <col min="13062" max="13062" width="18.42578125" style="1397" customWidth="1"/>
    <col min="13063" max="13063" width="12.28515625" style="1397" bestFit="1" customWidth="1"/>
    <col min="13064" max="13064" width="9.140625" style="1397"/>
    <col min="13065" max="13065" width="19.140625" style="1397" bestFit="1" customWidth="1"/>
    <col min="13066" max="13066" width="15.7109375" style="1397" bestFit="1" customWidth="1"/>
    <col min="13067" max="13067" width="9.140625" style="1397"/>
    <col min="13068" max="13068" width="14.7109375" style="1397" bestFit="1" customWidth="1"/>
    <col min="13069" max="13312" width="9.140625" style="1397"/>
    <col min="13313" max="13313" width="7.140625" style="1397" customWidth="1"/>
    <col min="13314" max="13314" width="31.5703125" style="1397" customWidth="1"/>
    <col min="13315" max="13315" width="12.5703125" style="1397" customWidth="1"/>
    <col min="13316" max="13316" width="10.42578125" style="1397" customWidth="1"/>
    <col min="13317" max="13317" width="16.140625" style="1397" customWidth="1"/>
    <col min="13318" max="13318" width="18.42578125" style="1397" customWidth="1"/>
    <col min="13319" max="13319" width="12.28515625" style="1397" bestFit="1" customWidth="1"/>
    <col min="13320" max="13320" width="9.140625" style="1397"/>
    <col min="13321" max="13321" width="19.140625" style="1397" bestFit="1" customWidth="1"/>
    <col min="13322" max="13322" width="15.7109375" style="1397" bestFit="1" customWidth="1"/>
    <col min="13323" max="13323" width="9.140625" style="1397"/>
    <col min="13324" max="13324" width="14.7109375" style="1397" bestFit="1" customWidth="1"/>
    <col min="13325" max="13568" width="9.140625" style="1397"/>
    <col min="13569" max="13569" width="7.140625" style="1397" customWidth="1"/>
    <col min="13570" max="13570" width="31.5703125" style="1397" customWidth="1"/>
    <col min="13571" max="13571" width="12.5703125" style="1397" customWidth="1"/>
    <col min="13572" max="13572" width="10.42578125" style="1397" customWidth="1"/>
    <col min="13573" max="13573" width="16.140625" style="1397" customWidth="1"/>
    <col min="13574" max="13574" width="18.42578125" style="1397" customWidth="1"/>
    <col min="13575" max="13575" width="12.28515625" style="1397" bestFit="1" customWidth="1"/>
    <col min="13576" max="13576" width="9.140625" style="1397"/>
    <col min="13577" max="13577" width="19.140625" style="1397" bestFit="1" customWidth="1"/>
    <col min="13578" max="13578" width="15.7109375" style="1397" bestFit="1" customWidth="1"/>
    <col min="13579" max="13579" width="9.140625" style="1397"/>
    <col min="13580" max="13580" width="14.7109375" style="1397" bestFit="1" customWidth="1"/>
    <col min="13581" max="13824" width="9.140625" style="1397"/>
    <col min="13825" max="13825" width="7.140625" style="1397" customWidth="1"/>
    <col min="13826" max="13826" width="31.5703125" style="1397" customWidth="1"/>
    <col min="13827" max="13827" width="12.5703125" style="1397" customWidth="1"/>
    <col min="13828" max="13828" width="10.42578125" style="1397" customWidth="1"/>
    <col min="13829" max="13829" width="16.140625" style="1397" customWidth="1"/>
    <col min="13830" max="13830" width="18.42578125" style="1397" customWidth="1"/>
    <col min="13831" max="13831" width="12.28515625" style="1397" bestFit="1" customWidth="1"/>
    <col min="13832" max="13832" width="9.140625" style="1397"/>
    <col min="13833" max="13833" width="19.140625" style="1397" bestFit="1" customWidth="1"/>
    <col min="13834" max="13834" width="15.7109375" style="1397" bestFit="1" customWidth="1"/>
    <col min="13835" max="13835" width="9.140625" style="1397"/>
    <col min="13836" max="13836" width="14.7109375" style="1397" bestFit="1" customWidth="1"/>
    <col min="13837" max="14080" width="9.140625" style="1397"/>
    <col min="14081" max="14081" width="7.140625" style="1397" customWidth="1"/>
    <col min="14082" max="14082" width="31.5703125" style="1397" customWidth="1"/>
    <col min="14083" max="14083" width="12.5703125" style="1397" customWidth="1"/>
    <col min="14084" max="14084" width="10.42578125" style="1397" customWidth="1"/>
    <col min="14085" max="14085" width="16.140625" style="1397" customWidth="1"/>
    <col min="14086" max="14086" width="18.42578125" style="1397" customWidth="1"/>
    <col min="14087" max="14087" width="12.28515625" style="1397" bestFit="1" customWidth="1"/>
    <col min="14088" max="14088" width="9.140625" style="1397"/>
    <col min="14089" max="14089" width="19.140625" style="1397" bestFit="1" customWidth="1"/>
    <col min="14090" max="14090" width="15.7109375" style="1397" bestFit="1" customWidth="1"/>
    <col min="14091" max="14091" width="9.140625" style="1397"/>
    <col min="14092" max="14092" width="14.7109375" style="1397" bestFit="1" customWidth="1"/>
    <col min="14093" max="14336" width="9.140625" style="1397"/>
    <col min="14337" max="14337" width="7.140625" style="1397" customWidth="1"/>
    <col min="14338" max="14338" width="31.5703125" style="1397" customWidth="1"/>
    <col min="14339" max="14339" width="12.5703125" style="1397" customWidth="1"/>
    <col min="14340" max="14340" width="10.42578125" style="1397" customWidth="1"/>
    <col min="14341" max="14341" width="16.140625" style="1397" customWidth="1"/>
    <col min="14342" max="14342" width="18.42578125" style="1397" customWidth="1"/>
    <col min="14343" max="14343" width="12.28515625" style="1397" bestFit="1" customWidth="1"/>
    <col min="14344" max="14344" width="9.140625" style="1397"/>
    <col min="14345" max="14345" width="19.140625" style="1397" bestFit="1" customWidth="1"/>
    <col min="14346" max="14346" width="15.7109375" style="1397" bestFit="1" customWidth="1"/>
    <col min="14347" max="14347" width="9.140625" style="1397"/>
    <col min="14348" max="14348" width="14.7109375" style="1397" bestFit="1" customWidth="1"/>
    <col min="14349" max="14592" width="9.140625" style="1397"/>
    <col min="14593" max="14593" width="7.140625" style="1397" customWidth="1"/>
    <col min="14594" max="14594" width="31.5703125" style="1397" customWidth="1"/>
    <col min="14595" max="14595" width="12.5703125" style="1397" customWidth="1"/>
    <col min="14596" max="14596" width="10.42578125" style="1397" customWidth="1"/>
    <col min="14597" max="14597" width="16.140625" style="1397" customWidth="1"/>
    <col min="14598" max="14598" width="18.42578125" style="1397" customWidth="1"/>
    <col min="14599" max="14599" width="12.28515625" style="1397" bestFit="1" customWidth="1"/>
    <col min="14600" max="14600" width="9.140625" style="1397"/>
    <col min="14601" max="14601" width="19.140625" style="1397" bestFit="1" customWidth="1"/>
    <col min="14602" max="14602" width="15.7109375" style="1397" bestFit="1" customWidth="1"/>
    <col min="14603" max="14603" width="9.140625" style="1397"/>
    <col min="14604" max="14604" width="14.7109375" style="1397" bestFit="1" customWidth="1"/>
    <col min="14605" max="14848" width="9.140625" style="1397"/>
    <col min="14849" max="14849" width="7.140625" style="1397" customWidth="1"/>
    <col min="14850" max="14850" width="31.5703125" style="1397" customWidth="1"/>
    <col min="14851" max="14851" width="12.5703125" style="1397" customWidth="1"/>
    <col min="14852" max="14852" width="10.42578125" style="1397" customWidth="1"/>
    <col min="14853" max="14853" width="16.140625" style="1397" customWidth="1"/>
    <col min="14854" max="14854" width="18.42578125" style="1397" customWidth="1"/>
    <col min="14855" max="14855" width="12.28515625" style="1397" bestFit="1" customWidth="1"/>
    <col min="14856" max="14856" width="9.140625" style="1397"/>
    <col min="14857" max="14857" width="19.140625" style="1397" bestFit="1" customWidth="1"/>
    <col min="14858" max="14858" width="15.7109375" style="1397" bestFit="1" customWidth="1"/>
    <col min="14859" max="14859" width="9.140625" style="1397"/>
    <col min="14860" max="14860" width="14.7109375" style="1397" bestFit="1" customWidth="1"/>
    <col min="14861" max="15104" width="9.140625" style="1397"/>
    <col min="15105" max="15105" width="7.140625" style="1397" customWidth="1"/>
    <col min="15106" max="15106" width="31.5703125" style="1397" customWidth="1"/>
    <col min="15107" max="15107" width="12.5703125" style="1397" customWidth="1"/>
    <col min="15108" max="15108" width="10.42578125" style="1397" customWidth="1"/>
    <col min="15109" max="15109" width="16.140625" style="1397" customWidth="1"/>
    <col min="15110" max="15110" width="18.42578125" style="1397" customWidth="1"/>
    <col min="15111" max="15111" width="12.28515625" style="1397" bestFit="1" customWidth="1"/>
    <col min="15112" max="15112" width="9.140625" style="1397"/>
    <col min="15113" max="15113" width="19.140625" style="1397" bestFit="1" customWidth="1"/>
    <col min="15114" max="15114" width="15.7109375" style="1397" bestFit="1" customWidth="1"/>
    <col min="15115" max="15115" width="9.140625" style="1397"/>
    <col min="15116" max="15116" width="14.7109375" style="1397" bestFit="1" customWidth="1"/>
    <col min="15117" max="15360" width="9.140625" style="1397"/>
    <col min="15361" max="15361" width="7.140625" style="1397" customWidth="1"/>
    <col min="15362" max="15362" width="31.5703125" style="1397" customWidth="1"/>
    <col min="15363" max="15363" width="12.5703125" style="1397" customWidth="1"/>
    <col min="15364" max="15364" width="10.42578125" style="1397" customWidth="1"/>
    <col min="15365" max="15365" width="16.140625" style="1397" customWidth="1"/>
    <col min="15366" max="15366" width="18.42578125" style="1397" customWidth="1"/>
    <col min="15367" max="15367" width="12.28515625" style="1397" bestFit="1" customWidth="1"/>
    <col min="15368" max="15368" width="9.140625" style="1397"/>
    <col min="15369" max="15369" width="19.140625" style="1397" bestFit="1" customWidth="1"/>
    <col min="15370" max="15370" width="15.7109375" style="1397" bestFit="1" customWidth="1"/>
    <col min="15371" max="15371" width="9.140625" style="1397"/>
    <col min="15372" max="15372" width="14.7109375" style="1397" bestFit="1" customWidth="1"/>
    <col min="15373" max="15616" width="9.140625" style="1397"/>
    <col min="15617" max="15617" width="7.140625" style="1397" customWidth="1"/>
    <col min="15618" max="15618" width="31.5703125" style="1397" customWidth="1"/>
    <col min="15619" max="15619" width="12.5703125" style="1397" customWidth="1"/>
    <col min="15620" max="15620" width="10.42578125" style="1397" customWidth="1"/>
    <col min="15621" max="15621" width="16.140625" style="1397" customWidth="1"/>
    <col min="15622" max="15622" width="18.42578125" style="1397" customWidth="1"/>
    <col min="15623" max="15623" width="12.28515625" style="1397" bestFit="1" customWidth="1"/>
    <col min="15624" max="15624" width="9.140625" style="1397"/>
    <col min="15625" max="15625" width="19.140625" style="1397" bestFit="1" customWidth="1"/>
    <col min="15626" max="15626" width="15.7109375" style="1397" bestFit="1" customWidth="1"/>
    <col min="15627" max="15627" width="9.140625" style="1397"/>
    <col min="15628" max="15628" width="14.7109375" style="1397" bestFit="1" customWidth="1"/>
    <col min="15629" max="15872" width="9.140625" style="1397"/>
    <col min="15873" max="15873" width="7.140625" style="1397" customWidth="1"/>
    <col min="15874" max="15874" width="31.5703125" style="1397" customWidth="1"/>
    <col min="15875" max="15875" width="12.5703125" style="1397" customWidth="1"/>
    <col min="15876" max="15876" width="10.42578125" style="1397" customWidth="1"/>
    <col min="15877" max="15877" width="16.140625" style="1397" customWidth="1"/>
    <col min="15878" max="15878" width="18.42578125" style="1397" customWidth="1"/>
    <col min="15879" max="15879" width="12.28515625" style="1397" bestFit="1" customWidth="1"/>
    <col min="15880" max="15880" width="9.140625" style="1397"/>
    <col min="15881" max="15881" width="19.140625" style="1397" bestFit="1" customWidth="1"/>
    <col min="15882" max="15882" width="15.7109375" style="1397" bestFit="1" customWidth="1"/>
    <col min="15883" max="15883" width="9.140625" style="1397"/>
    <col min="15884" max="15884" width="14.7109375" style="1397" bestFit="1" customWidth="1"/>
    <col min="15885" max="16128" width="9.140625" style="1397"/>
    <col min="16129" max="16129" width="7.140625" style="1397" customWidth="1"/>
    <col min="16130" max="16130" width="31.5703125" style="1397" customWidth="1"/>
    <col min="16131" max="16131" width="12.5703125" style="1397" customWidth="1"/>
    <col min="16132" max="16132" width="10.42578125" style="1397" customWidth="1"/>
    <col min="16133" max="16133" width="16.140625" style="1397" customWidth="1"/>
    <col min="16134" max="16134" width="18.42578125" style="1397" customWidth="1"/>
    <col min="16135" max="16135" width="12.28515625" style="1397" bestFit="1" customWidth="1"/>
    <col min="16136" max="16136" width="9.140625" style="1397"/>
    <col min="16137" max="16137" width="19.140625" style="1397" bestFit="1" customWidth="1"/>
    <col min="16138" max="16138" width="15.7109375" style="1397" bestFit="1" customWidth="1"/>
    <col min="16139" max="16139" width="9.140625" style="1397"/>
    <col min="16140" max="16140" width="14.7109375" style="1397" bestFit="1" customWidth="1"/>
    <col min="16141" max="16384" width="9.140625" style="1397"/>
  </cols>
  <sheetData>
    <row r="1" spans="1:12">
      <c r="C1" s="1397" t="s">
        <v>2530</v>
      </c>
      <c r="G1" s="1748" t="s">
        <v>1020</v>
      </c>
    </row>
    <row r="4" spans="1:12" ht="14.25" customHeight="1">
      <c r="A4" s="1749"/>
    </row>
    <row r="5" spans="1:12" ht="17.100000000000001" customHeight="1">
      <c r="A5" s="1406" t="s">
        <v>97</v>
      </c>
      <c r="B5" s="1406" t="s">
        <v>2487</v>
      </c>
      <c r="C5" s="1406" t="s">
        <v>235</v>
      </c>
      <c r="D5" s="1420" t="s">
        <v>1055</v>
      </c>
      <c r="E5" s="1406" t="s">
        <v>3</v>
      </c>
      <c r="F5" s="1405" t="s">
        <v>4</v>
      </c>
      <c r="G5" s="1413"/>
      <c r="J5" s="1398"/>
    </row>
    <row r="6" spans="1:12" ht="17.100000000000001" customHeight="1">
      <c r="A6" s="1406" t="s">
        <v>109</v>
      </c>
      <c r="B6" s="2500" t="s">
        <v>2486</v>
      </c>
      <c r="C6" s="2501"/>
      <c r="D6" s="2501"/>
      <c r="E6" s="2502"/>
      <c r="F6" s="1405">
        <f>SUM(F7:F19)</f>
        <v>255900000</v>
      </c>
      <c r="G6" s="1413"/>
      <c r="J6" s="1398"/>
    </row>
    <row r="7" spans="1:12" ht="17.100000000000001" customHeight="1">
      <c r="A7" s="1411">
        <v>1</v>
      </c>
      <c r="B7" s="1416" t="s">
        <v>2529</v>
      </c>
      <c r="C7" s="1411" t="s">
        <v>248</v>
      </c>
      <c r="D7" s="1415">
        <v>50</v>
      </c>
      <c r="E7" s="1414">
        <v>300000</v>
      </c>
      <c r="F7" s="1419">
        <f t="shared" ref="F7:F19" si="0">D7*E7</f>
        <v>15000000</v>
      </c>
      <c r="G7" s="1413"/>
      <c r="H7" s="1415">
        <v>50</v>
      </c>
      <c r="J7" s="1398"/>
    </row>
    <row r="8" spans="1:12" ht="17.100000000000001" customHeight="1">
      <c r="A8" s="1411">
        <v>2</v>
      </c>
      <c r="B8" s="1416" t="s">
        <v>2528</v>
      </c>
      <c r="C8" s="1411" t="s">
        <v>418</v>
      </c>
      <c r="D8" s="1415">
        <v>50</v>
      </c>
      <c r="E8" s="1414">
        <v>800000</v>
      </c>
      <c r="F8" s="1419">
        <f t="shared" si="0"/>
        <v>40000000</v>
      </c>
      <c r="G8" s="1413"/>
      <c r="H8" s="1415">
        <v>50</v>
      </c>
      <c r="J8" s="1398"/>
    </row>
    <row r="9" spans="1:12" ht="17.100000000000001" customHeight="1">
      <c r="A9" s="1411">
        <v>3</v>
      </c>
      <c r="B9" s="1418" t="s">
        <v>2527</v>
      </c>
      <c r="C9" s="1411" t="s">
        <v>418</v>
      </c>
      <c r="D9" s="1415">
        <v>80</v>
      </c>
      <c r="E9" s="1414">
        <v>1500000</v>
      </c>
      <c r="F9" s="1419">
        <f t="shared" si="0"/>
        <v>120000000</v>
      </c>
      <c r="G9" s="1413"/>
      <c r="H9" s="1415">
        <v>80</v>
      </c>
      <c r="J9" s="1398"/>
    </row>
    <row r="10" spans="1:12" ht="17.100000000000001" customHeight="1">
      <c r="A10" s="1411">
        <v>4</v>
      </c>
      <c r="B10" s="1418" t="s">
        <v>2526</v>
      </c>
      <c r="C10" s="1411" t="s">
        <v>418</v>
      </c>
      <c r="D10" s="1415">
        <v>30</v>
      </c>
      <c r="E10" s="1414">
        <v>1000000</v>
      </c>
      <c r="F10" s="1419">
        <f t="shared" si="0"/>
        <v>30000000</v>
      </c>
      <c r="G10" s="1413"/>
      <c r="H10" s="1415">
        <v>30</v>
      </c>
      <c r="J10" s="1750"/>
    </row>
    <row r="11" spans="1:12" ht="17.100000000000001" customHeight="1">
      <c r="A11" s="1411">
        <v>5</v>
      </c>
      <c r="B11" s="1418" t="s">
        <v>2525</v>
      </c>
      <c r="C11" s="1411" t="s">
        <v>418</v>
      </c>
      <c r="D11" s="1415">
        <v>20</v>
      </c>
      <c r="E11" s="1414">
        <v>1200000</v>
      </c>
      <c r="F11" s="1419">
        <f t="shared" si="0"/>
        <v>24000000</v>
      </c>
      <c r="G11" s="1413"/>
      <c r="H11" s="1415">
        <v>20</v>
      </c>
      <c r="I11" s="1397" t="s">
        <v>2480</v>
      </c>
      <c r="J11" s="1398">
        <f>F27-(F22+F24+F23)</f>
        <v>290616000</v>
      </c>
    </row>
    <row r="12" spans="1:12" ht="17.100000000000001" customHeight="1">
      <c r="A12" s="1411">
        <v>6</v>
      </c>
      <c r="B12" s="1418" t="s">
        <v>2524</v>
      </c>
      <c r="C12" s="1411" t="s">
        <v>418</v>
      </c>
      <c r="D12" s="1415">
        <v>20</v>
      </c>
      <c r="E12" s="1414">
        <v>600000</v>
      </c>
      <c r="F12" s="1419">
        <f t="shared" si="0"/>
        <v>12000000</v>
      </c>
      <c r="G12" s="1413"/>
      <c r="H12" s="1415">
        <v>20</v>
      </c>
      <c r="I12" s="1397" t="s">
        <v>2021</v>
      </c>
      <c r="J12" s="1398">
        <f>J11-J13</f>
        <v>90616000</v>
      </c>
      <c r="K12" s="1751">
        <f>J12/J11</f>
        <v>0.31180664519503398</v>
      </c>
    </row>
    <row r="13" spans="1:12" ht="17.100000000000001" customHeight="1">
      <c r="A13" s="1411">
        <v>7</v>
      </c>
      <c r="B13" s="1416" t="s">
        <v>2523</v>
      </c>
      <c r="C13" s="1411" t="s">
        <v>2460</v>
      </c>
      <c r="D13" s="1415">
        <v>20</v>
      </c>
      <c r="E13" s="1414">
        <v>15000</v>
      </c>
      <c r="F13" s="1419">
        <f t="shared" si="0"/>
        <v>300000</v>
      </c>
      <c r="G13" s="1413"/>
      <c r="H13" s="1415">
        <v>20</v>
      </c>
      <c r="I13" s="1397" t="s">
        <v>2477</v>
      </c>
      <c r="J13" s="1750">
        <v>200000000</v>
      </c>
    </row>
    <row r="14" spans="1:12" ht="17.100000000000001" customHeight="1">
      <c r="A14" s="1411">
        <v>8</v>
      </c>
      <c r="B14" s="1416" t="s">
        <v>2522</v>
      </c>
      <c r="C14" s="1411" t="s">
        <v>2300</v>
      </c>
      <c r="D14" s="1415">
        <v>60</v>
      </c>
      <c r="E14" s="1414">
        <v>10000</v>
      </c>
      <c r="F14" s="1419">
        <f t="shared" si="0"/>
        <v>600000</v>
      </c>
      <c r="G14" s="1413"/>
      <c r="H14" s="1415">
        <v>60</v>
      </c>
    </row>
    <row r="15" spans="1:12" ht="17.100000000000001" customHeight="1">
      <c r="A15" s="1411">
        <v>9</v>
      </c>
      <c r="B15" s="1416" t="s">
        <v>2521</v>
      </c>
      <c r="C15" s="1411" t="s">
        <v>2460</v>
      </c>
      <c r="D15" s="1415">
        <v>60</v>
      </c>
      <c r="E15" s="1414">
        <v>70000</v>
      </c>
      <c r="F15" s="1419">
        <f t="shared" si="0"/>
        <v>4200000</v>
      </c>
      <c r="G15" s="1413"/>
      <c r="H15" s="1415">
        <v>60</v>
      </c>
      <c r="J15" s="1398"/>
    </row>
    <row r="16" spans="1:12" ht="17.100000000000001" customHeight="1">
      <c r="A16" s="1411">
        <v>10</v>
      </c>
      <c r="B16" s="1418" t="s">
        <v>2520</v>
      </c>
      <c r="C16" s="1411" t="s">
        <v>2460</v>
      </c>
      <c r="D16" s="1415">
        <v>60</v>
      </c>
      <c r="E16" s="1417">
        <v>40000</v>
      </c>
      <c r="F16" s="1407">
        <f t="shared" si="0"/>
        <v>2400000</v>
      </c>
      <c r="G16" s="1413"/>
      <c r="H16" s="1415">
        <v>60</v>
      </c>
      <c r="I16" s="1752"/>
      <c r="J16" s="1398"/>
      <c r="L16" s="1401"/>
    </row>
    <row r="17" spans="1:12" ht="17.100000000000001" customHeight="1">
      <c r="A17" s="1411">
        <v>11</v>
      </c>
      <c r="B17" s="1416" t="s">
        <v>2519</v>
      </c>
      <c r="C17" s="1411" t="s">
        <v>248</v>
      </c>
      <c r="D17" s="1415">
        <v>30</v>
      </c>
      <c r="E17" s="1414">
        <v>30000</v>
      </c>
      <c r="F17" s="1407">
        <f t="shared" si="0"/>
        <v>900000</v>
      </c>
      <c r="G17" s="1413"/>
      <c r="H17" s="1415">
        <v>30</v>
      </c>
      <c r="I17" s="1401"/>
      <c r="J17" s="1398"/>
      <c r="L17" s="1401"/>
    </row>
    <row r="18" spans="1:12" ht="17.100000000000001" customHeight="1">
      <c r="A18" s="1411">
        <v>12</v>
      </c>
      <c r="B18" s="1416" t="s">
        <v>2518</v>
      </c>
      <c r="C18" s="1411" t="s">
        <v>2460</v>
      </c>
      <c r="D18" s="1415">
        <v>50</v>
      </c>
      <c r="E18" s="1414">
        <v>80000</v>
      </c>
      <c r="F18" s="1407">
        <f t="shared" si="0"/>
        <v>4000000</v>
      </c>
      <c r="G18" s="1413"/>
      <c r="H18" s="1415">
        <v>50</v>
      </c>
      <c r="J18" s="1398"/>
    </row>
    <row r="19" spans="1:12" ht="17.100000000000001" customHeight="1">
      <c r="A19" s="1411">
        <v>13</v>
      </c>
      <c r="B19" s="1416" t="s">
        <v>2517</v>
      </c>
      <c r="C19" s="1411" t="s">
        <v>2460</v>
      </c>
      <c r="D19" s="1415">
        <v>50</v>
      </c>
      <c r="E19" s="1414">
        <v>50000</v>
      </c>
      <c r="F19" s="1407">
        <f t="shared" si="0"/>
        <v>2500000</v>
      </c>
      <c r="G19" s="1413"/>
      <c r="H19" s="1415">
        <v>50</v>
      </c>
      <c r="I19" s="1401"/>
      <c r="J19" s="1398"/>
    </row>
    <row r="20" spans="1:12" ht="17.100000000000001" customHeight="1">
      <c r="A20" s="1406" t="s">
        <v>116</v>
      </c>
      <c r="B20" s="2503" t="s">
        <v>2458</v>
      </c>
      <c r="C20" s="2504"/>
      <c r="D20" s="2504"/>
      <c r="E20" s="2505"/>
      <c r="F20" s="1405">
        <f>SUM(F21:F26)</f>
        <v>61716000</v>
      </c>
      <c r="G20" s="1413"/>
      <c r="I20" s="1753"/>
      <c r="J20" s="1754"/>
      <c r="K20" s="1401"/>
    </row>
    <row r="21" spans="1:12" ht="17.100000000000001" customHeight="1">
      <c r="A21" s="1411">
        <v>1</v>
      </c>
      <c r="B21" s="1410" t="s">
        <v>2457</v>
      </c>
      <c r="C21" s="1407" t="s">
        <v>2456</v>
      </c>
      <c r="D21" s="1409">
        <v>1</v>
      </c>
      <c r="E21" s="1408">
        <v>24000000</v>
      </c>
      <c r="F21" s="1407">
        <f t="shared" ref="F21:F26" si="1">D21*E21</f>
        <v>24000000</v>
      </c>
      <c r="G21" s="1413"/>
      <c r="I21" s="1755" t="s">
        <v>2464</v>
      </c>
      <c r="J21" s="1756">
        <v>130</v>
      </c>
      <c r="K21" s="1397" t="s">
        <v>90</v>
      </c>
    </row>
    <row r="22" spans="1:12" ht="17.100000000000001" customHeight="1">
      <c r="A22" s="1411">
        <v>2</v>
      </c>
      <c r="B22" s="1410" t="s">
        <v>2455</v>
      </c>
      <c r="C22" s="1407" t="s">
        <v>45</v>
      </c>
      <c r="D22" s="1452">
        <v>0.105</v>
      </c>
      <c r="E22" s="1408">
        <f>J13</f>
        <v>200000000</v>
      </c>
      <c r="F22" s="1407">
        <f t="shared" si="1"/>
        <v>21000000</v>
      </c>
      <c r="G22" s="1413"/>
      <c r="I22" s="1755" t="s">
        <v>2516</v>
      </c>
      <c r="J22" s="1398">
        <f>F6*J21/100</f>
        <v>332670000</v>
      </c>
      <c r="K22" s="1397" t="s">
        <v>1270</v>
      </c>
    </row>
    <row r="23" spans="1:12" ht="17.100000000000001" customHeight="1">
      <c r="A23" s="1411">
        <v>3</v>
      </c>
      <c r="B23" s="1410" t="s">
        <v>2452</v>
      </c>
      <c r="C23" s="1407" t="s">
        <v>45</v>
      </c>
      <c r="D23" s="1409">
        <v>1</v>
      </c>
      <c r="E23" s="1408">
        <v>2400000</v>
      </c>
      <c r="F23" s="1407">
        <f t="shared" si="1"/>
        <v>2400000</v>
      </c>
      <c r="G23" s="1413"/>
      <c r="I23" s="1755" t="s">
        <v>767</v>
      </c>
      <c r="J23" s="1398">
        <f>F27</f>
        <v>317616000</v>
      </c>
    </row>
    <row r="24" spans="1:12" ht="17.100000000000001" customHeight="1">
      <c r="A24" s="1411">
        <v>4</v>
      </c>
      <c r="B24" s="1410" t="s">
        <v>2515</v>
      </c>
      <c r="C24" s="1407" t="s">
        <v>45</v>
      </c>
      <c r="D24" s="1409">
        <v>1</v>
      </c>
      <c r="E24" s="1408">
        <v>3600000</v>
      </c>
      <c r="F24" s="1407">
        <f t="shared" si="1"/>
        <v>3600000</v>
      </c>
      <c r="I24" s="1757" t="s">
        <v>1988</v>
      </c>
      <c r="J24" s="1758">
        <f>J22-J23</f>
        <v>15054000</v>
      </c>
      <c r="K24" s="1397" t="s">
        <v>1270</v>
      </c>
    </row>
    <row r="25" spans="1:12" ht="17.100000000000001" customHeight="1">
      <c r="A25" s="1411">
        <v>5</v>
      </c>
      <c r="B25" s="1410" t="s">
        <v>2514</v>
      </c>
      <c r="C25" s="1407" t="s">
        <v>45</v>
      </c>
      <c r="D25" s="1409">
        <v>1</v>
      </c>
      <c r="E25" s="1408">
        <v>8316000</v>
      </c>
      <c r="F25" s="1407">
        <f t="shared" si="1"/>
        <v>8316000</v>
      </c>
      <c r="I25" s="1398"/>
      <c r="J25" s="1752">
        <f>J24/12</f>
        <v>1254500</v>
      </c>
      <c r="K25" s="1759">
        <f>J24/J12%</f>
        <v>16.61296018363203</v>
      </c>
    </row>
    <row r="26" spans="1:12" ht="17.100000000000001" customHeight="1">
      <c r="A26" s="1411">
        <v>6</v>
      </c>
      <c r="B26" s="1410" t="s">
        <v>2449</v>
      </c>
      <c r="C26" s="1407" t="s">
        <v>45</v>
      </c>
      <c r="D26" s="1409">
        <v>1</v>
      </c>
      <c r="E26" s="1408">
        <v>2400000</v>
      </c>
      <c r="F26" s="1407">
        <f t="shared" si="1"/>
        <v>2400000</v>
      </c>
      <c r="I26" s="1398"/>
      <c r="K26" s="1760" t="s">
        <v>869</v>
      </c>
    </row>
    <row r="27" spans="1:12" ht="17.100000000000001" customHeight="1">
      <c r="A27" s="1406" t="s">
        <v>135</v>
      </c>
      <c r="B27" s="2503" t="s">
        <v>2494</v>
      </c>
      <c r="C27" s="2504"/>
      <c r="D27" s="2504"/>
      <c r="E27" s="2505"/>
      <c r="F27" s="1405">
        <f>F20+F6</f>
        <v>317616000</v>
      </c>
      <c r="I27" s="1398"/>
    </row>
    <row r="28" spans="1:12" ht="17.100000000000001" customHeight="1">
      <c r="A28" s="2506" t="s">
        <v>2513</v>
      </c>
      <c r="B28" s="2506"/>
      <c r="C28" s="2506"/>
      <c r="D28" s="2506"/>
      <c r="E28" s="2506"/>
      <c r="F28" s="2506"/>
      <c r="I28" s="1398"/>
    </row>
    <row r="29" spans="1:12" ht="35.25" customHeight="1">
      <c r="A29" s="2507" t="str">
        <f>CONCATENATE("= ",TEXT(F27,"#,###,###,###")," đồng - (",TEXT(F22,"#,###,###,###")," đồng +  ",TEXT(F23,"#,###,###,###")," đồng + ",TEXT(F24,"#,###,###,###")," đồng) = ",TEXT(J11,"#,###,###,###")," đồng")</f>
        <v>= 317,616,000 đồng - (21,000,000 đồng +  2,400,000 đồng + 3,600,000 đồng) = 290,616,000 đồng</v>
      </c>
      <c r="B29" s="2507"/>
      <c r="C29" s="2507"/>
      <c r="D29" s="2507"/>
      <c r="E29" s="2507"/>
      <c r="F29" s="2507"/>
      <c r="I29" s="1761">
        <v>44085</v>
      </c>
    </row>
    <row r="30" spans="1:12">
      <c r="A30" s="1404" t="s">
        <v>2447</v>
      </c>
      <c r="D30" s="1398"/>
      <c r="I30" s="1761">
        <v>44450</v>
      </c>
    </row>
    <row r="31" spans="1:12" ht="45" customHeight="1">
      <c r="A31" s="2508" t="str">
        <f>CONCATENATE("Doanh thu từ Kinh doanh gia công cơ khí được xác định theo tỷ lệ của giá vốn Nguyên vật liệu đầu vào trên cơ sở tính toán của năm thực hiện ước đạt của năm kế  hoạch giá trị gia tăng thành phẩm đầu ra  ",J21," % giá vốn :")</f>
        <v>Doanh thu từ Kinh doanh gia công cơ khí được xác định theo tỷ lệ của giá vốn Nguyên vật liệu đầu vào trên cơ sở tính toán của năm thực hiện ước đạt của năm kế  hoạch giá trị gia tăng thành phẩm đầu ra  130 % giá vốn :</v>
      </c>
      <c r="B31" s="2508"/>
      <c r="C31" s="2508"/>
      <c r="D31" s="2508"/>
      <c r="E31" s="2508"/>
      <c r="F31" s="2508"/>
      <c r="I31" s="1761">
        <v>44363</v>
      </c>
    </row>
    <row r="32" spans="1:12" ht="17.100000000000001" customHeight="1">
      <c r="A32" s="2509" t="str">
        <f>CONCATENATE("Doanh thu = Giá vốn x ",J21," %: ")</f>
        <v xml:space="preserve">Doanh thu = Giá vốn x 130 %: </v>
      </c>
      <c r="B32" s="2509"/>
      <c r="C32" s="2509"/>
      <c r="D32" s="2509"/>
      <c r="E32" s="2509"/>
      <c r="F32" s="2509"/>
      <c r="I32" s="1401">
        <f>I30-I31</f>
        <v>87</v>
      </c>
      <c r="J32" s="1397">
        <f>I30-I29</f>
        <v>365</v>
      </c>
    </row>
    <row r="33" spans="1:10" ht="17.100000000000001" customHeight="1">
      <c r="A33" s="2510" t="str">
        <f>CONCATENATE(TEXT(F6,"#,###,###,###")," đồng x  ",J21," % = ",TEXT(J22,"#,###,###,###")," đồng" )</f>
        <v>255,900,000 đồng x  130 % = 332,670,000 đồng</v>
      </c>
      <c r="B33" s="2510"/>
      <c r="C33" s="2510"/>
      <c r="D33" s="2510"/>
      <c r="E33" s="2510"/>
      <c r="F33" s="2510"/>
      <c r="J33" s="1401"/>
    </row>
    <row r="34" spans="1:10" ht="17.100000000000001" customHeight="1">
      <c r="A34" s="2497" t="s">
        <v>2446</v>
      </c>
      <c r="B34" s="2497"/>
      <c r="C34" s="2497"/>
      <c r="D34" s="2497"/>
      <c r="E34" s="2497"/>
      <c r="F34" s="2497"/>
      <c r="G34" s="1402"/>
      <c r="J34" s="1401"/>
    </row>
    <row r="35" spans="1:10" ht="17.100000000000001" customHeight="1">
      <c r="A35" s="2497" t="s">
        <v>2445</v>
      </c>
      <c r="B35" s="2497"/>
      <c r="C35" s="2497"/>
      <c r="D35" s="2497"/>
      <c r="E35" s="2497"/>
      <c r="F35" s="2497"/>
      <c r="G35" s="1402"/>
      <c r="J35" s="1401"/>
    </row>
    <row r="36" spans="1:10" ht="17.100000000000001" customHeight="1">
      <c r="A36" s="2498" t="str">
        <f>CONCATENATE(TEXT(J22,"#,###,###,###")," đồng - ",TEXT(F27,"#,###,###,###")," đồng = ",TEXT(J24,"#,###,###,###")," đồng")</f>
        <v>332,670,000 đồng - 317,616,000 đồng = 15,054,000 đồng</v>
      </c>
      <c r="B36" s="2498"/>
      <c r="C36" s="2498"/>
      <c r="D36" s="2498"/>
      <c r="E36" s="2498"/>
      <c r="F36" s="2498"/>
      <c r="G36" s="1402"/>
      <c r="J36" s="1401"/>
    </row>
    <row r="37" spans="1:10" ht="17.100000000000001" customHeight="1">
      <c r="A37" s="2499" t="s">
        <v>2444</v>
      </c>
      <c r="B37" s="2499"/>
      <c r="C37" s="2499"/>
      <c r="D37" s="2499"/>
      <c r="E37" s="2499"/>
      <c r="F37" s="2499"/>
      <c r="G37" s="1402"/>
      <c r="J37" s="1401"/>
    </row>
    <row r="38" spans="1:10" ht="17.100000000000001" customHeight="1">
      <c r="A38" s="1399"/>
      <c r="D38" s="1398"/>
      <c r="G38" s="1402"/>
      <c r="J38" s="1401"/>
    </row>
    <row r="39" spans="1:10" ht="17.100000000000001" customHeight="1">
      <c r="A39" s="1399"/>
      <c r="D39" s="1398"/>
      <c r="G39" s="1402"/>
      <c r="J39" s="1401"/>
    </row>
    <row r="40" spans="1:10" ht="17.100000000000001" customHeight="1">
      <c r="A40" s="1399"/>
      <c r="D40" s="1398"/>
      <c r="G40" s="1402"/>
      <c r="J40" s="1401"/>
    </row>
    <row r="41" spans="1:10" ht="17.100000000000001" customHeight="1">
      <c r="A41" s="1399"/>
      <c r="D41" s="1398"/>
      <c r="G41" s="1402"/>
      <c r="J41" s="1401"/>
    </row>
    <row r="42" spans="1:10" ht="17.100000000000001" customHeight="1">
      <c r="A42" s="1399"/>
      <c r="D42" s="1398"/>
      <c r="G42" s="1402"/>
      <c r="J42" s="1401"/>
    </row>
    <row r="43" spans="1:10" ht="17.100000000000001" customHeight="1">
      <c r="A43" s="1399"/>
      <c r="D43" s="1398"/>
      <c r="G43" s="1402"/>
      <c r="J43" s="1401"/>
    </row>
    <row r="44" spans="1:10" ht="17.100000000000001" customHeight="1">
      <c r="A44" s="1399"/>
      <c r="D44" s="1398"/>
      <c r="G44" s="1402"/>
      <c r="J44" s="1401"/>
    </row>
    <row r="45" spans="1:10" ht="17.100000000000001" customHeight="1">
      <c r="A45" s="1399"/>
      <c r="D45" s="1398"/>
      <c r="G45" s="1402"/>
      <c r="J45" s="1401"/>
    </row>
    <row r="46" spans="1:10" ht="17.100000000000001" customHeight="1">
      <c r="A46" s="1399"/>
      <c r="D46" s="1398"/>
      <c r="G46" s="1402"/>
      <c r="J46" s="1401"/>
    </row>
    <row r="47" spans="1:10" ht="17.100000000000001" customHeight="1">
      <c r="A47" s="1399"/>
      <c r="D47" s="1398"/>
      <c r="G47" s="1402"/>
      <c r="J47" s="1401"/>
    </row>
    <row r="48" spans="1:10" ht="17.100000000000001" customHeight="1">
      <c r="A48" s="1399"/>
      <c r="D48" s="1398"/>
      <c r="G48" s="1402"/>
      <c r="J48" s="1401"/>
    </row>
    <row r="49" spans="1:10" ht="17.100000000000001" customHeight="1">
      <c r="A49" s="1399"/>
      <c r="D49" s="1398"/>
      <c r="G49" s="1402"/>
      <c r="J49" s="1401"/>
    </row>
    <row r="50" spans="1:10" ht="17.100000000000001" customHeight="1">
      <c r="A50" s="1399"/>
      <c r="D50" s="1398"/>
      <c r="G50" s="1402"/>
      <c r="J50" s="1401"/>
    </row>
    <row r="51" spans="1:10" ht="17.100000000000001" customHeight="1">
      <c r="A51" s="1399"/>
      <c r="D51" s="1398"/>
    </row>
    <row r="52" spans="1:10" ht="17.100000000000001" customHeight="1">
      <c r="A52" s="1399"/>
      <c r="D52" s="1398"/>
    </row>
    <row r="53" spans="1:10" ht="17.100000000000001" customHeight="1">
      <c r="A53" s="1399"/>
      <c r="D53" s="1398"/>
    </row>
    <row r="54" spans="1:10" ht="17.100000000000001" customHeight="1">
      <c r="A54" s="1399"/>
      <c r="D54" s="1398"/>
    </row>
    <row r="55" spans="1:10" ht="17.100000000000001" customHeight="1"/>
    <row r="56" spans="1:10" ht="17.100000000000001" customHeight="1">
      <c r="G56" s="1400"/>
    </row>
  </sheetData>
  <mergeCells count="12">
    <mergeCell ref="A35:F35"/>
    <mergeCell ref="A36:F36"/>
    <mergeCell ref="A37:F37"/>
    <mergeCell ref="B6:E6"/>
    <mergeCell ref="B20:E20"/>
    <mergeCell ref="B27:E27"/>
    <mergeCell ref="A28:F28"/>
    <mergeCell ref="A29:F29"/>
    <mergeCell ref="A31:F31"/>
    <mergeCell ref="A32:F32"/>
    <mergeCell ref="A33:F33"/>
    <mergeCell ref="A34:F34"/>
  </mergeCells>
  <printOptions horizontalCentered="1"/>
  <pageMargins left="0.5" right="0.25" top="0.5" bottom="0.75" header="0.5" footer="0.5"/>
  <pageSetup orientation="portrait" useFirstPageNumber="1"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K71"/>
  <sheetViews>
    <sheetView zoomScaleNormal="100" workbookViewId="0">
      <selection activeCell="K25" sqref="K25"/>
    </sheetView>
  </sheetViews>
  <sheetFormatPr defaultRowHeight="16.5"/>
  <cols>
    <col min="1" max="1" width="7.140625" style="1421" customWidth="1"/>
    <col min="2" max="2" width="28.42578125" style="1421" bestFit="1" customWidth="1"/>
    <col min="3" max="3" width="13.5703125" style="1421" customWidth="1"/>
    <col min="4" max="4" width="10.42578125" style="1421" customWidth="1"/>
    <col min="5" max="5" width="16.85546875" style="1421" bestFit="1" customWidth="1"/>
    <col min="6" max="6" width="22.140625" style="1421" customWidth="1"/>
    <col min="7" max="7" width="12.28515625" style="1421" bestFit="1" customWidth="1"/>
    <col min="8" max="8" width="22.42578125" style="1421" bestFit="1" customWidth="1"/>
    <col min="9" max="9" width="20.85546875" style="1421" bestFit="1" customWidth="1"/>
    <col min="10" max="10" width="10.28515625" style="1421" bestFit="1" customWidth="1"/>
    <col min="11" max="11" width="14.7109375" style="1421" bestFit="1" customWidth="1"/>
    <col min="12" max="255" width="9.140625" style="1421"/>
    <col min="256" max="256" width="7.140625" style="1421" customWidth="1"/>
    <col min="257" max="257" width="31.5703125" style="1421" customWidth="1"/>
    <col min="258" max="258" width="12.5703125" style="1421" customWidth="1"/>
    <col min="259" max="259" width="10.42578125" style="1421" customWidth="1"/>
    <col min="260" max="260" width="16.140625" style="1421" customWidth="1"/>
    <col min="261" max="261" width="18.42578125" style="1421" customWidth="1"/>
    <col min="262" max="262" width="12.28515625" style="1421" bestFit="1" customWidth="1"/>
    <col min="263" max="263" width="9.140625" style="1421"/>
    <col min="264" max="264" width="19.140625" style="1421" bestFit="1" customWidth="1"/>
    <col min="265" max="265" width="15.7109375" style="1421" bestFit="1" customWidth="1"/>
    <col min="266" max="266" width="9.140625" style="1421"/>
    <col min="267" max="267" width="14.7109375" style="1421" bestFit="1" customWidth="1"/>
    <col min="268" max="511" width="9.140625" style="1421"/>
    <col min="512" max="512" width="7.140625" style="1421" customWidth="1"/>
    <col min="513" max="513" width="31.5703125" style="1421" customWidth="1"/>
    <col min="514" max="514" width="12.5703125" style="1421" customWidth="1"/>
    <col min="515" max="515" width="10.42578125" style="1421" customWidth="1"/>
    <col min="516" max="516" width="16.140625" style="1421" customWidth="1"/>
    <col min="517" max="517" width="18.42578125" style="1421" customWidth="1"/>
    <col min="518" max="518" width="12.28515625" style="1421" bestFit="1" customWidth="1"/>
    <col min="519" max="519" width="9.140625" style="1421"/>
    <col min="520" max="520" width="19.140625" style="1421" bestFit="1" customWidth="1"/>
    <col min="521" max="521" width="15.7109375" style="1421" bestFit="1" customWidth="1"/>
    <col min="522" max="522" width="9.140625" style="1421"/>
    <col min="523" max="523" width="14.7109375" style="1421" bestFit="1" customWidth="1"/>
    <col min="524" max="767" width="9.140625" style="1421"/>
    <col min="768" max="768" width="7.140625" style="1421" customWidth="1"/>
    <col min="769" max="769" width="31.5703125" style="1421" customWidth="1"/>
    <col min="770" max="770" width="12.5703125" style="1421" customWidth="1"/>
    <col min="771" max="771" width="10.42578125" style="1421" customWidth="1"/>
    <col min="772" max="772" width="16.140625" style="1421" customWidth="1"/>
    <col min="773" max="773" width="18.42578125" style="1421" customWidth="1"/>
    <col min="774" max="774" width="12.28515625" style="1421" bestFit="1" customWidth="1"/>
    <col min="775" max="775" width="9.140625" style="1421"/>
    <col min="776" max="776" width="19.140625" style="1421" bestFit="1" customWidth="1"/>
    <col min="777" max="777" width="15.7109375" style="1421" bestFit="1" customWidth="1"/>
    <col min="778" max="778" width="9.140625" style="1421"/>
    <col min="779" max="779" width="14.7109375" style="1421" bestFit="1" customWidth="1"/>
    <col min="780" max="1023" width="9.140625" style="1421"/>
    <col min="1024" max="1024" width="7.140625" style="1421" customWidth="1"/>
    <col min="1025" max="1025" width="31.5703125" style="1421" customWidth="1"/>
    <col min="1026" max="1026" width="12.5703125" style="1421" customWidth="1"/>
    <col min="1027" max="1027" width="10.42578125" style="1421" customWidth="1"/>
    <col min="1028" max="1028" width="16.140625" style="1421" customWidth="1"/>
    <col min="1029" max="1029" width="18.42578125" style="1421" customWidth="1"/>
    <col min="1030" max="1030" width="12.28515625" style="1421" bestFit="1" customWidth="1"/>
    <col min="1031" max="1031" width="9.140625" style="1421"/>
    <col min="1032" max="1032" width="19.140625" style="1421" bestFit="1" customWidth="1"/>
    <col min="1033" max="1033" width="15.7109375" style="1421" bestFit="1" customWidth="1"/>
    <col min="1034" max="1034" width="9.140625" style="1421"/>
    <col min="1035" max="1035" width="14.7109375" style="1421" bestFit="1" customWidth="1"/>
    <col min="1036" max="1279" width="9.140625" style="1421"/>
    <col min="1280" max="1280" width="7.140625" style="1421" customWidth="1"/>
    <col min="1281" max="1281" width="31.5703125" style="1421" customWidth="1"/>
    <col min="1282" max="1282" width="12.5703125" style="1421" customWidth="1"/>
    <col min="1283" max="1283" width="10.42578125" style="1421" customWidth="1"/>
    <col min="1284" max="1284" width="16.140625" style="1421" customWidth="1"/>
    <col min="1285" max="1285" width="18.42578125" style="1421" customWidth="1"/>
    <col min="1286" max="1286" width="12.28515625" style="1421" bestFit="1" customWidth="1"/>
    <col min="1287" max="1287" width="9.140625" style="1421"/>
    <col min="1288" max="1288" width="19.140625" style="1421" bestFit="1" customWidth="1"/>
    <col min="1289" max="1289" width="15.7109375" style="1421" bestFit="1" customWidth="1"/>
    <col min="1290" max="1290" width="9.140625" style="1421"/>
    <col min="1291" max="1291" width="14.7109375" style="1421" bestFit="1" customWidth="1"/>
    <col min="1292" max="1535" width="9.140625" style="1421"/>
    <col min="1536" max="1536" width="7.140625" style="1421" customWidth="1"/>
    <col min="1537" max="1537" width="31.5703125" style="1421" customWidth="1"/>
    <col min="1538" max="1538" width="12.5703125" style="1421" customWidth="1"/>
    <col min="1539" max="1539" width="10.42578125" style="1421" customWidth="1"/>
    <col min="1540" max="1540" width="16.140625" style="1421" customWidth="1"/>
    <col min="1541" max="1541" width="18.42578125" style="1421" customWidth="1"/>
    <col min="1542" max="1542" width="12.28515625" style="1421" bestFit="1" customWidth="1"/>
    <col min="1543" max="1543" width="9.140625" style="1421"/>
    <col min="1544" max="1544" width="19.140625" style="1421" bestFit="1" customWidth="1"/>
    <col min="1545" max="1545" width="15.7109375" style="1421" bestFit="1" customWidth="1"/>
    <col min="1546" max="1546" width="9.140625" style="1421"/>
    <col min="1547" max="1547" width="14.7109375" style="1421" bestFit="1" customWidth="1"/>
    <col min="1548" max="1791" width="9.140625" style="1421"/>
    <col min="1792" max="1792" width="7.140625" style="1421" customWidth="1"/>
    <col min="1793" max="1793" width="31.5703125" style="1421" customWidth="1"/>
    <col min="1794" max="1794" width="12.5703125" style="1421" customWidth="1"/>
    <col min="1795" max="1795" width="10.42578125" style="1421" customWidth="1"/>
    <col min="1796" max="1796" width="16.140625" style="1421" customWidth="1"/>
    <col min="1797" max="1797" width="18.42578125" style="1421" customWidth="1"/>
    <col min="1798" max="1798" width="12.28515625" style="1421" bestFit="1" customWidth="1"/>
    <col min="1799" max="1799" width="9.140625" style="1421"/>
    <col min="1800" max="1800" width="19.140625" style="1421" bestFit="1" customWidth="1"/>
    <col min="1801" max="1801" width="15.7109375" style="1421" bestFit="1" customWidth="1"/>
    <col min="1802" max="1802" width="9.140625" style="1421"/>
    <col min="1803" max="1803" width="14.7109375" style="1421" bestFit="1" customWidth="1"/>
    <col min="1804" max="2047" width="9.140625" style="1421"/>
    <col min="2048" max="2048" width="7.140625" style="1421" customWidth="1"/>
    <col min="2049" max="2049" width="31.5703125" style="1421" customWidth="1"/>
    <col min="2050" max="2050" width="12.5703125" style="1421" customWidth="1"/>
    <col min="2051" max="2051" width="10.42578125" style="1421" customWidth="1"/>
    <col min="2052" max="2052" width="16.140625" style="1421" customWidth="1"/>
    <col min="2053" max="2053" width="18.42578125" style="1421" customWidth="1"/>
    <col min="2054" max="2054" width="12.28515625" style="1421" bestFit="1" customWidth="1"/>
    <col min="2055" max="2055" width="9.140625" style="1421"/>
    <col min="2056" max="2056" width="19.140625" style="1421" bestFit="1" customWidth="1"/>
    <col min="2057" max="2057" width="15.7109375" style="1421" bestFit="1" customWidth="1"/>
    <col min="2058" max="2058" width="9.140625" style="1421"/>
    <col min="2059" max="2059" width="14.7109375" style="1421" bestFit="1" customWidth="1"/>
    <col min="2060" max="2303" width="9.140625" style="1421"/>
    <col min="2304" max="2304" width="7.140625" style="1421" customWidth="1"/>
    <col min="2305" max="2305" width="31.5703125" style="1421" customWidth="1"/>
    <col min="2306" max="2306" width="12.5703125" style="1421" customWidth="1"/>
    <col min="2307" max="2307" width="10.42578125" style="1421" customWidth="1"/>
    <col min="2308" max="2308" width="16.140625" style="1421" customWidth="1"/>
    <col min="2309" max="2309" width="18.42578125" style="1421" customWidth="1"/>
    <col min="2310" max="2310" width="12.28515625" style="1421" bestFit="1" customWidth="1"/>
    <col min="2311" max="2311" width="9.140625" style="1421"/>
    <col min="2312" max="2312" width="19.140625" style="1421" bestFit="1" customWidth="1"/>
    <col min="2313" max="2313" width="15.7109375" style="1421" bestFit="1" customWidth="1"/>
    <col min="2314" max="2314" width="9.140625" style="1421"/>
    <col min="2315" max="2315" width="14.7109375" style="1421" bestFit="1" customWidth="1"/>
    <col min="2316" max="2559" width="9.140625" style="1421"/>
    <col min="2560" max="2560" width="7.140625" style="1421" customWidth="1"/>
    <col min="2561" max="2561" width="31.5703125" style="1421" customWidth="1"/>
    <col min="2562" max="2562" width="12.5703125" style="1421" customWidth="1"/>
    <col min="2563" max="2563" width="10.42578125" style="1421" customWidth="1"/>
    <col min="2564" max="2564" width="16.140625" style="1421" customWidth="1"/>
    <col min="2565" max="2565" width="18.42578125" style="1421" customWidth="1"/>
    <col min="2566" max="2566" width="12.28515625" style="1421" bestFit="1" customWidth="1"/>
    <col min="2567" max="2567" width="9.140625" style="1421"/>
    <col min="2568" max="2568" width="19.140625" style="1421" bestFit="1" customWidth="1"/>
    <col min="2569" max="2569" width="15.7109375" style="1421" bestFit="1" customWidth="1"/>
    <col min="2570" max="2570" width="9.140625" style="1421"/>
    <col min="2571" max="2571" width="14.7109375" style="1421" bestFit="1" customWidth="1"/>
    <col min="2572" max="2815" width="9.140625" style="1421"/>
    <col min="2816" max="2816" width="7.140625" style="1421" customWidth="1"/>
    <col min="2817" max="2817" width="31.5703125" style="1421" customWidth="1"/>
    <col min="2818" max="2818" width="12.5703125" style="1421" customWidth="1"/>
    <col min="2819" max="2819" width="10.42578125" style="1421" customWidth="1"/>
    <col min="2820" max="2820" width="16.140625" style="1421" customWidth="1"/>
    <col min="2821" max="2821" width="18.42578125" style="1421" customWidth="1"/>
    <col min="2822" max="2822" width="12.28515625" style="1421" bestFit="1" customWidth="1"/>
    <col min="2823" max="2823" width="9.140625" style="1421"/>
    <col min="2824" max="2824" width="19.140625" style="1421" bestFit="1" customWidth="1"/>
    <col min="2825" max="2825" width="15.7109375" style="1421" bestFit="1" customWidth="1"/>
    <col min="2826" max="2826" width="9.140625" style="1421"/>
    <col min="2827" max="2827" width="14.7109375" style="1421" bestFit="1" customWidth="1"/>
    <col min="2828" max="3071" width="9.140625" style="1421"/>
    <col min="3072" max="3072" width="7.140625" style="1421" customWidth="1"/>
    <col min="3073" max="3073" width="31.5703125" style="1421" customWidth="1"/>
    <col min="3074" max="3074" width="12.5703125" style="1421" customWidth="1"/>
    <col min="3075" max="3075" width="10.42578125" style="1421" customWidth="1"/>
    <col min="3076" max="3076" width="16.140625" style="1421" customWidth="1"/>
    <col min="3077" max="3077" width="18.42578125" style="1421" customWidth="1"/>
    <col min="3078" max="3078" width="12.28515625" style="1421" bestFit="1" customWidth="1"/>
    <col min="3079" max="3079" width="9.140625" style="1421"/>
    <col min="3080" max="3080" width="19.140625" style="1421" bestFit="1" customWidth="1"/>
    <col min="3081" max="3081" width="15.7109375" style="1421" bestFit="1" customWidth="1"/>
    <col min="3082" max="3082" width="9.140625" style="1421"/>
    <col min="3083" max="3083" width="14.7109375" style="1421" bestFit="1" customWidth="1"/>
    <col min="3084" max="3327" width="9.140625" style="1421"/>
    <col min="3328" max="3328" width="7.140625" style="1421" customWidth="1"/>
    <col min="3329" max="3329" width="31.5703125" style="1421" customWidth="1"/>
    <col min="3330" max="3330" width="12.5703125" style="1421" customWidth="1"/>
    <col min="3331" max="3331" width="10.42578125" style="1421" customWidth="1"/>
    <col min="3332" max="3332" width="16.140625" style="1421" customWidth="1"/>
    <col min="3333" max="3333" width="18.42578125" style="1421" customWidth="1"/>
    <col min="3334" max="3334" width="12.28515625" style="1421" bestFit="1" customWidth="1"/>
    <col min="3335" max="3335" width="9.140625" style="1421"/>
    <col min="3336" max="3336" width="19.140625" style="1421" bestFit="1" customWidth="1"/>
    <col min="3337" max="3337" width="15.7109375" style="1421" bestFit="1" customWidth="1"/>
    <col min="3338" max="3338" width="9.140625" style="1421"/>
    <col min="3339" max="3339" width="14.7109375" style="1421" bestFit="1" customWidth="1"/>
    <col min="3340" max="3583" width="9.140625" style="1421"/>
    <col min="3584" max="3584" width="7.140625" style="1421" customWidth="1"/>
    <col min="3585" max="3585" width="31.5703125" style="1421" customWidth="1"/>
    <col min="3586" max="3586" width="12.5703125" style="1421" customWidth="1"/>
    <col min="3587" max="3587" width="10.42578125" style="1421" customWidth="1"/>
    <col min="3588" max="3588" width="16.140625" style="1421" customWidth="1"/>
    <col min="3589" max="3589" width="18.42578125" style="1421" customWidth="1"/>
    <col min="3590" max="3590" width="12.28515625" style="1421" bestFit="1" customWidth="1"/>
    <col min="3591" max="3591" width="9.140625" style="1421"/>
    <col min="3592" max="3592" width="19.140625" style="1421" bestFit="1" customWidth="1"/>
    <col min="3593" max="3593" width="15.7109375" style="1421" bestFit="1" customWidth="1"/>
    <col min="3594" max="3594" width="9.140625" style="1421"/>
    <col min="3595" max="3595" width="14.7109375" style="1421" bestFit="1" customWidth="1"/>
    <col min="3596" max="3839" width="9.140625" style="1421"/>
    <col min="3840" max="3840" width="7.140625" style="1421" customWidth="1"/>
    <col min="3841" max="3841" width="31.5703125" style="1421" customWidth="1"/>
    <col min="3842" max="3842" width="12.5703125" style="1421" customWidth="1"/>
    <col min="3843" max="3843" width="10.42578125" style="1421" customWidth="1"/>
    <col min="3844" max="3844" width="16.140625" style="1421" customWidth="1"/>
    <col min="3845" max="3845" width="18.42578125" style="1421" customWidth="1"/>
    <col min="3846" max="3846" width="12.28515625" style="1421" bestFit="1" customWidth="1"/>
    <col min="3847" max="3847" width="9.140625" style="1421"/>
    <col min="3848" max="3848" width="19.140625" style="1421" bestFit="1" customWidth="1"/>
    <col min="3849" max="3849" width="15.7109375" style="1421" bestFit="1" customWidth="1"/>
    <col min="3850" max="3850" width="9.140625" style="1421"/>
    <col min="3851" max="3851" width="14.7109375" style="1421" bestFit="1" customWidth="1"/>
    <col min="3852" max="4095" width="9.140625" style="1421"/>
    <col min="4096" max="4096" width="7.140625" style="1421" customWidth="1"/>
    <col min="4097" max="4097" width="31.5703125" style="1421" customWidth="1"/>
    <col min="4098" max="4098" width="12.5703125" style="1421" customWidth="1"/>
    <col min="4099" max="4099" width="10.42578125" style="1421" customWidth="1"/>
    <col min="4100" max="4100" width="16.140625" style="1421" customWidth="1"/>
    <col min="4101" max="4101" width="18.42578125" style="1421" customWidth="1"/>
    <col min="4102" max="4102" width="12.28515625" style="1421" bestFit="1" customWidth="1"/>
    <col min="4103" max="4103" width="9.140625" style="1421"/>
    <col min="4104" max="4104" width="19.140625" style="1421" bestFit="1" customWidth="1"/>
    <col min="4105" max="4105" width="15.7109375" style="1421" bestFit="1" customWidth="1"/>
    <col min="4106" max="4106" width="9.140625" style="1421"/>
    <col min="4107" max="4107" width="14.7109375" style="1421" bestFit="1" customWidth="1"/>
    <col min="4108" max="4351" width="9.140625" style="1421"/>
    <col min="4352" max="4352" width="7.140625" style="1421" customWidth="1"/>
    <col min="4353" max="4353" width="31.5703125" style="1421" customWidth="1"/>
    <col min="4354" max="4354" width="12.5703125" style="1421" customWidth="1"/>
    <col min="4355" max="4355" width="10.42578125" style="1421" customWidth="1"/>
    <col min="4356" max="4356" width="16.140625" style="1421" customWidth="1"/>
    <col min="4357" max="4357" width="18.42578125" style="1421" customWidth="1"/>
    <col min="4358" max="4358" width="12.28515625" style="1421" bestFit="1" customWidth="1"/>
    <col min="4359" max="4359" width="9.140625" style="1421"/>
    <col min="4360" max="4360" width="19.140625" style="1421" bestFit="1" customWidth="1"/>
    <col min="4361" max="4361" width="15.7109375" style="1421" bestFit="1" customWidth="1"/>
    <col min="4362" max="4362" width="9.140625" style="1421"/>
    <col min="4363" max="4363" width="14.7109375" style="1421" bestFit="1" customWidth="1"/>
    <col min="4364" max="4607" width="9.140625" style="1421"/>
    <col min="4608" max="4608" width="7.140625" style="1421" customWidth="1"/>
    <col min="4609" max="4609" width="31.5703125" style="1421" customWidth="1"/>
    <col min="4610" max="4610" width="12.5703125" style="1421" customWidth="1"/>
    <col min="4611" max="4611" width="10.42578125" style="1421" customWidth="1"/>
    <col min="4612" max="4612" width="16.140625" style="1421" customWidth="1"/>
    <col min="4613" max="4613" width="18.42578125" style="1421" customWidth="1"/>
    <col min="4614" max="4614" width="12.28515625" style="1421" bestFit="1" customWidth="1"/>
    <col min="4615" max="4615" width="9.140625" style="1421"/>
    <col min="4616" max="4616" width="19.140625" style="1421" bestFit="1" customWidth="1"/>
    <col min="4617" max="4617" width="15.7109375" style="1421" bestFit="1" customWidth="1"/>
    <col min="4618" max="4618" width="9.140625" style="1421"/>
    <col min="4619" max="4619" width="14.7109375" style="1421" bestFit="1" customWidth="1"/>
    <col min="4620" max="4863" width="9.140625" style="1421"/>
    <col min="4864" max="4864" width="7.140625" style="1421" customWidth="1"/>
    <col min="4865" max="4865" width="31.5703125" style="1421" customWidth="1"/>
    <col min="4866" max="4866" width="12.5703125" style="1421" customWidth="1"/>
    <col min="4867" max="4867" width="10.42578125" style="1421" customWidth="1"/>
    <col min="4868" max="4868" width="16.140625" style="1421" customWidth="1"/>
    <col min="4869" max="4869" width="18.42578125" style="1421" customWidth="1"/>
    <col min="4870" max="4870" width="12.28515625" style="1421" bestFit="1" customWidth="1"/>
    <col min="4871" max="4871" width="9.140625" style="1421"/>
    <col min="4872" max="4872" width="19.140625" style="1421" bestFit="1" customWidth="1"/>
    <col min="4873" max="4873" width="15.7109375" style="1421" bestFit="1" customWidth="1"/>
    <col min="4874" max="4874" width="9.140625" style="1421"/>
    <col min="4875" max="4875" width="14.7109375" style="1421" bestFit="1" customWidth="1"/>
    <col min="4876" max="5119" width="9.140625" style="1421"/>
    <col min="5120" max="5120" width="7.140625" style="1421" customWidth="1"/>
    <col min="5121" max="5121" width="31.5703125" style="1421" customWidth="1"/>
    <col min="5122" max="5122" width="12.5703125" style="1421" customWidth="1"/>
    <col min="5123" max="5123" width="10.42578125" style="1421" customWidth="1"/>
    <col min="5124" max="5124" width="16.140625" style="1421" customWidth="1"/>
    <col min="5125" max="5125" width="18.42578125" style="1421" customWidth="1"/>
    <col min="5126" max="5126" width="12.28515625" style="1421" bestFit="1" customWidth="1"/>
    <col min="5127" max="5127" width="9.140625" style="1421"/>
    <col min="5128" max="5128" width="19.140625" style="1421" bestFit="1" customWidth="1"/>
    <col min="5129" max="5129" width="15.7109375" style="1421" bestFit="1" customWidth="1"/>
    <col min="5130" max="5130" width="9.140625" style="1421"/>
    <col min="5131" max="5131" width="14.7109375" style="1421" bestFit="1" customWidth="1"/>
    <col min="5132" max="5375" width="9.140625" style="1421"/>
    <col min="5376" max="5376" width="7.140625" style="1421" customWidth="1"/>
    <col min="5377" max="5377" width="31.5703125" style="1421" customWidth="1"/>
    <col min="5378" max="5378" width="12.5703125" style="1421" customWidth="1"/>
    <col min="5379" max="5379" width="10.42578125" style="1421" customWidth="1"/>
    <col min="5380" max="5380" width="16.140625" style="1421" customWidth="1"/>
    <col min="5381" max="5381" width="18.42578125" style="1421" customWidth="1"/>
    <col min="5382" max="5382" width="12.28515625" style="1421" bestFit="1" customWidth="1"/>
    <col min="5383" max="5383" width="9.140625" style="1421"/>
    <col min="5384" max="5384" width="19.140625" style="1421" bestFit="1" customWidth="1"/>
    <col min="5385" max="5385" width="15.7109375" style="1421" bestFit="1" customWidth="1"/>
    <col min="5386" max="5386" width="9.140625" style="1421"/>
    <col min="5387" max="5387" width="14.7109375" style="1421" bestFit="1" customWidth="1"/>
    <col min="5388" max="5631" width="9.140625" style="1421"/>
    <col min="5632" max="5632" width="7.140625" style="1421" customWidth="1"/>
    <col min="5633" max="5633" width="31.5703125" style="1421" customWidth="1"/>
    <col min="5634" max="5634" width="12.5703125" style="1421" customWidth="1"/>
    <col min="5635" max="5635" width="10.42578125" style="1421" customWidth="1"/>
    <col min="5636" max="5636" width="16.140625" style="1421" customWidth="1"/>
    <col min="5637" max="5637" width="18.42578125" style="1421" customWidth="1"/>
    <col min="5638" max="5638" width="12.28515625" style="1421" bestFit="1" customWidth="1"/>
    <col min="5639" max="5639" width="9.140625" style="1421"/>
    <col min="5640" max="5640" width="19.140625" style="1421" bestFit="1" customWidth="1"/>
    <col min="5641" max="5641" width="15.7109375" style="1421" bestFit="1" customWidth="1"/>
    <col min="5642" max="5642" width="9.140625" style="1421"/>
    <col min="5643" max="5643" width="14.7109375" style="1421" bestFit="1" customWidth="1"/>
    <col min="5644" max="5887" width="9.140625" style="1421"/>
    <col min="5888" max="5888" width="7.140625" style="1421" customWidth="1"/>
    <col min="5889" max="5889" width="31.5703125" style="1421" customWidth="1"/>
    <col min="5890" max="5890" width="12.5703125" style="1421" customWidth="1"/>
    <col min="5891" max="5891" width="10.42578125" style="1421" customWidth="1"/>
    <col min="5892" max="5892" width="16.140625" style="1421" customWidth="1"/>
    <col min="5893" max="5893" width="18.42578125" style="1421" customWidth="1"/>
    <col min="5894" max="5894" width="12.28515625" style="1421" bestFit="1" customWidth="1"/>
    <col min="5895" max="5895" width="9.140625" style="1421"/>
    <col min="5896" max="5896" width="19.140625" style="1421" bestFit="1" customWidth="1"/>
    <col min="5897" max="5897" width="15.7109375" style="1421" bestFit="1" customWidth="1"/>
    <col min="5898" max="5898" width="9.140625" style="1421"/>
    <col min="5899" max="5899" width="14.7109375" style="1421" bestFit="1" customWidth="1"/>
    <col min="5900" max="6143" width="9.140625" style="1421"/>
    <col min="6144" max="6144" width="7.140625" style="1421" customWidth="1"/>
    <col min="6145" max="6145" width="31.5703125" style="1421" customWidth="1"/>
    <col min="6146" max="6146" width="12.5703125" style="1421" customWidth="1"/>
    <col min="6147" max="6147" width="10.42578125" style="1421" customWidth="1"/>
    <col min="6148" max="6148" width="16.140625" style="1421" customWidth="1"/>
    <col min="6149" max="6149" width="18.42578125" style="1421" customWidth="1"/>
    <col min="6150" max="6150" width="12.28515625" style="1421" bestFit="1" customWidth="1"/>
    <col min="6151" max="6151" width="9.140625" style="1421"/>
    <col min="6152" max="6152" width="19.140625" style="1421" bestFit="1" customWidth="1"/>
    <col min="6153" max="6153" width="15.7109375" style="1421" bestFit="1" customWidth="1"/>
    <col min="6154" max="6154" width="9.140625" style="1421"/>
    <col min="6155" max="6155" width="14.7109375" style="1421" bestFit="1" customWidth="1"/>
    <col min="6156" max="6399" width="9.140625" style="1421"/>
    <col min="6400" max="6400" width="7.140625" style="1421" customWidth="1"/>
    <col min="6401" max="6401" width="31.5703125" style="1421" customWidth="1"/>
    <col min="6402" max="6402" width="12.5703125" style="1421" customWidth="1"/>
    <col min="6403" max="6403" width="10.42578125" style="1421" customWidth="1"/>
    <col min="6404" max="6404" width="16.140625" style="1421" customWidth="1"/>
    <col min="6405" max="6405" width="18.42578125" style="1421" customWidth="1"/>
    <col min="6406" max="6406" width="12.28515625" style="1421" bestFit="1" customWidth="1"/>
    <col min="6407" max="6407" width="9.140625" style="1421"/>
    <col min="6408" max="6408" width="19.140625" style="1421" bestFit="1" customWidth="1"/>
    <col min="6409" max="6409" width="15.7109375" style="1421" bestFit="1" customWidth="1"/>
    <col min="6410" max="6410" width="9.140625" style="1421"/>
    <col min="6411" max="6411" width="14.7109375" style="1421" bestFit="1" customWidth="1"/>
    <col min="6412" max="6655" width="9.140625" style="1421"/>
    <col min="6656" max="6656" width="7.140625" style="1421" customWidth="1"/>
    <col min="6657" max="6657" width="31.5703125" style="1421" customWidth="1"/>
    <col min="6658" max="6658" width="12.5703125" style="1421" customWidth="1"/>
    <col min="6659" max="6659" width="10.42578125" style="1421" customWidth="1"/>
    <col min="6660" max="6660" width="16.140625" style="1421" customWidth="1"/>
    <col min="6661" max="6661" width="18.42578125" style="1421" customWidth="1"/>
    <col min="6662" max="6662" width="12.28515625" style="1421" bestFit="1" customWidth="1"/>
    <col min="6663" max="6663" width="9.140625" style="1421"/>
    <col min="6664" max="6664" width="19.140625" style="1421" bestFit="1" customWidth="1"/>
    <col min="6665" max="6665" width="15.7109375" style="1421" bestFit="1" customWidth="1"/>
    <col min="6666" max="6666" width="9.140625" style="1421"/>
    <col min="6667" max="6667" width="14.7109375" style="1421" bestFit="1" customWidth="1"/>
    <col min="6668" max="6911" width="9.140625" style="1421"/>
    <col min="6912" max="6912" width="7.140625" style="1421" customWidth="1"/>
    <col min="6913" max="6913" width="31.5703125" style="1421" customWidth="1"/>
    <col min="6914" max="6914" width="12.5703125" style="1421" customWidth="1"/>
    <col min="6915" max="6915" width="10.42578125" style="1421" customWidth="1"/>
    <col min="6916" max="6916" width="16.140625" style="1421" customWidth="1"/>
    <col min="6917" max="6917" width="18.42578125" style="1421" customWidth="1"/>
    <col min="6918" max="6918" width="12.28515625" style="1421" bestFit="1" customWidth="1"/>
    <col min="6919" max="6919" width="9.140625" style="1421"/>
    <col min="6920" max="6920" width="19.140625" style="1421" bestFit="1" customWidth="1"/>
    <col min="6921" max="6921" width="15.7109375" style="1421" bestFit="1" customWidth="1"/>
    <col min="6922" max="6922" width="9.140625" style="1421"/>
    <col min="6923" max="6923" width="14.7109375" style="1421" bestFit="1" customWidth="1"/>
    <col min="6924" max="7167" width="9.140625" style="1421"/>
    <col min="7168" max="7168" width="7.140625" style="1421" customWidth="1"/>
    <col min="7169" max="7169" width="31.5703125" style="1421" customWidth="1"/>
    <col min="7170" max="7170" width="12.5703125" style="1421" customWidth="1"/>
    <col min="7171" max="7171" width="10.42578125" style="1421" customWidth="1"/>
    <col min="7172" max="7172" width="16.140625" style="1421" customWidth="1"/>
    <col min="7173" max="7173" width="18.42578125" style="1421" customWidth="1"/>
    <col min="7174" max="7174" width="12.28515625" style="1421" bestFit="1" customWidth="1"/>
    <col min="7175" max="7175" width="9.140625" style="1421"/>
    <col min="7176" max="7176" width="19.140625" style="1421" bestFit="1" customWidth="1"/>
    <col min="7177" max="7177" width="15.7109375" style="1421" bestFit="1" customWidth="1"/>
    <col min="7178" max="7178" width="9.140625" style="1421"/>
    <col min="7179" max="7179" width="14.7109375" style="1421" bestFit="1" customWidth="1"/>
    <col min="7180" max="7423" width="9.140625" style="1421"/>
    <col min="7424" max="7424" width="7.140625" style="1421" customWidth="1"/>
    <col min="7425" max="7425" width="31.5703125" style="1421" customWidth="1"/>
    <col min="7426" max="7426" width="12.5703125" style="1421" customWidth="1"/>
    <col min="7427" max="7427" width="10.42578125" style="1421" customWidth="1"/>
    <col min="7428" max="7428" width="16.140625" style="1421" customWidth="1"/>
    <col min="7429" max="7429" width="18.42578125" style="1421" customWidth="1"/>
    <col min="7430" max="7430" width="12.28515625" style="1421" bestFit="1" customWidth="1"/>
    <col min="7431" max="7431" width="9.140625" style="1421"/>
    <col min="7432" max="7432" width="19.140625" style="1421" bestFit="1" customWidth="1"/>
    <col min="7433" max="7433" width="15.7109375" style="1421" bestFit="1" customWidth="1"/>
    <col min="7434" max="7434" width="9.140625" style="1421"/>
    <col min="7435" max="7435" width="14.7109375" style="1421" bestFit="1" customWidth="1"/>
    <col min="7436" max="7679" width="9.140625" style="1421"/>
    <col min="7680" max="7680" width="7.140625" style="1421" customWidth="1"/>
    <col min="7681" max="7681" width="31.5703125" style="1421" customWidth="1"/>
    <col min="7682" max="7682" width="12.5703125" style="1421" customWidth="1"/>
    <col min="7683" max="7683" width="10.42578125" style="1421" customWidth="1"/>
    <col min="7684" max="7684" width="16.140625" style="1421" customWidth="1"/>
    <col min="7685" max="7685" width="18.42578125" style="1421" customWidth="1"/>
    <col min="7686" max="7686" width="12.28515625" style="1421" bestFit="1" customWidth="1"/>
    <col min="7687" max="7687" width="9.140625" style="1421"/>
    <col min="7688" max="7688" width="19.140625" style="1421" bestFit="1" customWidth="1"/>
    <col min="7689" max="7689" width="15.7109375" style="1421" bestFit="1" customWidth="1"/>
    <col min="7690" max="7690" width="9.140625" style="1421"/>
    <col min="7691" max="7691" width="14.7109375" style="1421" bestFit="1" customWidth="1"/>
    <col min="7692" max="7935" width="9.140625" style="1421"/>
    <col min="7936" max="7936" width="7.140625" style="1421" customWidth="1"/>
    <col min="7937" max="7937" width="31.5703125" style="1421" customWidth="1"/>
    <col min="7938" max="7938" width="12.5703125" style="1421" customWidth="1"/>
    <col min="7939" max="7939" width="10.42578125" style="1421" customWidth="1"/>
    <col min="7940" max="7940" width="16.140625" style="1421" customWidth="1"/>
    <col min="7941" max="7941" width="18.42578125" style="1421" customWidth="1"/>
    <col min="7942" max="7942" width="12.28515625" style="1421" bestFit="1" customWidth="1"/>
    <col min="7943" max="7943" width="9.140625" style="1421"/>
    <col min="7944" max="7944" width="19.140625" style="1421" bestFit="1" customWidth="1"/>
    <col min="7945" max="7945" width="15.7109375" style="1421" bestFit="1" customWidth="1"/>
    <col min="7946" max="7946" width="9.140625" style="1421"/>
    <col min="7947" max="7947" width="14.7109375" style="1421" bestFit="1" customWidth="1"/>
    <col min="7948" max="8191" width="9.140625" style="1421"/>
    <col min="8192" max="8192" width="7.140625" style="1421" customWidth="1"/>
    <col min="8193" max="8193" width="31.5703125" style="1421" customWidth="1"/>
    <col min="8194" max="8194" width="12.5703125" style="1421" customWidth="1"/>
    <col min="8195" max="8195" width="10.42578125" style="1421" customWidth="1"/>
    <col min="8196" max="8196" width="16.140625" style="1421" customWidth="1"/>
    <col min="8197" max="8197" width="18.42578125" style="1421" customWidth="1"/>
    <col min="8198" max="8198" width="12.28515625" style="1421" bestFit="1" customWidth="1"/>
    <col min="8199" max="8199" width="9.140625" style="1421"/>
    <col min="8200" max="8200" width="19.140625" style="1421" bestFit="1" customWidth="1"/>
    <col min="8201" max="8201" width="15.7109375" style="1421" bestFit="1" customWidth="1"/>
    <col min="8202" max="8202" width="9.140625" style="1421"/>
    <col min="8203" max="8203" width="14.7109375" style="1421" bestFit="1" customWidth="1"/>
    <col min="8204" max="8447" width="9.140625" style="1421"/>
    <col min="8448" max="8448" width="7.140625" style="1421" customWidth="1"/>
    <col min="8449" max="8449" width="31.5703125" style="1421" customWidth="1"/>
    <col min="8450" max="8450" width="12.5703125" style="1421" customWidth="1"/>
    <col min="8451" max="8451" width="10.42578125" style="1421" customWidth="1"/>
    <col min="8452" max="8452" width="16.140625" style="1421" customWidth="1"/>
    <col min="8453" max="8453" width="18.42578125" style="1421" customWidth="1"/>
    <col min="8454" max="8454" width="12.28515625" style="1421" bestFit="1" customWidth="1"/>
    <col min="8455" max="8455" width="9.140625" style="1421"/>
    <col min="8456" max="8456" width="19.140625" style="1421" bestFit="1" customWidth="1"/>
    <col min="8457" max="8457" width="15.7109375" style="1421" bestFit="1" customWidth="1"/>
    <col min="8458" max="8458" width="9.140625" style="1421"/>
    <col min="8459" max="8459" width="14.7109375" style="1421" bestFit="1" customWidth="1"/>
    <col min="8460" max="8703" width="9.140625" style="1421"/>
    <col min="8704" max="8704" width="7.140625" style="1421" customWidth="1"/>
    <col min="8705" max="8705" width="31.5703125" style="1421" customWidth="1"/>
    <col min="8706" max="8706" width="12.5703125" style="1421" customWidth="1"/>
    <col min="8707" max="8707" width="10.42578125" style="1421" customWidth="1"/>
    <col min="8708" max="8708" width="16.140625" style="1421" customWidth="1"/>
    <col min="8709" max="8709" width="18.42578125" style="1421" customWidth="1"/>
    <col min="8710" max="8710" width="12.28515625" style="1421" bestFit="1" customWidth="1"/>
    <col min="8711" max="8711" width="9.140625" style="1421"/>
    <col min="8712" max="8712" width="19.140625" style="1421" bestFit="1" customWidth="1"/>
    <col min="8713" max="8713" width="15.7109375" style="1421" bestFit="1" customWidth="1"/>
    <col min="8714" max="8714" width="9.140625" style="1421"/>
    <col min="8715" max="8715" width="14.7109375" style="1421" bestFit="1" customWidth="1"/>
    <col min="8716" max="8959" width="9.140625" style="1421"/>
    <col min="8960" max="8960" width="7.140625" style="1421" customWidth="1"/>
    <col min="8961" max="8961" width="31.5703125" style="1421" customWidth="1"/>
    <col min="8962" max="8962" width="12.5703125" style="1421" customWidth="1"/>
    <col min="8963" max="8963" width="10.42578125" style="1421" customWidth="1"/>
    <col min="8964" max="8964" width="16.140625" style="1421" customWidth="1"/>
    <col min="8965" max="8965" width="18.42578125" style="1421" customWidth="1"/>
    <col min="8966" max="8966" width="12.28515625" style="1421" bestFit="1" customWidth="1"/>
    <col min="8967" max="8967" width="9.140625" style="1421"/>
    <col min="8968" max="8968" width="19.140625" style="1421" bestFit="1" customWidth="1"/>
    <col min="8969" max="8969" width="15.7109375" style="1421" bestFit="1" customWidth="1"/>
    <col min="8970" max="8970" width="9.140625" style="1421"/>
    <col min="8971" max="8971" width="14.7109375" style="1421" bestFit="1" customWidth="1"/>
    <col min="8972" max="9215" width="9.140625" style="1421"/>
    <col min="9216" max="9216" width="7.140625" style="1421" customWidth="1"/>
    <col min="9217" max="9217" width="31.5703125" style="1421" customWidth="1"/>
    <col min="9218" max="9218" width="12.5703125" style="1421" customWidth="1"/>
    <col min="9219" max="9219" width="10.42578125" style="1421" customWidth="1"/>
    <col min="9220" max="9220" width="16.140625" style="1421" customWidth="1"/>
    <col min="9221" max="9221" width="18.42578125" style="1421" customWidth="1"/>
    <col min="9222" max="9222" width="12.28515625" style="1421" bestFit="1" customWidth="1"/>
    <col min="9223" max="9223" width="9.140625" style="1421"/>
    <col min="9224" max="9224" width="19.140625" style="1421" bestFit="1" customWidth="1"/>
    <col min="9225" max="9225" width="15.7109375" style="1421" bestFit="1" customWidth="1"/>
    <col min="9226" max="9226" width="9.140625" style="1421"/>
    <col min="9227" max="9227" width="14.7109375" style="1421" bestFit="1" customWidth="1"/>
    <col min="9228" max="9471" width="9.140625" style="1421"/>
    <col min="9472" max="9472" width="7.140625" style="1421" customWidth="1"/>
    <col min="9473" max="9473" width="31.5703125" style="1421" customWidth="1"/>
    <col min="9474" max="9474" width="12.5703125" style="1421" customWidth="1"/>
    <col min="9475" max="9475" width="10.42578125" style="1421" customWidth="1"/>
    <col min="9476" max="9476" width="16.140625" style="1421" customWidth="1"/>
    <col min="9477" max="9477" width="18.42578125" style="1421" customWidth="1"/>
    <col min="9478" max="9478" width="12.28515625" style="1421" bestFit="1" customWidth="1"/>
    <col min="9479" max="9479" width="9.140625" style="1421"/>
    <col min="9480" max="9480" width="19.140625" style="1421" bestFit="1" customWidth="1"/>
    <col min="9481" max="9481" width="15.7109375" style="1421" bestFit="1" customWidth="1"/>
    <col min="9482" max="9482" width="9.140625" style="1421"/>
    <col min="9483" max="9483" width="14.7109375" style="1421" bestFit="1" customWidth="1"/>
    <col min="9484" max="9727" width="9.140625" style="1421"/>
    <col min="9728" max="9728" width="7.140625" style="1421" customWidth="1"/>
    <col min="9729" max="9729" width="31.5703125" style="1421" customWidth="1"/>
    <col min="9730" max="9730" width="12.5703125" style="1421" customWidth="1"/>
    <col min="9731" max="9731" width="10.42578125" style="1421" customWidth="1"/>
    <col min="9732" max="9732" width="16.140625" style="1421" customWidth="1"/>
    <col min="9733" max="9733" width="18.42578125" style="1421" customWidth="1"/>
    <col min="9734" max="9734" width="12.28515625" style="1421" bestFit="1" customWidth="1"/>
    <col min="9735" max="9735" width="9.140625" style="1421"/>
    <col min="9736" max="9736" width="19.140625" style="1421" bestFit="1" customWidth="1"/>
    <col min="9737" max="9737" width="15.7109375" style="1421" bestFit="1" customWidth="1"/>
    <col min="9738" max="9738" width="9.140625" style="1421"/>
    <col min="9739" max="9739" width="14.7109375" style="1421" bestFit="1" customWidth="1"/>
    <col min="9740" max="9983" width="9.140625" style="1421"/>
    <col min="9984" max="9984" width="7.140625" style="1421" customWidth="1"/>
    <col min="9985" max="9985" width="31.5703125" style="1421" customWidth="1"/>
    <col min="9986" max="9986" width="12.5703125" style="1421" customWidth="1"/>
    <col min="9987" max="9987" width="10.42578125" style="1421" customWidth="1"/>
    <col min="9988" max="9988" width="16.140625" style="1421" customWidth="1"/>
    <col min="9989" max="9989" width="18.42578125" style="1421" customWidth="1"/>
    <col min="9990" max="9990" width="12.28515625" style="1421" bestFit="1" customWidth="1"/>
    <col min="9991" max="9991" width="9.140625" style="1421"/>
    <col min="9992" max="9992" width="19.140625" style="1421" bestFit="1" customWidth="1"/>
    <col min="9993" max="9993" width="15.7109375" style="1421" bestFit="1" customWidth="1"/>
    <col min="9994" max="9994" width="9.140625" style="1421"/>
    <col min="9995" max="9995" width="14.7109375" style="1421" bestFit="1" customWidth="1"/>
    <col min="9996" max="10239" width="9.140625" style="1421"/>
    <col min="10240" max="10240" width="7.140625" style="1421" customWidth="1"/>
    <col min="10241" max="10241" width="31.5703125" style="1421" customWidth="1"/>
    <col min="10242" max="10242" width="12.5703125" style="1421" customWidth="1"/>
    <col min="10243" max="10243" width="10.42578125" style="1421" customWidth="1"/>
    <col min="10244" max="10244" width="16.140625" style="1421" customWidth="1"/>
    <col min="10245" max="10245" width="18.42578125" style="1421" customWidth="1"/>
    <col min="10246" max="10246" width="12.28515625" style="1421" bestFit="1" customWidth="1"/>
    <col min="10247" max="10247" width="9.140625" style="1421"/>
    <col min="10248" max="10248" width="19.140625" style="1421" bestFit="1" customWidth="1"/>
    <col min="10249" max="10249" width="15.7109375" style="1421" bestFit="1" customWidth="1"/>
    <col min="10250" max="10250" width="9.140625" style="1421"/>
    <col min="10251" max="10251" width="14.7109375" style="1421" bestFit="1" customWidth="1"/>
    <col min="10252" max="10495" width="9.140625" style="1421"/>
    <col min="10496" max="10496" width="7.140625" style="1421" customWidth="1"/>
    <col min="10497" max="10497" width="31.5703125" style="1421" customWidth="1"/>
    <col min="10498" max="10498" width="12.5703125" style="1421" customWidth="1"/>
    <col min="10499" max="10499" width="10.42578125" style="1421" customWidth="1"/>
    <col min="10500" max="10500" width="16.140625" style="1421" customWidth="1"/>
    <col min="10501" max="10501" width="18.42578125" style="1421" customWidth="1"/>
    <col min="10502" max="10502" width="12.28515625" style="1421" bestFit="1" customWidth="1"/>
    <col min="10503" max="10503" width="9.140625" style="1421"/>
    <col min="10504" max="10504" width="19.140625" style="1421" bestFit="1" customWidth="1"/>
    <col min="10505" max="10505" width="15.7109375" style="1421" bestFit="1" customWidth="1"/>
    <col min="10506" max="10506" width="9.140625" style="1421"/>
    <col min="10507" max="10507" width="14.7109375" style="1421" bestFit="1" customWidth="1"/>
    <col min="10508" max="10751" width="9.140625" style="1421"/>
    <col min="10752" max="10752" width="7.140625" style="1421" customWidth="1"/>
    <col min="10753" max="10753" width="31.5703125" style="1421" customWidth="1"/>
    <col min="10754" max="10754" width="12.5703125" style="1421" customWidth="1"/>
    <col min="10755" max="10755" width="10.42578125" style="1421" customWidth="1"/>
    <col min="10756" max="10756" width="16.140625" style="1421" customWidth="1"/>
    <col min="10757" max="10757" width="18.42578125" style="1421" customWidth="1"/>
    <col min="10758" max="10758" width="12.28515625" style="1421" bestFit="1" customWidth="1"/>
    <col min="10759" max="10759" width="9.140625" style="1421"/>
    <col min="10760" max="10760" width="19.140625" style="1421" bestFit="1" customWidth="1"/>
    <col min="10761" max="10761" width="15.7109375" style="1421" bestFit="1" customWidth="1"/>
    <col min="10762" max="10762" width="9.140625" style="1421"/>
    <col min="10763" max="10763" width="14.7109375" style="1421" bestFit="1" customWidth="1"/>
    <col min="10764" max="11007" width="9.140625" style="1421"/>
    <col min="11008" max="11008" width="7.140625" style="1421" customWidth="1"/>
    <col min="11009" max="11009" width="31.5703125" style="1421" customWidth="1"/>
    <col min="11010" max="11010" width="12.5703125" style="1421" customWidth="1"/>
    <col min="11011" max="11011" width="10.42578125" style="1421" customWidth="1"/>
    <col min="11012" max="11012" width="16.140625" style="1421" customWidth="1"/>
    <col min="11013" max="11013" width="18.42578125" style="1421" customWidth="1"/>
    <col min="11014" max="11014" width="12.28515625" style="1421" bestFit="1" customWidth="1"/>
    <col min="11015" max="11015" width="9.140625" style="1421"/>
    <col min="11016" max="11016" width="19.140625" style="1421" bestFit="1" customWidth="1"/>
    <col min="11017" max="11017" width="15.7109375" style="1421" bestFit="1" customWidth="1"/>
    <col min="11018" max="11018" width="9.140625" style="1421"/>
    <col min="11019" max="11019" width="14.7109375" style="1421" bestFit="1" customWidth="1"/>
    <col min="11020" max="11263" width="9.140625" style="1421"/>
    <col min="11264" max="11264" width="7.140625" style="1421" customWidth="1"/>
    <col min="11265" max="11265" width="31.5703125" style="1421" customWidth="1"/>
    <col min="11266" max="11266" width="12.5703125" style="1421" customWidth="1"/>
    <col min="11267" max="11267" width="10.42578125" style="1421" customWidth="1"/>
    <col min="11268" max="11268" width="16.140625" style="1421" customWidth="1"/>
    <col min="11269" max="11269" width="18.42578125" style="1421" customWidth="1"/>
    <col min="11270" max="11270" width="12.28515625" style="1421" bestFit="1" customWidth="1"/>
    <col min="11271" max="11271" width="9.140625" style="1421"/>
    <col min="11272" max="11272" width="19.140625" style="1421" bestFit="1" customWidth="1"/>
    <col min="11273" max="11273" width="15.7109375" style="1421" bestFit="1" customWidth="1"/>
    <col min="11274" max="11274" width="9.140625" style="1421"/>
    <col min="11275" max="11275" width="14.7109375" style="1421" bestFit="1" customWidth="1"/>
    <col min="11276" max="11519" width="9.140625" style="1421"/>
    <col min="11520" max="11520" width="7.140625" style="1421" customWidth="1"/>
    <col min="11521" max="11521" width="31.5703125" style="1421" customWidth="1"/>
    <col min="11522" max="11522" width="12.5703125" style="1421" customWidth="1"/>
    <col min="11523" max="11523" width="10.42578125" style="1421" customWidth="1"/>
    <col min="11524" max="11524" width="16.140625" style="1421" customWidth="1"/>
    <col min="11525" max="11525" width="18.42578125" style="1421" customWidth="1"/>
    <col min="11526" max="11526" width="12.28515625" style="1421" bestFit="1" customWidth="1"/>
    <col min="11527" max="11527" width="9.140625" style="1421"/>
    <col min="11528" max="11528" width="19.140625" style="1421" bestFit="1" customWidth="1"/>
    <col min="11529" max="11529" width="15.7109375" style="1421" bestFit="1" customWidth="1"/>
    <col min="11530" max="11530" width="9.140625" style="1421"/>
    <col min="11531" max="11531" width="14.7109375" style="1421" bestFit="1" customWidth="1"/>
    <col min="11532" max="11775" width="9.140625" style="1421"/>
    <col min="11776" max="11776" width="7.140625" style="1421" customWidth="1"/>
    <col min="11777" max="11777" width="31.5703125" style="1421" customWidth="1"/>
    <col min="11778" max="11778" width="12.5703125" style="1421" customWidth="1"/>
    <col min="11779" max="11779" width="10.42578125" style="1421" customWidth="1"/>
    <col min="11780" max="11780" width="16.140625" style="1421" customWidth="1"/>
    <col min="11781" max="11781" width="18.42578125" style="1421" customWidth="1"/>
    <col min="11782" max="11782" width="12.28515625" style="1421" bestFit="1" customWidth="1"/>
    <col min="11783" max="11783" width="9.140625" style="1421"/>
    <col min="11784" max="11784" width="19.140625" style="1421" bestFit="1" customWidth="1"/>
    <col min="11785" max="11785" width="15.7109375" style="1421" bestFit="1" customWidth="1"/>
    <col min="11786" max="11786" width="9.140625" style="1421"/>
    <col min="11787" max="11787" width="14.7109375" style="1421" bestFit="1" customWidth="1"/>
    <col min="11788" max="12031" width="9.140625" style="1421"/>
    <col min="12032" max="12032" width="7.140625" style="1421" customWidth="1"/>
    <col min="12033" max="12033" width="31.5703125" style="1421" customWidth="1"/>
    <col min="12034" max="12034" width="12.5703125" style="1421" customWidth="1"/>
    <col min="12035" max="12035" width="10.42578125" style="1421" customWidth="1"/>
    <col min="12036" max="12036" width="16.140625" style="1421" customWidth="1"/>
    <col min="12037" max="12037" width="18.42578125" style="1421" customWidth="1"/>
    <col min="12038" max="12038" width="12.28515625" style="1421" bestFit="1" customWidth="1"/>
    <col min="12039" max="12039" width="9.140625" style="1421"/>
    <col min="12040" max="12040" width="19.140625" style="1421" bestFit="1" customWidth="1"/>
    <col min="12041" max="12041" width="15.7109375" style="1421" bestFit="1" customWidth="1"/>
    <col min="12042" max="12042" width="9.140625" style="1421"/>
    <col min="12043" max="12043" width="14.7109375" style="1421" bestFit="1" customWidth="1"/>
    <col min="12044" max="12287" width="9.140625" style="1421"/>
    <col min="12288" max="12288" width="7.140625" style="1421" customWidth="1"/>
    <col min="12289" max="12289" width="31.5703125" style="1421" customWidth="1"/>
    <col min="12290" max="12290" width="12.5703125" style="1421" customWidth="1"/>
    <col min="12291" max="12291" width="10.42578125" style="1421" customWidth="1"/>
    <col min="12292" max="12292" width="16.140625" style="1421" customWidth="1"/>
    <col min="12293" max="12293" width="18.42578125" style="1421" customWidth="1"/>
    <col min="12294" max="12294" width="12.28515625" style="1421" bestFit="1" customWidth="1"/>
    <col min="12295" max="12295" width="9.140625" style="1421"/>
    <col min="12296" max="12296" width="19.140625" style="1421" bestFit="1" customWidth="1"/>
    <col min="12297" max="12297" width="15.7109375" style="1421" bestFit="1" customWidth="1"/>
    <col min="12298" max="12298" width="9.140625" style="1421"/>
    <col min="12299" max="12299" width="14.7109375" style="1421" bestFit="1" customWidth="1"/>
    <col min="12300" max="12543" width="9.140625" style="1421"/>
    <col min="12544" max="12544" width="7.140625" style="1421" customWidth="1"/>
    <col min="12545" max="12545" width="31.5703125" style="1421" customWidth="1"/>
    <col min="12546" max="12546" width="12.5703125" style="1421" customWidth="1"/>
    <col min="12547" max="12547" width="10.42578125" style="1421" customWidth="1"/>
    <col min="12548" max="12548" width="16.140625" style="1421" customWidth="1"/>
    <col min="12549" max="12549" width="18.42578125" style="1421" customWidth="1"/>
    <col min="12550" max="12550" width="12.28515625" style="1421" bestFit="1" customWidth="1"/>
    <col min="12551" max="12551" width="9.140625" style="1421"/>
    <col min="12552" max="12552" width="19.140625" style="1421" bestFit="1" customWidth="1"/>
    <col min="12553" max="12553" width="15.7109375" style="1421" bestFit="1" customWidth="1"/>
    <col min="12554" max="12554" width="9.140625" style="1421"/>
    <col min="12555" max="12555" width="14.7109375" style="1421" bestFit="1" customWidth="1"/>
    <col min="12556" max="12799" width="9.140625" style="1421"/>
    <col min="12800" max="12800" width="7.140625" style="1421" customWidth="1"/>
    <col min="12801" max="12801" width="31.5703125" style="1421" customWidth="1"/>
    <col min="12802" max="12802" width="12.5703125" style="1421" customWidth="1"/>
    <col min="12803" max="12803" width="10.42578125" style="1421" customWidth="1"/>
    <col min="12804" max="12804" width="16.140625" style="1421" customWidth="1"/>
    <col min="12805" max="12805" width="18.42578125" style="1421" customWidth="1"/>
    <col min="12806" max="12806" width="12.28515625" style="1421" bestFit="1" customWidth="1"/>
    <col min="12807" max="12807" width="9.140625" style="1421"/>
    <col min="12808" max="12808" width="19.140625" style="1421" bestFit="1" customWidth="1"/>
    <col min="12809" max="12809" width="15.7109375" style="1421" bestFit="1" customWidth="1"/>
    <col min="12810" max="12810" width="9.140625" style="1421"/>
    <col min="12811" max="12811" width="14.7109375" style="1421" bestFit="1" customWidth="1"/>
    <col min="12812" max="13055" width="9.140625" style="1421"/>
    <col min="13056" max="13056" width="7.140625" style="1421" customWidth="1"/>
    <col min="13057" max="13057" width="31.5703125" style="1421" customWidth="1"/>
    <col min="13058" max="13058" width="12.5703125" style="1421" customWidth="1"/>
    <col min="13059" max="13059" width="10.42578125" style="1421" customWidth="1"/>
    <col min="13060" max="13060" width="16.140625" style="1421" customWidth="1"/>
    <col min="13061" max="13061" width="18.42578125" style="1421" customWidth="1"/>
    <col min="13062" max="13062" width="12.28515625" style="1421" bestFit="1" customWidth="1"/>
    <col min="13063" max="13063" width="9.140625" style="1421"/>
    <col min="13064" max="13064" width="19.140625" style="1421" bestFit="1" customWidth="1"/>
    <col min="13065" max="13065" width="15.7109375" style="1421" bestFit="1" customWidth="1"/>
    <col min="13066" max="13066" width="9.140625" style="1421"/>
    <col min="13067" max="13067" width="14.7109375" style="1421" bestFit="1" customWidth="1"/>
    <col min="13068" max="13311" width="9.140625" style="1421"/>
    <col min="13312" max="13312" width="7.140625" style="1421" customWidth="1"/>
    <col min="13313" max="13313" width="31.5703125" style="1421" customWidth="1"/>
    <col min="13314" max="13314" width="12.5703125" style="1421" customWidth="1"/>
    <col min="13315" max="13315" width="10.42578125" style="1421" customWidth="1"/>
    <col min="13316" max="13316" width="16.140625" style="1421" customWidth="1"/>
    <col min="13317" max="13317" width="18.42578125" style="1421" customWidth="1"/>
    <col min="13318" max="13318" width="12.28515625" style="1421" bestFit="1" customWidth="1"/>
    <col min="13319" max="13319" width="9.140625" style="1421"/>
    <col min="13320" max="13320" width="19.140625" style="1421" bestFit="1" customWidth="1"/>
    <col min="13321" max="13321" width="15.7109375" style="1421" bestFit="1" customWidth="1"/>
    <col min="13322" max="13322" width="9.140625" style="1421"/>
    <col min="13323" max="13323" width="14.7109375" style="1421" bestFit="1" customWidth="1"/>
    <col min="13324" max="13567" width="9.140625" style="1421"/>
    <col min="13568" max="13568" width="7.140625" style="1421" customWidth="1"/>
    <col min="13569" max="13569" width="31.5703125" style="1421" customWidth="1"/>
    <col min="13570" max="13570" width="12.5703125" style="1421" customWidth="1"/>
    <col min="13571" max="13571" width="10.42578125" style="1421" customWidth="1"/>
    <col min="13572" max="13572" width="16.140625" style="1421" customWidth="1"/>
    <col min="13573" max="13573" width="18.42578125" style="1421" customWidth="1"/>
    <col min="13574" max="13574" width="12.28515625" style="1421" bestFit="1" customWidth="1"/>
    <col min="13575" max="13575" width="9.140625" style="1421"/>
    <col min="13576" max="13576" width="19.140625" style="1421" bestFit="1" customWidth="1"/>
    <col min="13577" max="13577" width="15.7109375" style="1421" bestFit="1" customWidth="1"/>
    <col min="13578" max="13578" width="9.140625" style="1421"/>
    <col min="13579" max="13579" width="14.7109375" style="1421" bestFit="1" customWidth="1"/>
    <col min="13580" max="13823" width="9.140625" style="1421"/>
    <col min="13824" max="13824" width="7.140625" style="1421" customWidth="1"/>
    <col min="13825" max="13825" width="31.5703125" style="1421" customWidth="1"/>
    <col min="13826" max="13826" width="12.5703125" style="1421" customWidth="1"/>
    <col min="13827" max="13827" width="10.42578125" style="1421" customWidth="1"/>
    <col min="13828" max="13828" width="16.140625" style="1421" customWidth="1"/>
    <col min="13829" max="13829" width="18.42578125" style="1421" customWidth="1"/>
    <col min="13830" max="13830" width="12.28515625" style="1421" bestFit="1" customWidth="1"/>
    <col min="13831" max="13831" width="9.140625" style="1421"/>
    <col min="13832" max="13832" width="19.140625" style="1421" bestFit="1" customWidth="1"/>
    <col min="13833" max="13833" width="15.7109375" style="1421" bestFit="1" customWidth="1"/>
    <col min="13834" max="13834" width="9.140625" style="1421"/>
    <col min="13835" max="13835" width="14.7109375" style="1421" bestFit="1" customWidth="1"/>
    <col min="13836" max="14079" width="9.140625" style="1421"/>
    <col min="14080" max="14080" width="7.140625" style="1421" customWidth="1"/>
    <col min="14081" max="14081" width="31.5703125" style="1421" customWidth="1"/>
    <col min="14082" max="14082" width="12.5703125" style="1421" customWidth="1"/>
    <col min="14083" max="14083" width="10.42578125" style="1421" customWidth="1"/>
    <col min="14084" max="14084" width="16.140625" style="1421" customWidth="1"/>
    <col min="14085" max="14085" width="18.42578125" style="1421" customWidth="1"/>
    <col min="14086" max="14086" width="12.28515625" style="1421" bestFit="1" customWidth="1"/>
    <col min="14087" max="14087" width="9.140625" style="1421"/>
    <col min="14088" max="14088" width="19.140625" style="1421" bestFit="1" customWidth="1"/>
    <col min="14089" max="14089" width="15.7109375" style="1421" bestFit="1" customWidth="1"/>
    <col min="14090" max="14090" width="9.140625" style="1421"/>
    <col min="14091" max="14091" width="14.7109375" style="1421" bestFit="1" customWidth="1"/>
    <col min="14092" max="14335" width="9.140625" style="1421"/>
    <col min="14336" max="14336" width="7.140625" style="1421" customWidth="1"/>
    <col min="14337" max="14337" width="31.5703125" style="1421" customWidth="1"/>
    <col min="14338" max="14338" width="12.5703125" style="1421" customWidth="1"/>
    <col min="14339" max="14339" width="10.42578125" style="1421" customWidth="1"/>
    <col min="14340" max="14340" width="16.140625" style="1421" customWidth="1"/>
    <col min="14341" max="14341" width="18.42578125" style="1421" customWidth="1"/>
    <col min="14342" max="14342" width="12.28515625" style="1421" bestFit="1" customWidth="1"/>
    <col min="14343" max="14343" width="9.140625" style="1421"/>
    <col min="14344" max="14344" width="19.140625" style="1421" bestFit="1" customWidth="1"/>
    <col min="14345" max="14345" width="15.7109375" style="1421" bestFit="1" customWidth="1"/>
    <col min="14346" max="14346" width="9.140625" style="1421"/>
    <col min="14347" max="14347" width="14.7109375" style="1421" bestFit="1" customWidth="1"/>
    <col min="14348" max="14591" width="9.140625" style="1421"/>
    <col min="14592" max="14592" width="7.140625" style="1421" customWidth="1"/>
    <col min="14593" max="14593" width="31.5703125" style="1421" customWidth="1"/>
    <col min="14594" max="14594" width="12.5703125" style="1421" customWidth="1"/>
    <col min="14595" max="14595" width="10.42578125" style="1421" customWidth="1"/>
    <col min="14596" max="14596" width="16.140625" style="1421" customWidth="1"/>
    <col min="14597" max="14597" width="18.42578125" style="1421" customWidth="1"/>
    <col min="14598" max="14598" width="12.28515625" style="1421" bestFit="1" customWidth="1"/>
    <col min="14599" max="14599" width="9.140625" style="1421"/>
    <col min="14600" max="14600" width="19.140625" style="1421" bestFit="1" customWidth="1"/>
    <col min="14601" max="14601" width="15.7109375" style="1421" bestFit="1" customWidth="1"/>
    <col min="14602" max="14602" width="9.140625" style="1421"/>
    <col min="14603" max="14603" width="14.7109375" style="1421" bestFit="1" customWidth="1"/>
    <col min="14604" max="14847" width="9.140625" style="1421"/>
    <col min="14848" max="14848" width="7.140625" style="1421" customWidth="1"/>
    <col min="14849" max="14849" width="31.5703125" style="1421" customWidth="1"/>
    <col min="14850" max="14850" width="12.5703125" style="1421" customWidth="1"/>
    <col min="14851" max="14851" width="10.42578125" style="1421" customWidth="1"/>
    <col min="14852" max="14852" width="16.140625" style="1421" customWidth="1"/>
    <col min="14853" max="14853" width="18.42578125" style="1421" customWidth="1"/>
    <col min="14854" max="14854" width="12.28515625" style="1421" bestFit="1" customWidth="1"/>
    <col min="14855" max="14855" width="9.140625" style="1421"/>
    <col min="14856" max="14856" width="19.140625" style="1421" bestFit="1" customWidth="1"/>
    <col min="14857" max="14857" width="15.7109375" style="1421" bestFit="1" customWidth="1"/>
    <col min="14858" max="14858" width="9.140625" style="1421"/>
    <col min="14859" max="14859" width="14.7109375" style="1421" bestFit="1" customWidth="1"/>
    <col min="14860" max="15103" width="9.140625" style="1421"/>
    <col min="15104" max="15104" width="7.140625" style="1421" customWidth="1"/>
    <col min="15105" max="15105" width="31.5703125" style="1421" customWidth="1"/>
    <col min="15106" max="15106" width="12.5703125" style="1421" customWidth="1"/>
    <col min="15107" max="15107" width="10.42578125" style="1421" customWidth="1"/>
    <col min="15108" max="15108" width="16.140625" style="1421" customWidth="1"/>
    <col min="15109" max="15109" width="18.42578125" style="1421" customWidth="1"/>
    <col min="15110" max="15110" width="12.28515625" style="1421" bestFit="1" customWidth="1"/>
    <col min="15111" max="15111" width="9.140625" style="1421"/>
    <col min="15112" max="15112" width="19.140625" style="1421" bestFit="1" customWidth="1"/>
    <col min="15113" max="15113" width="15.7109375" style="1421" bestFit="1" customWidth="1"/>
    <col min="15114" max="15114" width="9.140625" style="1421"/>
    <col min="15115" max="15115" width="14.7109375" style="1421" bestFit="1" customWidth="1"/>
    <col min="15116" max="15359" width="9.140625" style="1421"/>
    <col min="15360" max="15360" width="7.140625" style="1421" customWidth="1"/>
    <col min="15361" max="15361" width="31.5703125" style="1421" customWidth="1"/>
    <col min="15362" max="15362" width="12.5703125" style="1421" customWidth="1"/>
    <col min="15363" max="15363" width="10.42578125" style="1421" customWidth="1"/>
    <col min="15364" max="15364" width="16.140625" style="1421" customWidth="1"/>
    <col min="15365" max="15365" width="18.42578125" style="1421" customWidth="1"/>
    <col min="15366" max="15366" width="12.28515625" style="1421" bestFit="1" customWidth="1"/>
    <col min="15367" max="15367" width="9.140625" style="1421"/>
    <col min="15368" max="15368" width="19.140625" style="1421" bestFit="1" customWidth="1"/>
    <col min="15369" max="15369" width="15.7109375" style="1421" bestFit="1" customWidth="1"/>
    <col min="15370" max="15370" width="9.140625" style="1421"/>
    <col min="15371" max="15371" width="14.7109375" style="1421" bestFit="1" customWidth="1"/>
    <col min="15372" max="15615" width="9.140625" style="1421"/>
    <col min="15616" max="15616" width="7.140625" style="1421" customWidth="1"/>
    <col min="15617" max="15617" width="31.5703125" style="1421" customWidth="1"/>
    <col min="15618" max="15618" width="12.5703125" style="1421" customWidth="1"/>
    <col min="15619" max="15619" width="10.42578125" style="1421" customWidth="1"/>
    <col min="15620" max="15620" width="16.140625" style="1421" customWidth="1"/>
    <col min="15621" max="15621" width="18.42578125" style="1421" customWidth="1"/>
    <col min="15622" max="15622" width="12.28515625" style="1421" bestFit="1" customWidth="1"/>
    <col min="15623" max="15623" width="9.140625" style="1421"/>
    <col min="15624" max="15624" width="19.140625" style="1421" bestFit="1" customWidth="1"/>
    <col min="15625" max="15625" width="15.7109375" style="1421" bestFit="1" customWidth="1"/>
    <col min="15626" max="15626" width="9.140625" style="1421"/>
    <col min="15627" max="15627" width="14.7109375" style="1421" bestFit="1" customWidth="1"/>
    <col min="15628" max="15871" width="9.140625" style="1421"/>
    <col min="15872" max="15872" width="7.140625" style="1421" customWidth="1"/>
    <col min="15873" max="15873" width="31.5703125" style="1421" customWidth="1"/>
    <col min="15874" max="15874" width="12.5703125" style="1421" customWidth="1"/>
    <col min="15875" max="15875" width="10.42578125" style="1421" customWidth="1"/>
    <col min="15876" max="15876" width="16.140625" style="1421" customWidth="1"/>
    <col min="15877" max="15877" width="18.42578125" style="1421" customWidth="1"/>
    <col min="15878" max="15878" width="12.28515625" style="1421" bestFit="1" customWidth="1"/>
    <col min="15879" max="15879" width="9.140625" style="1421"/>
    <col min="15880" max="15880" width="19.140625" style="1421" bestFit="1" customWidth="1"/>
    <col min="15881" max="15881" width="15.7109375" style="1421" bestFit="1" customWidth="1"/>
    <col min="15882" max="15882" width="9.140625" style="1421"/>
    <col min="15883" max="15883" width="14.7109375" style="1421" bestFit="1" customWidth="1"/>
    <col min="15884" max="16127" width="9.140625" style="1421"/>
    <col min="16128" max="16128" width="7.140625" style="1421" customWidth="1"/>
    <col min="16129" max="16129" width="31.5703125" style="1421" customWidth="1"/>
    <col min="16130" max="16130" width="12.5703125" style="1421" customWidth="1"/>
    <col min="16131" max="16131" width="10.42578125" style="1421" customWidth="1"/>
    <col min="16132" max="16132" width="16.140625" style="1421" customWidth="1"/>
    <col min="16133" max="16133" width="18.42578125" style="1421" customWidth="1"/>
    <col min="16134" max="16134" width="12.28515625" style="1421" bestFit="1" customWidth="1"/>
    <col min="16135" max="16135" width="9.140625" style="1421"/>
    <col min="16136" max="16136" width="19.140625" style="1421" bestFit="1" customWidth="1"/>
    <col min="16137" max="16137" width="15.7109375" style="1421" bestFit="1" customWidth="1"/>
    <col min="16138" max="16138" width="9.140625" style="1421"/>
    <col min="16139" max="16139" width="14.7109375" style="1421" bestFit="1" customWidth="1"/>
    <col min="16140" max="16384" width="9.140625" style="1421"/>
  </cols>
  <sheetData>
    <row r="1" spans="1:9">
      <c r="C1" s="1421" t="s">
        <v>2541</v>
      </c>
      <c r="G1" s="1467" t="s">
        <v>1020</v>
      </c>
    </row>
    <row r="4" spans="1:9" ht="33">
      <c r="A4" s="1451" t="s">
        <v>97</v>
      </c>
      <c r="B4" s="1451" t="s">
        <v>2487</v>
      </c>
      <c r="C4" s="1451" t="s">
        <v>235</v>
      </c>
      <c r="D4" s="1451" t="s">
        <v>1055</v>
      </c>
      <c r="E4" s="1451" t="s">
        <v>15</v>
      </c>
      <c r="F4" s="1450" t="s">
        <v>2511</v>
      </c>
      <c r="G4" s="1428"/>
      <c r="I4" s="1425"/>
    </row>
    <row r="5" spans="1:9">
      <c r="A5" s="1439" t="s">
        <v>296</v>
      </c>
      <c r="B5" s="2512" t="s">
        <v>2486</v>
      </c>
      <c r="C5" s="2513"/>
      <c r="D5" s="2513"/>
      <c r="E5" s="2514"/>
      <c r="F5" s="1438">
        <f>SUM(F6:F11)</f>
        <v>310000000</v>
      </c>
      <c r="G5" s="1428"/>
      <c r="I5" s="1425"/>
    </row>
    <row r="6" spans="1:9">
      <c r="A6" s="1464">
        <v>1</v>
      </c>
      <c r="B6" s="1466" t="s">
        <v>2540</v>
      </c>
      <c r="C6" s="1462" t="s">
        <v>248</v>
      </c>
      <c r="D6" s="1465">
        <v>30</v>
      </c>
      <c r="E6" s="1465">
        <v>600000</v>
      </c>
      <c r="F6" s="1445">
        <f t="shared" ref="F6:F11" si="0">D6*E6</f>
        <v>18000000</v>
      </c>
      <c r="G6" s="1428"/>
      <c r="I6" s="1425"/>
    </row>
    <row r="7" spans="1:9">
      <c r="A7" s="1464">
        <v>2</v>
      </c>
      <c r="B7" s="1466" t="s">
        <v>2539</v>
      </c>
      <c r="C7" s="1462" t="s">
        <v>2460</v>
      </c>
      <c r="D7" s="1465">
        <v>30</v>
      </c>
      <c r="E7" s="1465">
        <v>4000000</v>
      </c>
      <c r="F7" s="1445">
        <f t="shared" si="0"/>
        <v>120000000</v>
      </c>
      <c r="G7" s="1428"/>
      <c r="I7" s="1425"/>
    </row>
    <row r="8" spans="1:9">
      <c r="A8" s="1464">
        <v>3</v>
      </c>
      <c r="B8" s="1466" t="s">
        <v>2538</v>
      </c>
      <c r="C8" s="1462" t="s">
        <v>2460</v>
      </c>
      <c r="D8" s="1465">
        <v>30</v>
      </c>
      <c r="E8" s="1465">
        <v>5000000</v>
      </c>
      <c r="F8" s="1445">
        <f t="shared" si="0"/>
        <v>150000000</v>
      </c>
      <c r="G8" s="1428"/>
      <c r="I8" s="1425"/>
    </row>
    <row r="9" spans="1:9">
      <c r="A9" s="1464">
        <v>4</v>
      </c>
      <c r="B9" s="1466" t="s">
        <v>2537</v>
      </c>
      <c r="C9" s="1462" t="s">
        <v>2460</v>
      </c>
      <c r="D9" s="1465">
        <v>30</v>
      </c>
      <c r="E9" s="1465">
        <v>200000</v>
      </c>
      <c r="F9" s="1445">
        <f t="shared" si="0"/>
        <v>6000000</v>
      </c>
      <c r="G9" s="1428"/>
      <c r="I9" s="1425"/>
    </row>
    <row r="10" spans="1:9">
      <c r="A10" s="1464">
        <v>5</v>
      </c>
      <c r="B10" s="1466" t="s">
        <v>2501</v>
      </c>
      <c r="C10" s="1462" t="s">
        <v>909</v>
      </c>
      <c r="D10" s="1465">
        <v>20</v>
      </c>
      <c r="E10" s="1465">
        <v>400000</v>
      </c>
      <c r="F10" s="1445">
        <f t="shared" si="0"/>
        <v>8000000</v>
      </c>
      <c r="G10" s="1428"/>
      <c r="I10" s="1425"/>
    </row>
    <row r="11" spans="1:9">
      <c r="A11" s="1464">
        <v>6</v>
      </c>
      <c r="B11" s="1463" t="s">
        <v>2536</v>
      </c>
      <c r="C11" s="1462" t="s">
        <v>2300</v>
      </c>
      <c r="D11" s="1461">
        <v>20</v>
      </c>
      <c r="E11" s="1460">
        <v>400000</v>
      </c>
      <c r="F11" s="1445">
        <f t="shared" si="0"/>
        <v>8000000</v>
      </c>
      <c r="G11" s="1428"/>
      <c r="I11" s="1425"/>
    </row>
    <row r="12" spans="1:9">
      <c r="A12" s="1439" t="s">
        <v>116</v>
      </c>
      <c r="B12" s="2512" t="s">
        <v>2458</v>
      </c>
      <c r="C12" s="2513"/>
      <c r="D12" s="2513"/>
      <c r="E12" s="2514"/>
      <c r="F12" s="1438">
        <f>SUM(F13:F19)</f>
        <v>84600000</v>
      </c>
      <c r="G12" s="1428"/>
      <c r="I12" s="1425"/>
    </row>
    <row r="13" spans="1:9">
      <c r="A13" s="1443">
        <v>1</v>
      </c>
      <c r="B13" s="1442" t="s">
        <v>2457</v>
      </c>
      <c r="C13" s="1440" t="s">
        <v>2456</v>
      </c>
      <c r="D13" s="1442">
        <v>1</v>
      </c>
      <c r="E13" s="1459">
        <v>24000000</v>
      </c>
      <c r="F13" s="1458">
        <f t="shared" ref="F13:F19" si="1">D13*E13</f>
        <v>24000000</v>
      </c>
      <c r="G13" s="1428"/>
      <c r="I13" s="1425"/>
    </row>
    <row r="14" spans="1:9">
      <c r="A14" s="1443">
        <v>2</v>
      </c>
      <c r="B14" s="1442" t="s">
        <v>2497</v>
      </c>
      <c r="C14" s="1440" t="s">
        <v>2454</v>
      </c>
      <c r="D14" s="1444">
        <v>0.09</v>
      </c>
      <c r="E14" s="1459">
        <v>300000000</v>
      </c>
      <c r="F14" s="1458">
        <f t="shared" si="1"/>
        <v>27000000</v>
      </c>
      <c r="G14" s="1428"/>
      <c r="I14" s="1425"/>
    </row>
    <row r="15" spans="1:9">
      <c r="A15" s="1443">
        <v>3</v>
      </c>
      <c r="B15" s="1442" t="s">
        <v>2452</v>
      </c>
      <c r="C15" s="1440" t="s">
        <v>45</v>
      </c>
      <c r="D15" s="1442">
        <v>1</v>
      </c>
      <c r="E15" s="1459">
        <v>1200000</v>
      </c>
      <c r="F15" s="1458">
        <f t="shared" si="1"/>
        <v>1200000</v>
      </c>
      <c r="G15" s="1428"/>
      <c r="H15" s="1421" t="s">
        <v>2480</v>
      </c>
      <c r="I15" s="1425">
        <f>F20-F14-F15-F17</f>
        <v>360400000</v>
      </c>
    </row>
    <row r="16" spans="1:9">
      <c r="A16" s="1443">
        <v>4</v>
      </c>
      <c r="B16" s="1442" t="s">
        <v>2535</v>
      </c>
      <c r="C16" s="1440" t="s">
        <v>45</v>
      </c>
      <c r="D16" s="1442">
        <v>1</v>
      </c>
      <c r="E16" s="1459">
        <v>24000000</v>
      </c>
      <c r="F16" s="1458">
        <f t="shared" si="1"/>
        <v>24000000</v>
      </c>
      <c r="G16" s="1428"/>
      <c r="I16" s="1425"/>
    </row>
    <row r="17" spans="1:11">
      <c r="A17" s="1443">
        <v>5</v>
      </c>
      <c r="B17" s="1442" t="s">
        <v>2534</v>
      </c>
      <c r="C17" s="1440" t="s">
        <v>45</v>
      </c>
      <c r="D17" s="1442">
        <v>1</v>
      </c>
      <c r="E17" s="1459">
        <v>6000000</v>
      </c>
      <c r="F17" s="1458">
        <f t="shared" si="1"/>
        <v>6000000</v>
      </c>
      <c r="G17" s="1428"/>
      <c r="I17" s="1425"/>
    </row>
    <row r="18" spans="1:11">
      <c r="A18" s="1443">
        <v>6</v>
      </c>
      <c r="B18" s="1442" t="s">
        <v>2496</v>
      </c>
      <c r="C18" s="1440" t="s">
        <v>45</v>
      </c>
      <c r="D18" s="1442">
        <v>1</v>
      </c>
      <c r="E18" s="1459">
        <v>1200000</v>
      </c>
      <c r="F18" s="1458">
        <f t="shared" si="1"/>
        <v>1200000</v>
      </c>
      <c r="G18" s="1428"/>
      <c r="I18" s="1425"/>
    </row>
    <row r="19" spans="1:11">
      <c r="A19" s="1443">
        <v>7</v>
      </c>
      <c r="B19" s="1442" t="s">
        <v>2495</v>
      </c>
      <c r="C19" s="1440" t="s">
        <v>45</v>
      </c>
      <c r="D19" s="1442">
        <v>1</v>
      </c>
      <c r="E19" s="1459">
        <v>1200000</v>
      </c>
      <c r="F19" s="1458">
        <f t="shared" si="1"/>
        <v>1200000</v>
      </c>
      <c r="G19" s="1428"/>
      <c r="H19" s="1421" t="s">
        <v>2021</v>
      </c>
      <c r="I19" s="1425">
        <f>I15-I20</f>
        <v>60400000</v>
      </c>
      <c r="J19" s="1457">
        <f>I19/I15</f>
        <v>0.16759156492785793</v>
      </c>
    </row>
    <row r="20" spans="1:11">
      <c r="A20" s="1439" t="s">
        <v>135</v>
      </c>
      <c r="B20" s="2512" t="s">
        <v>2494</v>
      </c>
      <c r="C20" s="2513"/>
      <c r="D20" s="2513"/>
      <c r="E20" s="2514"/>
      <c r="F20" s="1456">
        <f>F12+F5</f>
        <v>394600000</v>
      </c>
      <c r="G20" s="1428"/>
      <c r="H20" s="1421" t="s">
        <v>2477</v>
      </c>
      <c r="I20" s="1425">
        <f>E14</f>
        <v>300000000</v>
      </c>
    </row>
    <row r="21" spans="1:11">
      <c r="A21" s="2515" t="s">
        <v>2493</v>
      </c>
      <c r="B21" s="2515"/>
      <c r="C21" s="2515"/>
      <c r="D21" s="2515"/>
      <c r="E21" s="2515"/>
      <c r="F21" s="2515"/>
      <c r="G21" s="1428"/>
      <c r="I21" s="1421" t="s">
        <v>2533</v>
      </c>
    </row>
    <row r="22" spans="1:11">
      <c r="A22" s="2511" t="str">
        <f>CONCATENATE("= ",TEXT(F20,"#,###,###,###")," đồng - (",TEXT(F14,"#,###,###,###")," đồng + ",TEXT(F15,"#,###,###,###")," đồng + ",TEXT(F18,"#,###,###,###")," đồng)")</f>
        <v>= 394,600,000 đồng - (27,000,000 đồng + 1,200,000 đồng + 1,200,000 đồng)</v>
      </c>
      <c r="B22" s="2511"/>
      <c r="C22" s="2511"/>
      <c r="D22" s="2511"/>
      <c r="E22" s="2511"/>
      <c r="F22" s="2511"/>
      <c r="G22" s="1428"/>
      <c r="I22" s="1425"/>
    </row>
    <row r="23" spans="1:11">
      <c r="A23" s="2511" t="str">
        <f>CONCATENATE("= ",TEXT(I15,"#,###,###,###")," đồng")</f>
        <v>= 360,400,000 đồng</v>
      </c>
      <c r="B23" s="2511"/>
      <c r="C23" s="2511"/>
      <c r="D23" s="2511"/>
      <c r="E23" s="2511"/>
      <c r="F23" s="2511"/>
      <c r="G23" s="1428"/>
      <c r="I23" s="1425"/>
    </row>
    <row r="24" spans="1:11">
      <c r="A24" s="1436" t="s">
        <v>2447</v>
      </c>
      <c r="D24" s="1425"/>
      <c r="G24" s="1428"/>
      <c r="I24" s="1455">
        <f>I37/I19</f>
        <v>0.65231788079470199</v>
      </c>
      <c r="K24" s="1424"/>
    </row>
    <row r="25" spans="1:11" ht="36.75" customHeight="1">
      <c r="A25" s="2517" t="str">
        <f>CONCATENATE("Doanh thu từ kinh doanh bán đồ nhôm (Xoong, nồi), bếp ga, đồ dùng gia dụng được xác định theo tỷ lệ của giá vốn hàng bán trên cơ sở tính toán của năm thực hiện ước đạt ",I33," % giá vốn :")</f>
        <v>Doanh thu từ kinh doanh bán đồ nhôm (Xoong, nồi), bếp ga, đồ dùng gia dụng được xác định theo tỷ lệ của giá vốn hàng bán trên cơ sở tính toán của năm thực hiện ước đạt 140 % giá vốn :</v>
      </c>
      <c r="B25" s="2517"/>
      <c r="C25" s="2517"/>
      <c r="D25" s="2517"/>
      <c r="E25" s="2517"/>
      <c r="F25" s="2517"/>
      <c r="G25" s="1428"/>
      <c r="I25" s="1454">
        <f>I37/I35</f>
        <v>9.0783410138248852E-2</v>
      </c>
      <c r="K25" s="1424"/>
    </row>
    <row r="26" spans="1:11" ht="16.5" customHeight="1">
      <c r="A26" s="2518" t="str">
        <f>"Doanh thu = Giá vốn x "&amp;I33&amp;" % :"</f>
        <v>Doanh thu = Giá vốn x 140 % :</v>
      </c>
      <c r="B26" s="2518"/>
      <c r="C26" s="2518"/>
      <c r="D26" s="2518"/>
      <c r="E26" s="2518"/>
      <c r="F26" s="2518"/>
      <c r="G26" s="1428"/>
      <c r="I26" s="1425"/>
      <c r="K26" s="1424"/>
    </row>
    <row r="27" spans="1:11" ht="18" customHeight="1">
      <c r="A27" s="2519" t="str">
        <f>CONCATENATE(" = ",TEXT(F5,"#,###,###,###")," đồng  x ",I33," % = ",TEXT(((F5*I33)/100),"#,###,###,###")," đồng" )</f>
        <v xml:space="preserve"> = 310,000,000 đồng  x 140 % = 434,000,000 đồng</v>
      </c>
      <c r="B27" s="2519"/>
      <c r="C27" s="2519"/>
      <c r="D27" s="2519"/>
      <c r="E27" s="2519"/>
      <c r="F27" s="2519"/>
      <c r="G27" s="1428"/>
      <c r="I27" s="1425"/>
    </row>
    <row r="28" spans="1:11" ht="18" customHeight="1">
      <c r="A28" s="2520" t="s">
        <v>2446</v>
      </c>
      <c r="B28" s="2520"/>
      <c r="C28" s="2520"/>
      <c r="D28" s="2520"/>
      <c r="E28" s="2520"/>
      <c r="F28" s="2520"/>
      <c r="G28" s="1428"/>
      <c r="I28" s="1425"/>
    </row>
    <row r="29" spans="1:11" ht="14.25" customHeight="1">
      <c r="A29" s="2521" t="s">
        <v>2532</v>
      </c>
      <c r="B29" s="2521"/>
      <c r="C29" s="2521"/>
      <c r="D29" s="2521"/>
      <c r="E29" s="2521"/>
      <c r="F29" s="2521"/>
      <c r="G29" s="1428"/>
      <c r="I29" s="1425"/>
    </row>
    <row r="30" spans="1:11" ht="16.5" customHeight="1">
      <c r="A30" s="2522" t="str">
        <f>CONCATENATE(" = ",TEXT(I35,"#,###,###,###")," đồng - ",TEXT(F20,"#,###,###,###")," đồng = ",TEXT(I37,"#,###,###,###")," đồng")</f>
        <v xml:space="preserve"> = 434,000,000 đồng - 394,600,000 đồng = 39,400,000 đồng</v>
      </c>
      <c r="B30" s="2522"/>
      <c r="C30" s="2522"/>
      <c r="D30" s="2522"/>
      <c r="E30" s="2522"/>
      <c r="F30" s="2522"/>
      <c r="G30" s="1428"/>
      <c r="I30" s="1425"/>
    </row>
    <row r="31" spans="1:11" ht="19.5" customHeight="1">
      <c r="A31" s="2516" t="s">
        <v>2489</v>
      </c>
      <c r="B31" s="2516"/>
      <c r="C31" s="2516"/>
      <c r="D31" s="2516"/>
      <c r="E31" s="2516"/>
      <c r="F31" s="2516"/>
      <c r="G31" s="1428"/>
      <c r="I31" s="1425"/>
    </row>
    <row r="32" spans="1:11">
      <c r="A32" s="1426"/>
      <c r="D32" s="1425"/>
      <c r="G32" s="1428"/>
      <c r="H32" s="1434"/>
      <c r="I32" s="1433"/>
      <c r="J32" s="1424"/>
    </row>
    <row r="33" spans="1:10" ht="18" customHeight="1">
      <c r="A33" s="1426"/>
      <c r="D33" s="1425"/>
      <c r="G33" s="1428"/>
      <c r="H33" s="1431" t="s">
        <v>2464</v>
      </c>
      <c r="I33" s="1432">
        <v>140</v>
      </c>
      <c r="J33" s="1421" t="s">
        <v>90</v>
      </c>
    </row>
    <row r="34" spans="1:10" ht="16.5" customHeight="1">
      <c r="A34" s="1426"/>
      <c r="D34" s="1425"/>
      <c r="G34" s="1428"/>
      <c r="H34" s="1431" t="s">
        <v>2531</v>
      </c>
      <c r="I34" s="1425">
        <f>F5*I33/100</f>
        <v>434000000</v>
      </c>
      <c r="J34" s="1421" t="s">
        <v>1270</v>
      </c>
    </row>
    <row r="35" spans="1:10" ht="16.5" customHeight="1">
      <c r="A35" s="1426"/>
      <c r="D35" s="1425"/>
      <c r="G35" s="1428"/>
      <c r="H35" s="1431" t="s">
        <v>2459</v>
      </c>
      <c r="I35" s="1425">
        <f>I34</f>
        <v>434000000</v>
      </c>
    </row>
    <row r="36" spans="1:10">
      <c r="A36" s="1426"/>
      <c r="D36" s="1425"/>
      <c r="H36" s="1431" t="s">
        <v>767</v>
      </c>
      <c r="I36" s="1425">
        <f>F20</f>
        <v>394600000</v>
      </c>
      <c r="J36" s="1421" t="s">
        <v>1270</v>
      </c>
    </row>
    <row r="37" spans="1:10">
      <c r="A37" s="1426"/>
      <c r="D37" s="1425"/>
      <c r="H37" s="1430" t="s">
        <v>1988</v>
      </c>
      <c r="I37" s="1429">
        <f>I35-I36</f>
        <v>39400000</v>
      </c>
      <c r="J37" s="1427"/>
    </row>
    <row r="38" spans="1:10">
      <c r="A38" s="1426"/>
      <c r="D38" s="1425"/>
      <c r="H38" s="1425" t="s">
        <v>2453</v>
      </c>
      <c r="I38" s="1427">
        <f>I37/I19</f>
        <v>0.65231788079470199</v>
      </c>
      <c r="J38" s="1453"/>
    </row>
    <row r="39" spans="1:10">
      <c r="A39" s="1426"/>
      <c r="D39" s="1425"/>
      <c r="H39" s="1437" t="s">
        <v>2451</v>
      </c>
      <c r="I39" s="1427">
        <f>I37/I35</f>
        <v>9.0783410138248852E-2</v>
      </c>
    </row>
    <row r="40" spans="1:10">
      <c r="A40" s="1426"/>
      <c r="D40" s="1425"/>
      <c r="H40" s="1425"/>
    </row>
    <row r="41" spans="1:10">
      <c r="A41" s="1426"/>
      <c r="D41" s="1425"/>
      <c r="H41" s="1425"/>
    </row>
    <row r="42" spans="1:10">
      <c r="A42" s="1426"/>
      <c r="D42" s="1425"/>
      <c r="H42" s="1425"/>
    </row>
    <row r="43" spans="1:10">
      <c r="A43" s="1426"/>
      <c r="D43" s="1425"/>
      <c r="H43" s="1425"/>
    </row>
    <row r="44" spans="1:10">
      <c r="A44" s="1426"/>
      <c r="D44" s="1425"/>
      <c r="H44" s="1425"/>
    </row>
    <row r="45" spans="1:10">
      <c r="A45" s="1426"/>
      <c r="D45" s="1425"/>
      <c r="H45" s="1424"/>
    </row>
    <row r="46" spans="1:10">
      <c r="A46" s="1426"/>
      <c r="D46" s="1425"/>
      <c r="G46" s="1423"/>
      <c r="I46" s="1424"/>
    </row>
    <row r="47" spans="1:10">
      <c r="A47" s="1426"/>
      <c r="D47" s="1425"/>
      <c r="G47" s="1423"/>
      <c r="I47" s="1424"/>
    </row>
    <row r="48" spans="1:10">
      <c r="A48" s="1426"/>
      <c r="D48" s="1425"/>
      <c r="G48" s="1423"/>
      <c r="I48" s="1424"/>
    </row>
    <row r="49" spans="7:9">
      <c r="G49" s="1423"/>
      <c r="I49" s="1424"/>
    </row>
    <row r="50" spans="7:9">
      <c r="G50" s="1423"/>
      <c r="I50" s="1424"/>
    </row>
    <row r="51" spans="7:9">
      <c r="G51" s="1423"/>
      <c r="I51" s="1424"/>
    </row>
    <row r="52" spans="7:9">
      <c r="G52" s="1423"/>
      <c r="I52" s="1424"/>
    </row>
    <row r="53" spans="7:9">
      <c r="G53" s="1423"/>
      <c r="I53" s="1424"/>
    </row>
    <row r="54" spans="7:9">
      <c r="G54" s="1423"/>
      <c r="I54" s="1424"/>
    </row>
    <row r="55" spans="7:9">
      <c r="G55" s="1423"/>
      <c r="I55" s="1424"/>
    </row>
    <row r="56" spans="7:9">
      <c r="G56" s="1423"/>
      <c r="I56" s="1424"/>
    </row>
    <row r="57" spans="7:9">
      <c r="G57" s="1423"/>
      <c r="I57" s="1424"/>
    </row>
    <row r="58" spans="7:9">
      <c r="G58" s="1423"/>
      <c r="I58" s="1424"/>
    </row>
    <row r="59" spans="7:9">
      <c r="G59" s="1423"/>
      <c r="I59" s="1424"/>
    </row>
    <row r="60" spans="7:9">
      <c r="G60" s="1423"/>
      <c r="I60" s="1424"/>
    </row>
    <row r="61" spans="7:9">
      <c r="G61" s="1423"/>
      <c r="I61" s="1424"/>
    </row>
    <row r="62" spans="7:9">
      <c r="G62" s="1423"/>
      <c r="I62" s="1424"/>
    </row>
    <row r="63" spans="7:9">
      <c r="G63" s="1423"/>
      <c r="I63" s="1424"/>
    </row>
    <row r="64" spans="7:9">
      <c r="G64" s="1423"/>
      <c r="I64" s="1424"/>
    </row>
    <row r="65" spans="7:9">
      <c r="G65" s="1423"/>
      <c r="I65" s="1424"/>
    </row>
    <row r="66" spans="7:9">
      <c r="I66" s="1424"/>
    </row>
    <row r="71" spans="7:9">
      <c r="G71" s="1422"/>
    </row>
  </sheetData>
  <mergeCells count="13">
    <mergeCell ref="A31:F31"/>
    <mergeCell ref="A25:F25"/>
    <mergeCell ref="A26:F26"/>
    <mergeCell ref="A27:F27"/>
    <mergeCell ref="A28:F28"/>
    <mergeCell ref="A29:F29"/>
    <mergeCell ref="A30:F30"/>
    <mergeCell ref="A23:F23"/>
    <mergeCell ref="B5:E5"/>
    <mergeCell ref="B12:E12"/>
    <mergeCell ref="B20:E20"/>
    <mergeCell ref="A21:F21"/>
    <mergeCell ref="A22:F22"/>
  </mergeCells>
  <printOptions horizontalCentered="1"/>
  <pageMargins left="0.5" right="0.25" top="0.5" bottom="0.75" header="0.5" footer="0.5"/>
  <pageSetup orientation="portrait" useFirstPageNumber="1"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4"/>
  <sheetViews>
    <sheetView workbookViewId="0">
      <selection activeCell="C1" sqref="C1"/>
    </sheetView>
  </sheetViews>
  <sheetFormatPr defaultRowHeight="16.5"/>
  <cols>
    <col min="1" max="1" width="5" style="6" bestFit="1" customWidth="1"/>
    <col min="2" max="2" width="49" style="6" customWidth="1"/>
    <col min="3" max="3" width="28" style="6" bestFit="1" customWidth="1"/>
    <col min="4" max="4" width="26" style="6" customWidth="1"/>
    <col min="5" max="5" width="12.7109375" style="6" bestFit="1" customWidth="1"/>
    <col min="6" max="16384" width="9.140625" style="6"/>
  </cols>
  <sheetData>
    <row r="1" spans="1:7">
      <c r="C1" s="6" t="s">
        <v>519</v>
      </c>
      <c r="G1" s="308" t="s">
        <v>1020</v>
      </c>
    </row>
    <row r="3" spans="1:7" ht="33">
      <c r="A3" s="53" t="s">
        <v>0</v>
      </c>
      <c r="B3" s="53" t="s">
        <v>103</v>
      </c>
      <c r="C3" s="53" t="s">
        <v>269</v>
      </c>
      <c r="D3" s="53" t="s">
        <v>106</v>
      </c>
    </row>
    <row r="4" spans="1:7">
      <c r="A4" s="5" t="s">
        <v>109</v>
      </c>
      <c r="B4" s="31" t="s">
        <v>242</v>
      </c>
      <c r="C4" s="40">
        <f>SUM(C5:C5)</f>
        <v>666000000</v>
      </c>
      <c r="D4" s="40">
        <f>SUM(D5:D5)</f>
        <v>2664000000</v>
      </c>
    </row>
    <row r="5" spans="1:7">
      <c r="A5" s="4" t="s">
        <v>30</v>
      </c>
      <c r="B5" s="34" t="s">
        <v>260</v>
      </c>
      <c r="C5" s="41">
        <f>(C7+C8+C9+C10)*1.2</f>
        <v>666000000</v>
      </c>
      <c r="D5" s="41">
        <f>(D7+D8+D9+D10)*1.2</f>
        <v>2664000000</v>
      </c>
    </row>
    <row r="6" spans="1:7">
      <c r="A6" s="5" t="s">
        <v>116</v>
      </c>
      <c r="B6" s="31" t="s">
        <v>237</v>
      </c>
      <c r="C6" s="40">
        <f>SUM(C7:C15)</f>
        <v>617500000</v>
      </c>
      <c r="D6" s="40">
        <f>SUM(D7:D15)</f>
        <v>2470000000</v>
      </c>
      <c r="E6" s="77"/>
    </row>
    <row r="7" spans="1:7">
      <c r="A7" s="4">
        <v>1</v>
      </c>
      <c r="B7" s="34" t="s">
        <v>270</v>
      </c>
      <c r="C7" s="41">
        <v>100000000</v>
      </c>
      <c r="D7" s="48">
        <f>C7*4</f>
        <v>400000000</v>
      </c>
    </row>
    <row r="8" spans="1:7">
      <c r="A8" s="4">
        <v>2</v>
      </c>
      <c r="B8" s="34" t="s">
        <v>271</v>
      </c>
      <c r="C8" s="41">
        <v>200000000</v>
      </c>
      <c r="D8" s="48">
        <f t="shared" ref="D8:D15" si="0">C8*4</f>
        <v>800000000</v>
      </c>
    </row>
    <row r="9" spans="1:7">
      <c r="A9" s="4">
        <v>3</v>
      </c>
      <c r="B9" s="34" t="s">
        <v>272</v>
      </c>
      <c r="C9" s="41">
        <v>200000000</v>
      </c>
      <c r="D9" s="48">
        <f t="shared" si="0"/>
        <v>800000000</v>
      </c>
    </row>
    <row r="10" spans="1:7">
      <c r="A10" s="4">
        <v>4</v>
      </c>
      <c r="B10" s="34" t="s">
        <v>273</v>
      </c>
      <c r="C10" s="41">
        <v>55000000</v>
      </c>
      <c r="D10" s="48">
        <f t="shared" si="0"/>
        <v>220000000</v>
      </c>
    </row>
    <row r="11" spans="1:7">
      <c r="A11" s="4">
        <v>5</v>
      </c>
      <c r="B11" s="34" t="s">
        <v>274</v>
      </c>
      <c r="C11" s="41">
        <v>35000000</v>
      </c>
      <c r="D11" s="48">
        <f t="shared" si="0"/>
        <v>140000000</v>
      </c>
    </row>
    <row r="12" spans="1:7">
      <c r="A12" s="4">
        <v>6</v>
      </c>
      <c r="B12" s="34" t="s">
        <v>125</v>
      </c>
      <c r="C12" s="41">
        <f>C24*3</f>
        <v>12500000</v>
      </c>
      <c r="D12" s="48">
        <f t="shared" si="0"/>
        <v>50000000</v>
      </c>
    </row>
    <row r="13" spans="1:7">
      <c r="A13" s="4">
        <v>7</v>
      </c>
      <c r="B13" s="34" t="s">
        <v>194</v>
      </c>
      <c r="C13" s="41">
        <v>3000000</v>
      </c>
      <c r="D13" s="48">
        <f t="shared" si="0"/>
        <v>12000000</v>
      </c>
    </row>
    <row r="14" spans="1:7">
      <c r="A14" s="4">
        <v>8</v>
      </c>
      <c r="B14" s="34" t="s">
        <v>275</v>
      </c>
      <c r="C14" s="41">
        <v>9000000</v>
      </c>
      <c r="D14" s="48">
        <f t="shared" si="0"/>
        <v>36000000</v>
      </c>
    </row>
    <row r="15" spans="1:7">
      <c r="A15" s="4">
        <v>9</v>
      </c>
      <c r="B15" s="34" t="s">
        <v>21</v>
      </c>
      <c r="C15" s="41">
        <v>3000000</v>
      </c>
      <c r="D15" s="48">
        <f t="shared" si="0"/>
        <v>12000000</v>
      </c>
    </row>
    <row r="16" spans="1:7">
      <c r="A16" s="5" t="s">
        <v>135</v>
      </c>
      <c r="B16" s="31" t="s">
        <v>220</v>
      </c>
      <c r="C16" s="40">
        <f>C4-C6</f>
        <v>48500000</v>
      </c>
      <c r="D16" s="40">
        <f>D4-D6</f>
        <v>194000000</v>
      </c>
    </row>
    <row r="17" spans="1:4" ht="17.25">
      <c r="A17" s="44" t="s">
        <v>221</v>
      </c>
      <c r="B17" s="9" t="s">
        <v>222</v>
      </c>
      <c r="C17" s="179">
        <f>C16/C4</f>
        <v>7.2822822822822819E-2</v>
      </c>
      <c r="D17" s="179">
        <f>D16/D4</f>
        <v>7.2822822822822819E-2</v>
      </c>
    </row>
    <row r="20" spans="1:4">
      <c r="B20" s="6" t="s">
        <v>27</v>
      </c>
      <c r="C20" s="8">
        <v>400000000</v>
      </c>
      <c r="D20" s="8">
        <f>560000+204975-400000</f>
        <v>364975</v>
      </c>
    </row>
    <row r="21" spans="1:4">
      <c r="B21" s="6" t="s">
        <v>267</v>
      </c>
      <c r="C21" s="77">
        <f>C6-C20</f>
        <v>217500000</v>
      </c>
      <c r="D21" s="6">
        <f>D20/764975</f>
        <v>0.47710709500310466</v>
      </c>
    </row>
    <row r="22" spans="1:4">
      <c r="B22" s="6" t="s">
        <v>268</v>
      </c>
      <c r="C22" s="15">
        <f>C21/C6</f>
        <v>0.35222672064777327</v>
      </c>
    </row>
    <row r="23" spans="1:4">
      <c r="B23" s="6" t="s">
        <v>13</v>
      </c>
      <c r="C23" s="61">
        <v>0.125</v>
      </c>
    </row>
    <row r="24" spans="1:4">
      <c r="B24" s="6" t="s">
        <v>276</v>
      </c>
      <c r="C24" s="8">
        <f>C20*C23/12</f>
        <v>4166666.6666666665</v>
      </c>
    </row>
  </sheetData>
  <pageMargins left="0.75" right="0.75" top="1" bottom="1" header="0.5" footer="0.5"/>
  <pageSetup orientation="portrait" verticalDpi="0"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dimension ref="A1:K25"/>
  <sheetViews>
    <sheetView workbookViewId="0">
      <selection activeCell="C2" sqref="C2"/>
    </sheetView>
  </sheetViews>
  <sheetFormatPr defaultRowHeight="16.5"/>
  <cols>
    <col min="1" max="1" width="5" style="1762" customWidth="1"/>
    <col min="2" max="2" width="41.5703125" style="1763" customWidth="1"/>
    <col min="3" max="3" width="17.85546875" style="1763" bestFit="1" customWidth="1"/>
    <col min="4" max="4" width="7.140625" style="1763" customWidth="1"/>
    <col min="5" max="5" width="4.5703125" style="1763" customWidth="1"/>
    <col min="6" max="6" width="16" style="1763" bestFit="1" customWidth="1"/>
    <col min="7" max="7" width="3.5703125" style="1762" customWidth="1"/>
    <col min="8" max="10" width="9.140625" style="1762"/>
    <col min="11" max="11" width="16.140625" style="1762" bestFit="1" customWidth="1"/>
    <col min="12" max="256" width="9.140625" style="1762"/>
    <col min="257" max="257" width="5" style="1762" customWidth="1"/>
    <col min="258" max="258" width="41.5703125" style="1762" customWidth="1"/>
    <col min="259" max="259" width="17.85546875" style="1762" bestFit="1" customWidth="1"/>
    <col min="260" max="260" width="7.140625" style="1762" customWidth="1"/>
    <col min="261" max="261" width="4.5703125" style="1762" customWidth="1"/>
    <col min="262" max="262" width="16" style="1762" bestFit="1" customWidth="1"/>
    <col min="263" max="263" width="3.5703125" style="1762" customWidth="1"/>
    <col min="264" max="266" width="9.140625" style="1762"/>
    <col min="267" max="267" width="16.140625" style="1762" bestFit="1" customWidth="1"/>
    <col min="268" max="512" width="9.140625" style="1762"/>
    <col min="513" max="513" width="5" style="1762" customWidth="1"/>
    <col min="514" max="514" width="41.5703125" style="1762" customWidth="1"/>
    <col min="515" max="515" width="17.85546875" style="1762" bestFit="1" customWidth="1"/>
    <col min="516" max="516" width="7.140625" style="1762" customWidth="1"/>
    <col min="517" max="517" width="4.5703125" style="1762" customWidth="1"/>
    <col min="518" max="518" width="16" style="1762" bestFit="1" customWidth="1"/>
    <col min="519" max="519" width="3.5703125" style="1762" customWidth="1"/>
    <col min="520" max="522" width="9.140625" style="1762"/>
    <col min="523" max="523" width="16.140625" style="1762" bestFit="1" customWidth="1"/>
    <col min="524" max="768" width="9.140625" style="1762"/>
    <col min="769" max="769" width="5" style="1762" customWidth="1"/>
    <col min="770" max="770" width="41.5703125" style="1762" customWidth="1"/>
    <col min="771" max="771" width="17.85546875" style="1762" bestFit="1" customWidth="1"/>
    <col min="772" max="772" width="7.140625" style="1762" customWidth="1"/>
    <col min="773" max="773" width="4.5703125" style="1762" customWidth="1"/>
    <col min="774" max="774" width="16" style="1762" bestFit="1" customWidth="1"/>
    <col min="775" max="775" width="3.5703125" style="1762" customWidth="1"/>
    <col min="776" max="778" width="9.140625" style="1762"/>
    <col min="779" max="779" width="16.140625" style="1762" bestFit="1" customWidth="1"/>
    <col min="780" max="1024" width="9.140625" style="1762"/>
    <col min="1025" max="1025" width="5" style="1762" customWidth="1"/>
    <col min="1026" max="1026" width="41.5703125" style="1762" customWidth="1"/>
    <col min="1027" max="1027" width="17.85546875" style="1762" bestFit="1" customWidth="1"/>
    <col min="1028" max="1028" width="7.140625" style="1762" customWidth="1"/>
    <col min="1029" max="1029" width="4.5703125" style="1762" customWidth="1"/>
    <col min="1030" max="1030" width="16" style="1762" bestFit="1" customWidth="1"/>
    <col min="1031" max="1031" width="3.5703125" style="1762" customWidth="1"/>
    <col min="1032" max="1034" width="9.140625" style="1762"/>
    <col min="1035" max="1035" width="16.140625" style="1762" bestFit="1" customWidth="1"/>
    <col min="1036" max="1280" width="9.140625" style="1762"/>
    <col min="1281" max="1281" width="5" style="1762" customWidth="1"/>
    <col min="1282" max="1282" width="41.5703125" style="1762" customWidth="1"/>
    <col min="1283" max="1283" width="17.85546875" style="1762" bestFit="1" customWidth="1"/>
    <col min="1284" max="1284" width="7.140625" style="1762" customWidth="1"/>
    <col min="1285" max="1285" width="4.5703125" style="1762" customWidth="1"/>
    <col min="1286" max="1286" width="16" style="1762" bestFit="1" customWidth="1"/>
    <col min="1287" max="1287" width="3.5703125" style="1762" customWidth="1"/>
    <col min="1288" max="1290" width="9.140625" style="1762"/>
    <col min="1291" max="1291" width="16.140625" style="1762" bestFit="1" customWidth="1"/>
    <col min="1292" max="1536" width="9.140625" style="1762"/>
    <col min="1537" max="1537" width="5" style="1762" customWidth="1"/>
    <col min="1538" max="1538" width="41.5703125" style="1762" customWidth="1"/>
    <col min="1539" max="1539" width="17.85546875" style="1762" bestFit="1" customWidth="1"/>
    <col min="1540" max="1540" width="7.140625" style="1762" customWidth="1"/>
    <col min="1541" max="1541" width="4.5703125" style="1762" customWidth="1"/>
    <col min="1542" max="1542" width="16" style="1762" bestFit="1" customWidth="1"/>
    <col min="1543" max="1543" width="3.5703125" style="1762" customWidth="1"/>
    <col min="1544" max="1546" width="9.140625" style="1762"/>
    <col min="1547" max="1547" width="16.140625" style="1762" bestFit="1" customWidth="1"/>
    <col min="1548" max="1792" width="9.140625" style="1762"/>
    <col min="1793" max="1793" width="5" style="1762" customWidth="1"/>
    <col min="1794" max="1794" width="41.5703125" style="1762" customWidth="1"/>
    <col min="1795" max="1795" width="17.85546875" style="1762" bestFit="1" customWidth="1"/>
    <col min="1796" max="1796" width="7.140625" style="1762" customWidth="1"/>
    <col min="1797" max="1797" width="4.5703125" style="1762" customWidth="1"/>
    <col min="1798" max="1798" width="16" style="1762" bestFit="1" customWidth="1"/>
    <col min="1799" max="1799" width="3.5703125" style="1762" customWidth="1"/>
    <col min="1800" max="1802" width="9.140625" style="1762"/>
    <col min="1803" max="1803" width="16.140625" style="1762" bestFit="1" customWidth="1"/>
    <col min="1804" max="2048" width="9.140625" style="1762"/>
    <col min="2049" max="2049" width="5" style="1762" customWidth="1"/>
    <col min="2050" max="2050" width="41.5703125" style="1762" customWidth="1"/>
    <col min="2051" max="2051" width="17.85546875" style="1762" bestFit="1" customWidth="1"/>
    <col min="2052" max="2052" width="7.140625" style="1762" customWidth="1"/>
    <col min="2053" max="2053" width="4.5703125" style="1762" customWidth="1"/>
    <col min="2054" max="2054" width="16" style="1762" bestFit="1" customWidth="1"/>
    <col min="2055" max="2055" width="3.5703125" style="1762" customWidth="1"/>
    <col min="2056" max="2058" width="9.140625" style="1762"/>
    <col min="2059" max="2059" width="16.140625" style="1762" bestFit="1" customWidth="1"/>
    <col min="2060" max="2304" width="9.140625" style="1762"/>
    <col min="2305" max="2305" width="5" style="1762" customWidth="1"/>
    <col min="2306" max="2306" width="41.5703125" style="1762" customWidth="1"/>
    <col min="2307" max="2307" width="17.85546875" style="1762" bestFit="1" customWidth="1"/>
    <col min="2308" max="2308" width="7.140625" style="1762" customWidth="1"/>
    <col min="2309" max="2309" width="4.5703125" style="1762" customWidth="1"/>
    <col min="2310" max="2310" width="16" style="1762" bestFit="1" customWidth="1"/>
    <col min="2311" max="2311" width="3.5703125" style="1762" customWidth="1"/>
    <col min="2312" max="2314" width="9.140625" style="1762"/>
    <col min="2315" max="2315" width="16.140625" style="1762" bestFit="1" customWidth="1"/>
    <col min="2316" max="2560" width="9.140625" style="1762"/>
    <col min="2561" max="2561" width="5" style="1762" customWidth="1"/>
    <col min="2562" max="2562" width="41.5703125" style="1762" customWidth="1"/>
    <col min="2563" max="2563" width="17.85546875" style="1762" bestFit="1" customWidth="1"/>
    <col min="2564" max="2564" width="7.140625" style="1762" customWidth="1"/>
    <col min="2565" max="2565" width="4.5703125" style="1762" customWidth="1"/>
    <col min="2566" max="2566" width="16" style="1762" bestFit="1" customWidth="1"/>
    <col min="2567" max="2567" width="3.5703125" style="1762" customWidth="1"/>
    <col min="2568" max="2570" width="9.140625" style="1762"/>
    <col min="2571" max="2571" width="16.140625" style="1762" bestFit="1" customWidth="1"/>
    <col min="2572" max="2816" width="9.140625" style="1762"/>
    <col min="2817" max="2817" width="5" style="1762" customWidth="1"/>
    <col min="2818" max="2818" width="41.5703125" style="1762" customWidth="1"/>
    <col min="2819" max="2819" width="17.85546875" style="1762" bestFit="1" customWidth="1"/>
    <col min="2820" max="2820" width="7.140625" style="1762" customWidth="1"/>
    <col min="2821" max="2821" width="4.5703125" style="1762" customWidth="1"/>
    <col min="2822" max="2822" width="16" style="1762" bestFit="1" customWidth="1"/>
    <col min="2823" max="2823" width="3.5703125" style="1762" customWidth="1"/>
    <col min="2824" max="2826" width="9.140625" style="1762"/>
    <col min="2827" max="2827" width="16.140625" style="1762" bestFit="1" customWidth="1"/>
    <col min="2828" max="3072" width="9.140625" style="1762"/>
    <col min="3073" max="3073" width="5" style="1762" customWidth="1"/>
    <col min="3074" max="3074" width="41.5703125" style="1762" customWidth="1"/>
    <col min="3075" max="3075" width="17.85546875" style="1762" bestFit="1" customWidth="1"/>
    <col min="3076" max="3076" width="7.140625" style="1762" customWidth="1"/>
    <col min="3077" max="3077" width="4.5703125" style="1762" customWidth="1"/>
    <col min="3078" max="3078" width="16" style="1762" bestFit="1" customWidth="1"/>
    <col min="3079" max="3079" width="3.5703125" style="1762" customWidth="1"/>
    <col min="3080" max="3082" width="9.140625" style="1762"/>
    <col min="3083" max="3083" width="16.140625" style="1762" bestFit="1" customWidth="1"/>
    <col min="3084" max="3328" width="9.140625" style="1762"/>
    <col min="3329" max="3329" width="5" style="1762" customWidth="1"/>
    <col min="3330" max="3330" width="41.5703125" style="1762" customWidth="1"/>
    <col min="3331" max="3331" width="17.85546875" style="1762" bestFit="1" customWidth="1"/>
    <col min="3332" max="3332" width="7.140625" style="1762" customWidth="1"/>
    <col min="3333" max="3333" width="4.5703125" style="1762" customWidth="1"/>
    <col min="3334" max="3334" width="16" style="1762" bestFit="1" customWidth="1"/>
    <col min="3335" max="3335" width="3.5703125" style="1762" customWidth="1"/>
    <col min="3336" max="3338" width="9.140625" style="1762"/>
    <col min="3339" max="3339" width="16.140625" style="1762" bestFit="1" customWidth="1"/>
    <col min="3340" max="3584" width="9.140625" style="1762"/>
    <col min="3585" max="3585" width="5" style="1762" customWidth="1"/>
    <col min="3586" max="3586" width="41.5703125" style="1762" customWidth="1"/>
    <col min="3587" max="3587" width="17.85546875" style="1762" bestFit="1" customWidth="1"/>
    <col min="3588" max="3588" width="7.140625" style="1762" customWidth="1"/>
    <col min="3589" max="3589" width="4.5703125" style="1762" customWidth="1"/>
    <col min="3590" max="3590" width="16" style="1762" bestFit="1" customWidth="1"/>
    <col min="3591" max="3591" width="3.5703125" style="1762" customWidth="1"/>
    <col min="3592" max="3594" width="9.140625" style="1762"/>
    <col min="3595" max="3595" width="16.140625" style="1762" bestFit="1" customWidth="1"/>
    <col min="3596" max="3840" width="9.140625" style="1762"/>
    <col min="3841" max="3841" width="5" style="1762" customWidth="1"/>
    <col min="3842" max="3842" width="41.5703125" style="1762" customWidth="1"/>
    <col min="3843" max="3843" width="17.85546875" style="1762" bestFit="1" customWidth="1"/>
    <col min="3844" max="3844" width="7.140625" style="1762" customWidth="1"/>
    <col min="3845" max="3845" width="4.5703125" style="1762" customWidth="1"/>
    <col min="3846" max="3846" width="16" style="1762" bestFit="1" customWidth="1"/>
    <col min="3847" max="3847" width="3.5703125" style="1762" customWidth="1"/>
    <col min="3848" max="3850" width="9.140625" style="1762"/>
    <col min="3851" max="3851" width="16.140625" style="1762" bestFit="1" customWidth="1"/>
    <col min="3852" max="4096" width="9.140625" style="1762"/>
    <col min="4097" max="4097" width="5" style="1762" customWidth="1"/>
    <col min="4098" max="4098" width="41.5703125" style="1762" customWidth="1"/>
    <col min="4099" max="4099" width="17.85546875" style="1762" bestFit="1" customWidth="1"/>
    <col min="4100" max="4100" width="7.140625" style="1762" customWidth="1"/>
    <col min="4101" max="4101" width="4.5703125" style="1762" customWidth="1"/>
    <col min="4102" max="4102" width="16" style="1762" bestFit="1" customWidth="1"/>
    <col min="4103" max="4103" width="3.5703125" style="1762" customWidth="1"/>
    <col min="4104" max="4106" width="9.140625" style="1762"/>
    <col min="4107" max="4107" width="16.140625" style="1762" bestFit="1" customWidth="1"/>
    <col min="4108" max="4352" width="9.140625" style="1762"/>
    <col min="4353" max="4353" width="5" style="1762" customWidth="1"/>
    <col min="4354" max="4354" width="41.5703125" style="1762" customWidth="1"/>
    <col min="4355" max="4355" width="17.85546875" style="1762" bestFit="1" customWidth="1"/>
    <col min="4356" max="4356" width="7.140625" style="1762" customWidth="1"/>
    <col min="4357" max="4357" width="4.5703125" style="1762" customWidth="1"/>
    <col min="4358" max="4358" width="16" style="1762" bestFit="1" customWidth="1"/>
    <col min="4359" max="4359" width="3.5703125" style="1762" customWidth="1"/>
    <col min="4360" max="4362" width="9.140625" style="1762"/>
    <col min="4363" max="4363" width="16.140625" style="1762" bestFit="1" customWidth="1"/>
    <col min="4364" max="4608" width="9.140625" style="1762"/>
    <col min="4609" max="4609" width="5" style="1762" customWidth="1"/>
    <col min="4610" max="4610" width="41.5703125" style="1762" customWidth="1"/>
    <col min="4611" max="4611" width="17.85546875" style="1762" bestFit="1" customWidth="1"/>
    <col min="4612" max="4612" width="7.140625" style="1762" customWidth="1"/>
    <col min="4613" max="4613" width="4.5703125" style="1762" customWidth="1"/>
    <col min="4614" max="4614" width="16" style="1762" bestFit="1" customWidth="1"/>
    <col min="4615" max="4615" width="3.5703125" style="1762" customWidth="1"/>
    <col min="4616" max="4618" width="9.140625" style="1762"/>
    <col min="4619" max="4619" width="16.140625" style="1762" bestFit="1" customWidth="1"/>
    <col min="4620" max="4864" width="9.140625" style="1762"/>
    <col min="4865" max="4865" width="5" style="1762" customWidth="1"/>
    <col min="4866" max="4866" width="41.5703125" style="1762" customWidth="1"/>
    <col min="4867" max="4867" width="17.85546875" style="1762" bestFit="1" customWidth="1"/>
    <col min="4868" max="4868" width="7.140625" style="1762" customWidth="1"/>
    <col min="4869" max="4869" width="4.5703125" style="1762" customWidth="1"/>
    <col min="4870" max="4870" width="16" style="1762" bestFit="1" customWidth="1"/>
    <col min="4871" max="4871" width="3.5703125" style="1762" customWidth="1"/>
    <col min="4872" max="4874" width="9.140625" style="1762"/>
    <col min="4875" max="4875" width="16.140625" style="1762" bestFit="1" customWidth="1"/>
    <col min="4876" max="5120" width="9.140625" style="1762"/>
    <col min="5121" max="5121" width="5" style="1762" customWidth="1"/>
    <col min="5122" max="5122" width="41.5703125" style="1762" customWidth="1"/>
    <col min="5123" max="5123" width="17.85546875" style="1762" bestFit="1" customWidth="1"/>
    <col min="5124" max="5124" width="7.140625" style="1762" customWidth="1"/>
    <col min="5125" max="5125" width="4.5703125" style="1762" customWidth="1"/>
    <col min="5126" max="5126" width="16" style="1762" bestFit="1" customWidth="1"/>
    <col min="5127" max="5127" width="3.5703125" style="1762" customWidth="1"/>
    <col min="5128" max="5130" width="9.140625" style="1762"/>
    <col min="5131" max="5131" width="16.140625" style="1762" bestFit="1" customWidth="1"/>
    <col min="5132" max="5376" width="9.140625" style="1762"/>
    <col min="5377" max="5377" width="5" style="1762" customWidth="1"/>
    <col min="5378" max="5378" width="41.5703125" style="1762" customWidth="1"/>
    <col min="5379" max="5379" width="17.85546875" style="1762" bestFit="1" customWidth="1"/>
    <col min="5380" max="5380" width="7.140625" style="1762" customWidth="1"/>
    <col min="5381" max="5381" width="4.5703125" style="1762" customWidth="1"/>
    <col min="5382" max="5382" width="16" style="1762" bestFit="1" customWidth="1"/>
    <col min="5383" max="5383" width="3.5703125" style="1762" customWidth="1"/>
    <col min="5384" max="5386" width="9.140625" style="1762"/>
    <col min="5387" max="5387" width="16.140625" style="1762" bestFit="1" customWidth="1"/>
    <col min="5388" max="5632" width="9.140625" style="1762"/>
    <col min="5633" max="5633" width="5" style="1762" customWidth="1"/>
    <col min="5634" max="5634" width="41.5703125" style="1762" customWidth="1"/>
    <col min="5635" max="5635" width="17.85546875" style="1762" bestFit="1" customWidth="1"/>
    <col min="5636" max="5636" width="7.140625" style="1762" customWidth="1"/>
    <col min="5637" max="5637" width="4.5703125" style="1762" customWidth="1"/>
    <col min="5638" max="5638" width="16" style="1762" bestFit="1" customWidth="1"/>
    <col min="5639" max="5639" width="3.5703125" style="1762" customWidth="1"/>
    <col min="5640" max="5642" width="9.140625" style="1762"/>
    <col min="5643" max="5643" width="16.140625" style="1762" bestFit="1" customWidth="1"/>
    <col min="5644" max="5888" width="9.140625" style="1762"/>
    <col min="5889" max="5889" width="5" style="1762" customWidth="1"/>
    <col min="5890" max="5890" width="41.5703125" style="1762" customWidth="1"/>
    <col min="5891" max="5891" width="17.85546875" style="1762" bestFit="1" customWidth="1"/>
    <col min="5892" max="5892" width="7.140625" style="1762" customWidth="1"/>
    <col min="5893" max="5893" width="4.5703125" style="1762" customWidth="1"/>
    <col min="5894" max="5894" width="16" style="1762" bestFit="1" customWidth="1"/>
    <col min="5895" max="5895" width="3.5703125" style="1762" customWidth="1"/>
    <col min="5896" max="5898" width="9.140625" style="1762"/>
    <col min="5899" max="5899" width="16.140625" style="1762" bestFit="1" customWidth="1"/>
    <col min="5900" max="6144" width="9.140625" style="1762"/>
    <col min="6145" max="6145" width="5" style="1762" customWidth="1"/>
    <col min="6146" max="6146" width="41.5703125" style="1762" customWidth="1"/>
    <col min="6147" max="6147" width="17.85546875" style="1762" bestFit="1" customWidth="1"/>
    <col min="6148" max="6148" width="7.140625" style="1762" customWidth="1"/>
    <col min="6149" max="6149" width="4.5703125" style="1762" customWidth="1"/>
    <col min="6150" max="6150" width="16" style="1762" bestFit="1" customWidth="1"/>
    <col min="6151" max="6151" width="3.5703125" style="1762" customWidth="1"/>
    <col min="6152" max="6154" width="9.140625" style="1762"/>
    <col min="6155" max="6155" width="16.140625" style="1762" bestFit="1" customWidth="1"/>
    <col min="6156" max="6400" width="9.140625" style="1762"/>
    <col min="6401" max="6401" width="5" style="1762" customWidth="1"/>
    <col min="6402" max="6402" width="41.5703125" style="1762" customWidth="1"/>
    <col min="6403" max="6403" width="17.85546875" style="1762" bestFit="1" customWidth="1"/>
    <col min="6404" max="6404" width="7.140625" style="1762" customWidth="1"/>
    <col min="6405" max="6405" width="4.5703125" style="1762" customWidth="1"/>
    <col min="6406" max="6406" width="16" style="1762" bestFit="1" customWidth="1"/>
    <col min="6407" max="6407" width="3.5703125" style="1762" customWidth="1"/>
    <col min="6408" max="6410" width="9.140625" style="1762"/>
    <col min="6411" max="6411" width="16.140625" style="1762" bestFit="1" customWidth="1"/>
    <col min="6412" max="6656" width="9.140625" style="1762"/>
    <col min="6657" max="6657" width="5" style="1762" customWidth="1"/>
    <col min="6658" max="6658" width="41.5703125" style="1762" customWidth="1"/>
    <col min="6659" max="6659" width="17.85546875" style="1762" bestFit="1" customWidth="1"/>
    <col min="6660" max="6660" width="7.140625" style="1762" customWidth="1"/>
    <col min="6661" max="6661" width="4.5703125" style="1762" customWidth="1"/>
    <col min="6662" max="6662" width="16" style="1762" bestFit="1" customWidth="1"/>
    <col min="6663" max="6663" width="3.5703125" style="1762" customWidth="1"/>
    <col min="6664" max="6666" width="9.140625" style="1762"/>
    <col min="6667" max="6667" width="16.140625" style="1762" bestFit="1" customWidth="1"/>
    <col min="6668" max="6912" width="9.140625" style="1762"/>
    <col min="6913" max="6913" width="5" style="1762" customWidth="1"/>
    <col min="6914" max="6914" width="41.5703125" style="1762" customWidth="1"/>
    <col min="6915" max="6915" width="17.85546875" style="1762" bestFit="1" customWidth="1"/>
    <col min="6916" max="6916" width="7.140625" style="1762" customWidth="1"/>
    <col min="6917" max="6917" width="4.5703125" style="1762" customWidth="1"/>
    <col min="6918" max="6918" width="16" style="1762" bestFit="1" customWidth="1"/>
    <col min="6919" max="6919" width="3.5703125" style="1762" customWidth="1"/>
    <col min="6920" max="6922" width="9.140625" style="1762"/>
    <col min="6923" max="6923" width="16.140625" style="1762" bestFit="1" customWidth="1"/>
    <col min="6924" max="7168" width="9.140625" style="1762"/>
    <col min="7169" max="7169" width="5" style="1762" customWidth="1"/>
    <col min="7170" max="7170" width="41.5703125" style="1762" customWidth="1"/>
    <col min="7171" max="7171" width="17.85546875" style="1762" bestFit="1" customWidth="1"/>
    <col min="7172" max="7172" width="7.140625" style="1762" customWidth="1"/>
    <col min="7173" max="7173" width="4.5703125" style="1762" customWidth="1"/>
    <col min="7174" max="7174" width="16" style="1762" bestFit="1" customWidth="1"/>
    <col min="7175" max="7175" width="3.5703125" style="1762" customWidth="1"/>
    <col min="7176" max="7178" width="9.140625" style="1762"/>
    <col min="7179" max="7179" width="16.140625" style="1762" bestFit="1" customWidth="1"/>
    <col min="7180" max="7424" width="9.140625" style="1762"/>
    <col min="7425" max="7425" width="5" style="1762" customWidth="1"/>
    <col min="7426" max="7426" width="41.5703125" style="1762" customWidth="1"/>
    <col min="7427" max="7427" width="17.85546875" style="1762" bestFit="1" customWidth="1"/>
    <col min="7428" max="7428" width="7.140625" style="1762" customWidth="1"/>
    <col min="7429" max="7429" width="4.5703125" style="1762" customWidth="1"/>
    <col min="7430" max="7430" width="16" style="1762" bestFit="1" customWidth="1"/>
    <col min="7431" max="7431" width="3.5703125" style="1762" customWidth="1"/>
    <col min="7432" max="7434" width="9.140625" style="1762"/>
    <col min="7435" max="7435" width="16.140625" style="1762" bestFit="1" customWidth="1"/>
    <col min="7436" max="7680" width="9.140625" style="1762"/>
    <col min="7681" max="7681" width="5" style="1762" customWidth="1"/>
    <col min="7682" max="7682" width="41.5703125" style="1762" customWidth="1"/>
    <col min="7683" max="7683" width="17.85546875" style="1762" bestFit="1" customWidth="1"/>
    <col min="7684" max="7684" width="7.140625" style="1762" customWidth="1"/>
    <col min="7685" max="7685" width="4.5703125" style="1762" customWidth="1"/>
    <col min="7686" max="7686" width="16" style="1762" bestFit="1" customWidth="1"/>
    <col min="7687" max="7687" width="3.5703125" style="1762" customWidth="1"/>
    <col min="7688" max="7690" width="9.140625" style="1762"/>
    <col min="7691" max="7691" width="16.140625" style="1762" bestFit="1" customWidth="1"/>
    <col min="7692" max="7936" width="9.140625" style="1762"/>
    <col min="7937" max="7937" width="5" style="1762" customWidth="1"/>
    <col min="7938" max="7938" width="41.5703125" style="1762" customWidth="1"/>
    <col min="7939" max="7939" width="17.85546875" style="1762" bestFit="1" customWidth="1"/>
    <col min="7940" max="7940" width="7.140625" style="1762" customWidth="1"/>
    <col min="7941" max="7941" width="4.5703125" style="1762" customWidth="1"/>
    <col min="7942" max="7942" width="16" style="1762" bestFit="1" customWidth="1"/>
    <col min="7943" max="7943" width="3.5703125" style="1762" customWidth="1"/>
    <col min="7944" max="7946" width="9.140625" style="1762"/>
    <col min="7947" max="7947" width="16.140625" style="1762" bestFit="1" customWidth="1"/>
    <col min="7948" max="8192" width="9.140625" style="1762"/>
    <col min="8193" max="8193" width="5" style="1762" customWidth="1"/>
    <col min="8194" max="8194" width="41.5703125" style="1762" customWidth="1"/>
    <col min="8195" max="8195" width="17.85546875" style="1762" bestFit="1" customWidth="1"/>
    <col min="8196" max="8196" width="7.140625" style="1762" customWidth="1"/>
    <col min="8197" max="8197" width="4.5703125" style="1762" customWidth="1"/>
    <col min="8198" max="8198" width="16" style="1762" bestFit="1" customWidth="1"/>
    <col min="8199" max="8199" width="3.5703125" style="1762" customWidth="1"/>
    <col min="8200" max="8202" width="9.140625" style="1762"/>
    <col min="8203" max="8203" width="16.140625" style="1762" bestFit="1" customWidth="1"/>
    <col min="8204" max="8448" width="9.140625" style="1762"/>
    <col min="8449" max="8449" width="5" style="1762" customWidth="1"/>
    <col min="8450" max="8450" width="41.5703125" style="1762" customWidth="1"/>
    <col min="8451" max="8451" width="17.85546875" style="1762" bestFit="1" customWidth="1"/>
    <col min="8452" max="8452" width="7.140625" style="1762" customWidth="1"/>
    <col min="8453" max="8453" width="4.5703125" style="1762" customWidth="1"/>
    <col min="8454" max="8454" width="16" style="1762" bestFit="1" customWidth="1"/>
    <col min="8455" max="8455" width="3.5703125" style="1762" customWidth="1"/>
    <col min="8456" max="8458" width="9.140625" style="1762"/>
    <col min="8459" max="8459" width="16.140625" style="1762" bestFit="1" customWidth="1"/>
    <col min="8460" max="8704" width="9.140625" style="1762"/>
    <col min="8705" max="8705" width="5" style="1762" customWidth="1"/>
    <col min="8706" max="8706" width="41.5703125" style="1762" customWidth="1"/>
    <col min="8707" max="8707" width="17.85546875" style="1762" bestFit="1" customWidth="1"/>
    <col min="8708" max="8708" width="7.140625" style="1762" customWidth="1"/>
    <col min="8709" max="8709" width="4.5703125" style="1762" customWidth="1"/>
    <col min="8710" max="8710" width="16" style="1762" bestFit="1" customWidth="1"/>
    <col min="8711" max="8711" width="3.5703125" style="1762" customWidth="1"/>
    <col min="8712" max="8714" width="9.140625" style="1762"/>
    <col min="8715" max="8715" width="16.140625" style="1762" bestFit="1" customWidth="1"/>
    <col min="8716" max="8960" width="9.140625" style="1762"/>
    <col min="8961" max="8961" width="5" style="1762" customWidth="1"/>
    <col min="8962" max="8962" width="41.5703125" style="1762" customWidth="1"/>
    <col min="8963" max="8963" width="17.85546875" style="1762" bestFit="1" customWidth="1"/>
    <col min="8964" max="8964" width="7.140625" style="1762" customWidth="1"/>
    <col min="8965" max="8965" width="4.5703125" style="1762" customWidth="1"/>
    <col min="8966" max="8966" width="16" style="1762" bestFit="1" customWidth="1"/>
    <col min="8967" max="8967" width="3.5703125" style="1762" customWidth="1"/>
    <col min="8968" max="8970" width="9.140625" style="1762"/>
    <col min="8971" max="8971" width="16.140625" style="1762" bestFit="1" customWidth="1"/>
    <col min="8972" max="9216" width="9.140625" style="1762"/>
    <col min="9217" max="9217" width="5" style="1762" customWidth="1"/>
    <col min="9218" max="9218" width="41.5703125" style="1762" customWidth="1"/>
    <col min="9219" max="9219" width="17.85546875" style="1762" bestFit="1" customWidth="1"/>
    <col min="9220" max="9220" width="7.140625" style="1762" customWidth="1"/>
    <col min="9221" max="9221" width="4.5703125" style="1762" customWidth="1"/>
    <col min="9222" max="9222" width="16" style="1762" bestFit="1" customWidth="1"/>
    <col min="9223" max="9223" width="3.5703125" style="1762" customWidth="1"/>
    <col min="9224" max="9226" width="9.140625" style="1762"/>
    <col min="9227" max="9227" width="16.140625" style="1762" bestFit="1" customWidth="1"/>
    <col min="9228" max="9472" width="9.140625" style="1762"/>
    <col min="9473" max="9473" width="5" style="1762" customWidth="1"/>
    <col min="9474" max="9474" width="41.5703125" style="1762" customWidth="1"/>
    <col min="9475" max="9475" width="17.85546875" style="1762" bestFit="1" customWidth="1"/>
    <col min="9476" max="9476" width="7.140625" style="1762" customWidth="1"/>
    <col min="9477" max="9477" width="4.5703125" style="1762" customWidth="1"/>
    <col min="9478" max="9478" width="16" style="1762" bestFit="1" customWidth="1"/>
    <col min="9479" max="9479" width="3.5703125" style="1762" customWidth="1"/>
    <col min="9480" max="9482" width="9.140625" style="1762"/>
    <col min="9483" max="9483" width="16.140625" style="1762" bestFit="1" customWidth="1"/>
    <col min="9484" max="9728" width="9.140625" style="1762"/>
    <col min="9729" max="9729" width="5" style="1762" customWidth="1"/>
    <col min="9730" max="9730" width="41.5703125" style="1762" customWidth="1"/>
    <col min="9731" max="9731" width="17.85546875" style="1762" bestFit="1" customWidth="1"/>
    <col min="9732" max="9732" width="7.140625" style="1762" customWidth="1"/>
    <col min="9733" max="9733" width="4.5703125" style="1762" customWidth="1"/>
    <col min="9734" max="9734" width="16" style="1762" bestFit="1" customWidth="1"/>
    <col min="9735" max="9735" width="3.5703125" style="1762" customWidth="1"/>
    <col min="9736" max="9738" width="9.140625" style="1762"/>
    <col min="9739" max="9739" width="16.140625" style="1762" bestFit="1" customWidth="1"/>
    <col min="9740" max="9984" width="9.140625" style="1762"/>
    <col min="9985" max="9985" width="5" style="1762" customWidth="1"/>
    <col min="9986" max="9986" width="41.5703125" style="1762" customWidth="1"/>
    <col min="9987" max="9987" width="17.85546875" style="1762" bestFit="1" customWidth="1"/>
    <col min="9988" max="9988" width="7.140625" style="1762" customWidth="1"/>
    <col min="9989" max="9989" width="4.5703125" style="1762" customWidth="1"/>
    <col min="9990" max="9990" width="16" style="1762" bestFit="1" customWidth="1"/>
    <col min="9991" max="9991" width="3.5703125" style="1762" customWidth="1"/>
    <col min="9992" max="9994" width="9.140625" style="1762"/>
    <col min="9995" max="9995" width="16.140625" style="1762" bestFit="1" customWidth="1"/>
    <col min="9996" max="10240" width="9.140625" style="1762"/>
    <col min="10241" max="10241" width="5" style="1762" customWidth="1"/>
    <col min="10242" max="10242" width="41.5703125" style="1762" customWidth="1"/>
    <col min="10243" max="10243" width="17.85546875" style="1762" bestFit="1" customWidth="1"/>
    <col min="10244" max="10244" width="7.140625" style="1762" customWidth="1"/>
    <col min="10245" max="10245" width="4.5703125" style="1762" customWidth="1"/>
    <col min="10246" max="10246" width="16" style="1762" bestFit="1" customWidth="1"/>
    <col min="10247" max="10247" width="3.5703125" style="1762" customWidth="1"/>
    <col min="10248" max="10250" width="9.140625" style="1762"/>
    <col min="10251" max="10251" width="16.140625" style="1762" bestFit="1" customWidth="1"/>
    <col min="10252" max="10496" width="9.140625" style="1762"/>
    <col min="10497" max="10497" width="5" style="1762" customWidth="1"/>
    <col min="10498" max="10498" width="41.5703125" style="1762" customWidth="1"/>
    <col min="10499" max="10499" width="17.85546875" style="1762" bestFit="1" customWidth="1"/>
    <col min="10500" max="10500" width="7.140625" style="1762" customWidth="1"/>
    <col min="10501" max="10501" width="4.5703125" style="1762" customWidth="1"/>
    <col min="10502" max="10502" width="16" style="1762" bestFit="1" customWidth="1"/>
    <col min="10503" max="10503" width="3.5703125" style="1762" customWidth="1"/>
    <col min="10504" max="10506" width="9.140625" style="1762"/>
    <col min="10507" max="10507" width="16.140625" style="1762" bestFit="1" customWidth="1"/>
    <col min="10508" max="10752" width="9.140625" style="1762"/>
    <col min="10753" max="10753" width="5" style="1762" customWidth="1"/>
    <col min="10754" max="10754" width="41.5703125" style="1762" customWidth="1"/>
    <col min="10755" max="10755" width="17.85546875" style="1762" bestFit="1" customWidth="1"/>
    <col min="10756" max="10756" width="7.140625" style="1762" customWidth="1"/>
    <col min="10757" max="10757" width="4.5703125" style="1762" customWidth="1"/>
    <col min="10758" max="10758" width="16" style="1762" bestFit="1" customWidth="1"/>
    <col min="10759" max="10759" width="3.5703125" style="1762" customWidth="1"/>
    <col min="10760" max="10762" width="9.140625" style="1762"/>
    <col min="10763" max="10763" width="16.140625" style="1762" bestFit="1" customWidth="1"/>
    <col min="10764" max="11008" width="9.140625" style="1762"/>
    <col min="11009" max="11009" width="5" style="1762" customWidth="1"/>
    <col min="11010" max="11010" width="41.5703125" style="1762" customWidth="1"/>
    <col min="11011" max="11011" width="17.85546875" style="1762" bestFit="1" customWidth="1"/>
    <col min="11012" max="11012" width="7.140625" style="1762" customWidth="1"/>
    <col min="11013" max="11013" width="4.5703125" style="1762" customWidth="1"/>
    <col min="11014" max="11014" width="16" style="1762" bestFit="1" customWidth="1"/>
    <col min="11015" max="11015" width="3.5703125" style="1762" customWidth="1"/>
    <col min="11016" max="11018" width="9.140625" style="1762"/>
    <col min="11019" max="11019" width="16.140625" style="1762" bestFit="1" customWidth="1"/>
    <col min="11020" max="11264" width="9.140625" style="1762"/>
    <col min="11265" max="11265" width="5" style="1762" customWidth="1"/>
    <col min="11266" max="11266" width="41.5703125" style="1762" customWidth="1"/>
    <col min="11267" max="11267" width="17.85546875" style="1762" bestFit="1" customWidth="1"/>
    <col min="11268" max="11268" width="7.140625" style="1762" customWidth="1"/>
    <col min="11269" max="11269" width="4.5703125" style="1762" customWidth="1"/>
    <col min="11270" max="11270" width="16" style="1762" bestFit="1" customWidth="1"/>
    <col min="11271" max="11271" width="3.5703125" style="1762" customWidth="1"/>
    <col min="11272" max="11274" width="9.140625" style="1762"/>
    <col min="11275" max="11275" width="16.140625" style="1762" bestFit="1" customWidth="1"/>
    <col min="11276" max="11520" width="9.140625" style="1762"/>
    <col min="11521" max="11521" width="5" style="1762" customWidth="1"/>
    <col min="11522" max="11522" width="41.5703125" style="1762" customWidth="1"/>
    <col min="11523" max="11523" width="17.85546875" style="1762" bestFit="1" customWidth="1"/>
    <col min="11524" max="11524" width="7.140625" style="1762" customWidth="1"/>
    <col min="11525" max="11525" width="4.5703125" style="1762" customWidth="1"/>
    <col min="11526" max="11526" width="16" style="1762" bestFit="1" customWidth="1"/>
    <col min="11527" max="11527" width="3.5703125" style="1762" customWidth="1"/>
    <col min="11528" max="11530" width="9.140625" style="1762"/>
    <col min="11531" max="11531" width="16.140625" style="1762" bestFit="1" customWidth="1"/>
    <col min="11532" max="11776" width="9.140625" style="1762"/>
    <col min="11777" max="11777" width="5" style="1762" customWidth="1"/>
    <col min="11778" max="11778" width="41.5703125" style="1762" customWidth="1"/>
    <col min="11779" max="11779" width="17.85546875" style="1762" bestFit="1" customWidth="1"/>
    <col min="11780" max="11780" width="7.140625" style="1762" customWidth="1"/>
    <col min="11781" max="11781" width="4.5703125" style="1762" customWidth="1"/>
    <col min="11782" max="11782" width="16" style="1762" bestFit="1" customWidth="1"/>
    <col min="11783" max="11783" width="3.5703125" style="1762" customWidth="1"/>
    <col min="11784" max="11786" width="9.140625" style="1762"/>
    <col min="11787" max="11787" width="16.140625" style="1762" bestFit="1" customWidth="1"/>
    <col min="11788" max="12032" width="9.140625" style="1762"/>
    <col min="12033" max="12033" width="5" style="1762" customWidth="1"/>
    <col min="12034" max="12034" width="41.5703125" style="1762" customWidth="1"/>
    <col min="12035" max="12035" width="17.85546875" style="1762" bestFit="1" customWidth="1"/>
    <col min="12036" max="12036" width="7.140625" style="1762" customWidth="1"/>
    <col min="12037" max="12037" width="4.5703125" style="1762" customWidth="1"/>
    <col min="12038" max="12038" width="16" style="1762" bestFit="1" customWidth="1"/>
    <col min="12039" max="12039" width="3.5703125" style="1762" customWidth="1"/>
    <col min="12040" max="12042" width="9.140625" style="1762"/>
    <col min="12043" max="12043" width="16.140625" style="1762" bestFit="1" customWidth="1"/>
    <col min="12044" max="12288" width="9.140625" style="1762"/>
    <col min="12289" max="12289" width="5" style="1762" customWidth="1"/>
    <col min="12290" max="12290" width="41.5703125" style="1762" customWidth="1"/>
    <col min="12291" max="12291" width="17.85546875" style="1762" bestFit="1" customWidth="1"/>
    <col min="12292" max="12292" width="7.140625" style="1762" customWidth="1"/>
    <col min="12293" max="12293" width="4.5703125" style="1762" customWidth="1"/>
    <col min="12294" max="12294" width="16" style="1762" bestFit="1" customWidth="1"/>
    <col min="12295" max="12295" width="3.5703125" style="1762" customWidth="1"/>
    <col min="12296" max="12298" width="9.140625" style="1762"/>
    <col min="12299" max="12299" width="16.140625" style="1762" bestFit="1" customWidth="1"/>
    <col min="12300" max="12544" width="9.140625" style="1762"/>
    <col min="12545" max="12545" width="5" style="1762" customWidth="1"/>
    <col min="12546" max="12546" width="41.5703125" style="1762" customWidth="1"/>
    <col min="12547" max="12547" width="17.85546875" style="1762" bestFit="1" customWidth="1"/>
    <col min="12548" max="12548" width="7.140625" style="1762" customWidth="1"/>
    <col min="12549" max="12549" width="4.5703125" style="1762" customWidth="1"/>
    <col min="12550" max="12550" width="16" style="1762" bestFit="1" customWidth="1"/>
    <col min="12551" max="12551" width="3.5703125" style="1762" customWidth="1"/>
    <col min="12552" max="12554" width="9.140625" style="1762"/>
    <col min="12555" max="12555" width="16.140625" style="1762" bestFit="1" customWidth="1"/>
    <col min="12556" max="12800" width="9.140625" style="1762"/>
    <col min="12801" max="12801" width="5" style="1762" customWidth="1"/>
    <col min="12802" max="12802" width="41.5703125" style="1762" customWidth="1"/>
    <col min="12803" max="12803" width="17.85546875" style="1762" bestFit="1" customWidth="1"/>
    <col min="12804" max="12804" width="7.140625" style="1762" customWidth="1"/>
    <col min="12805" max="12805" width="4.5703125" style="1762" customWidth="1"/>
    <col min="12806" max="12806" width="16" style="1762" bestFit="1" customWidth="1"/>
    <col min="12807" max="12807" width="3.5703125" style="1762" customWidth="1"/>
    <col min="12808" max="12810" width="9.140625" style="1762"/>
    <col min="12811" max="12811" width="16.140625" style="1762" bestFit="1" customWidth="1"/>
    <col min="12812" max="13056" width="9.140625" style="1762"/>
    <col min="13057" max="13057" width="5" style="1762" customWidth="1"/>
    <col min="13058" max="13058" width="41.5703125" style="1762" customWidth="1"/>
    <col min="13059" max="13059" width="17.85546875" style="1762" bestFit="1" customWidth="1"/>
    <col min="13060" max="13060" width="7.140625" style="1762" customWidth="1"/>
    <col min="13061" max="13061" width="4.5703125" style="1762" customWidth="1"/>
    <col min="13062" max="13062" width="16" style="1762" bestFit="1" customWidth="1"/>
    <col min="13063" max="13063" width="3.5703125" style="1762" customWidth="1"/>
    <col min="13064" max="13066" width="9.140625" style="1762"/>
    <col min="13067" max="13067" width="16.140625" style="1762" bestFit="1" customWidth="1"/>
    <col min="13068" max="13312" width="9.140625" style="1762"/>
    <col min="13313" max="13313" width="5" style="1762" customWidth="1"/>
    <col min="13314" max="13314" width="41.5703125" style="1762" customWidth="1"/>
    <col min="13315" max="13315" width="17.85546875" style="1762" bestFit="1" customWidth="1"/>
    <col min="13316" max="13316" width="7.140625" style="1762" customWidth="1"/>
    <col min="13317" max="13317" width="4.5703125" style="1762" customWidth="1"/>
    <col min="13318" max="13318" width="16" style="1762" bestFit="1" customWidth="1"/>
    <col min="13319" max="13319" width="3.5703125" style="1762" customWidth="1"/>
    <col min="13320" max="13322" width="9.140625" style="1762"/>
    <col min="13323" max="13323" width="16.140625" style="1762" bestFit="1" customWidth="1"/>
    <col min="13324" max="13568" width="9.140625" style="1762"/>
    <col min="13569" max="13569" width="5" style="1762" customWidth="1"/>
    <col min="13570" max="13570" width="41.5703125" style="1762" customWidth="1"/>
    <col min="13571" max="13571" width="17.85546875" style="1762" bestFit="1" customWidth="1"/>
    <col min="13572" max="13572" width="7.140625" style="1762" customWidth="1"/>
    <col min="13573" max="13573" width="4.5703125" style="1762" customWidth="1"/>
    <col min="13574" max="13574" width="16" style="1762" bestFit="1" customWidth="1"/>
    <col min="13575" max="13575" width="3.5703125" style="1762" customWidth="1"/>
    <col min="13576" max="13578" width="9.140625" style="1762"/>
    <col min="13579" max="13579" width="16.140625" style="1762" bestFit="1" customWidth="1"/>
    <col min="13580" max="13824" width="9.140625" style="1762"/>
    <col min="13825" max="13825" width="5" style="1762" customWidth="1"/>
    <col min="13826" max="13826" width="41.5703125" style="1762" customWidth="1"/>
    <col min="13827" max="13827" width="17.85546875" style="1762" bestFit="1" customWidth="1"/>
    <col min="13828" max="13828" width="7.140625" style="1762" customWidth="1"/>
    <col min="13829" max="13829" width="4.5703125" style="1762" customWidth="1"/>
    <col min="13830" max="13830" width="16" style="1762" bestFit="1" customWidth="1"/>
    <col min="13831" max="13831" width="3.5703125" style="1762" customWidth="1"/>
    <col min="13832" max="13834" width="9.140625" style="1762"/>
    <col min="13835" max="13835" width="16.140625" style="1762" bestFit="1" customWidth="1"/>
    <col min="13836" max="14080" width="9.140625" style="1762"/>
    <col min="14081" max="14081" width="5" style="1762" customWidth="1"/>
    <col min="14082" max="14082" width="41.5703125" style="1762" customWidth="1"/>
    <col min="14083" max="14083" width="17.85546875" style="1762" bestFit="1" customWidth="1"/>
    <col min="14084" max="14084" width="7.140625" style="1762" customWidth="1"/>
    <col min="14085" max="14085" width="4.5703125" style="1762" customWidth="1"/>
    <col min="14086" max="14086" width="16" style="1762" bestFit="1" customWidth="1"/>
    <col min="14087" max="14087" width="3.5703125" style="1762" customWidth="1"/>
    <col min="14088" max="14090" width="9.140625" style="1762"/>
    <col min="14091" max="14091" width="16.140625" style="1762" bestFit="1" customWidth="1"/>
    <col min="14092" max="14336" width="9.140625" style="1762"/>
    <col min="14337" max="14337" width="5" style="1762" customWidth="1"/>
    <col min="14338" max="14338" width="41.5703125" style="1762" customWidth="1"/>
    <col min="14339" max="14339" width="17.85546875" style="1762" bestFit="1" customWidth="1"/>
    <col min="14340" max="14340" width="7.140625" style="1762" customWidth="1"/>
    <col min="14341" max="14341" width="4.5703125" style="1762" customWidth="1"/>
    <col min="14342" max="14342" width="16" style="1762" bestFit="1" customWidth="1"/>
    <col min="14343" max="14343" width="3.5703125" style="1762" customWidth="1"/>
    <col min="14344" max="14346" width="9.140625" style="1762"/>
    <col min="14347" max="14347" width="16.140625" style="1762" bestFit="1" customWidth="1"/>
    <col min="14348" max="14592" width="9.140625" style="1762"/>
    <col min="14593" max="14593" width="5" style="1762" customWidth="1"/>
    <col min="14594" max="14594" width="41.5703125" style="1762" customWidth="1"/>
    <col min="14595" max="14595" width="17.85546875" style="1762" bestFit="1" customWidth="1"/>
    <col min="14596" max="14596" width="7.140625" style="1762" customWidth="1"/>
    <col min="14597" max="14597" width="4.5703125" style="1762" customWidth="1"/>
    <col min="14598" max="14598" width="16" style="1762" bestFit="1" customWidth="1"/>
    <col min="14599" max="14599" width="3.5703125" style="1762" customWidth="1"/>
    <col min="14600" max="14602" width="9.140625" style="1762"/>
    <col min="14603" max="14603" width="16.140625" style="1762" bestFit="1" customWidth="1"/>
    <col min="14604" max="14848" width="9.140625" style="1762"/>
    <col min="14849" max="14849" width="5" style="1762" customWidth="1"/>
    <col min="14850" max="14850" width="41.5703125" style="1762" customWidth="1"/>
    <col min="14851" max="14851" width="17.85546875" style="1762" bestFit="1" customWidth="1"/>
    <col min="14852" max="14852" width="7.140625" style="1762" customWidth="1"/>
    <col min="14853" max="14853" width="4.5703125" style="1762" customWidth="1"/>
    <col min="14854" max="14854" width="16" style="1762" bestFit="1" customWidth="1"/>
    <col min="14855" max="14855" width="3.5703125" style="1762" customWidth="1"/>
    <col min="14856" max="14858" width="9.140625" style="1762"/>
    <col min="14859" max="14859" width="16.140625" style="1762" bestFit="1" customWidth="1"/>
    <col min="14860" max="15104" width="9.140625" style="1762"/>
    <col min="15105" max="15105" width="5" style="1762" customWidth="1"/>
    <col min="15106" max="15106" width="41.5703125" style="1762" customWidth="1"/>
    <col min="15107" max="15107" width="17.85546875" style="1762" bestFit="1" customWidth="1"/>
    <col min="15108" max="15108" width="7.140625" style="1762" customWidth="1"/>
    <col min="15109" max="15109" width="4.5703125" style="1762" customWidth="1"/>
    <col min="15110" max="15110" width="16" style="1762" bestFit="1" customWidth="1"/>
    <col min="15111" max="15111" width="3.5703125" style="1762" customWidth="1"/>
    <col min="15112" max="15114" width="9.140625" style="1762"/>
    <col min="15115" max="15115" width="16.140625" style="1762" bestFit="1" customWidth="1"/>
    <col min="15116" max="15360" width="9.140625" style="1762"/>
    <col min="15361" max="15361" width="5" style="1762" customWidth="1"/>
    <col min="15362" max="15362" width="41.5703125" style="1762" customWidth="1"/>
    <col min="15363" max="15363" width="17.85546875" style="1762" bestFit="1" customWidth="1"/>
    <col min="15364" max="15364" width="7.140625" style="1762" customWidth="1"/>
    <col min="15365" max="15365" width="4.5703125" style="1762" customWidth="1"/>
    <col min="15366" max="15366" width="16" style="1762" bestFit="1" customWidth="1"/>
    <col min="15367" max="15367" width="3.5703125" style="1762" customWidth="1"/>
    <col min="15368" max="15370" width="9.140625" style="1762"/>
    <col min="15371" max="15371" width="16.140625" style="1762" bestFit="1" customWidth="1"/>
    <col min="15372" max="15616" width="9.140625" style="1762"/>
    <col min="15617" max="15617" width="5" style="1762" customWidth="1"/>
    <col min="15618" max="15618" width="41.5703125" style="1762" customWidth="1"/>
    <col min="15619" max="15619" width="17.85546875" style="1762" bestFit="1" customWidth="1"/>
    <col min="15620" max="15620" width="7.140625" style="1762" customWidth="1"/>
    <col min="15621" max="15621" width="4.5703125" style="1762" customWidth="1"/>
    <col min="15622" max="15622" width="16" style="1762" bestFit="1" customWidth="1"/>
    <col min="15623" max="15623" width="3.5703125" style="1762" customWidth="1"/>
    <col min="15624" max="15626" width="9.140625" style="1762"/>
    <col min="15627" max="15627" width="16.140625" style="1762" bestFit="1" customWidth="1"/>
    <col min="15628" max="15872" width="9.140625" style="1762"/>
    <col min="15873" max="15873" width="5" style="1762" customWidth="1"/>
    <col min="15874" max="15874" width="41.5703125" style="1762" customWidth="1"/>
    <col min="15875" max="15875" width="17.85546875" style="1762" bestFit="1" customWidth="1"/>
    <col min="15876" max="15876" width="7.140625" style="1762" customWidth="1"/>
    <col min="15877" max="15877" width="4.5703125" style="1762" customWidth="1"/>
    <col min="15878" max="15878" width="16" style="1762" bestFit="1" customWidth="1"/>
    <col min="15879" max="15879" width="3.5703125" style="1762" customWidth="1"/>
    <col min="15880" max="15882" width="9.140625" style="1762"/>
    <col min="15883" max="15883" width="16.140625" style="1762" bestFit="1" customWidth="1"/>
    <col min="15884" max="16128" width="9.140625" style="1762"/>
    <col min="16129" max="16129" width="5" style="1762" customWidth="1"/>
    <col min="16130" max="16130" width="41.5703125" style="1762" customWidth="1"/>
    <col min="16131" max="16131" width="17.85546875" style="1762" bestFit="1" customWidth="1"/>
    <col min="16132" max="16132" width="7.140625" style="1762" customWidth="1"/>
    <col min="16133" max="16133" width="4.5703125" style="1762" customWidth="1"/>
    <col min="16134" max="16134" width="16" style="1762" bestFit="1" customWidth="1"/>
    <col min="16135" max="16135" width="3.5703125" style="1762" customWidth="1"/>
    <col min="16136" max="16138" width="9.140625" style="1762"/>
    <col min="16139" max="16139" width="16.140625" style="1762" bestFit="1" customWidth="1"/>
    <col min="16140" max="16384" width="9.140625" style="1762"/>
  </cols>
  <sheetData>
    <row r="1" spans="1:11">
      <c r="C1" s="1763" t="s">
        <v>2767</v>
      </c>
      <c r="G1" s="1764" t="s">
        <v>1020</v>
      </c>
    </row>
    <row r="6" spans="1:11" ht="21" customHeight="1">
      <c r="A6" s="1765" t="s">
        <v>480</v>
      </c>
      <c r="B6" s="2523" t="s">
        <v>2621</v>
      </c>
      <c r="C6" s="2524"/>
      <c r="D6" s="2524"/>
      <c r="E6" s="2525"/>
      <c r="F6" s="1766">
        <f>SUM(F7:F8)</f>
        <v>1251000000</v>
      </c>
    </row>
    <row r="7" spans="1:11" ht="21" customHeight="1">
      <c r="A7" s="1767">
        <v>1</v>
      </c>
      <c r="B7" s="2526" t="s">
        <v>2766</v>
      </c>
      <c r="C7" s="2527"/>
      <c r="D7" s="2527"/>
      <c r="E7" s="2528"/>
      <c r="F7" s="1768">
        <f>6000*12*15000</f>
        <v>1080000000</v>
      </c>
    </row>
    <row r="8" spans="1:11" ht="21" customHeight="1">
      <c r="A8" s="1767">
        <v>2</v>
      </c>
      <c r="B8" s="2526" t="s">
        <v>2765</v>
      </c>
      <c r="C8" s="2527"/>
      <c r="D8" s="2527"/>
      <c r="E8" s="2528"/>
      <c r="F8" s="1768">
        <v>171000000</v>
      </c>
    </row>
    <row r="9" spans="1:11" s="1770" customFormat="1" ht="21" customHeight="1">
      <c r="A9" s="1769" t="s">
        <v>485</v>
      </c>
      <c r="B9" s="2523" t="s">
        <v>2620</v>
      </c>
      <c r="C9" s="2524"/>
      <c r="D9" s="2524"/>
      <c r="E9" s="2525"/>
      <c r="F9" s="1766">
        <f>SUM(F10:F10)</f>
        <v>2400000000</v>
      </c>
    </row>
    <row r="10" spans="1:11" ht="21" customHeight="1">
      <c r="A10" s="1767">
        <v>1</v>
      </c>
      <c r="B10" s="2526" t="s">
        <v>2764</v>
      </c>
      <c r="C10" s="2527"/>
      <c r="D10" s="2527"/>
      <c r="E10" s="2528"/>
      <c r="F10" s="1768">
        <f>40000*12*5000</f>
        <v>2400000000</v>
      </c>
    </row>
    <row r="11" spans="1:11" s="1770" customFormat="1" ht="21" customHeight="1">
      <c r="A11" s="1765" t="s">
        <v>489</v>
      </c>
      <c r="B11" s="2523" t="s">
        <v>2763</v>
      </c>
      <c r="C11" s="2524"/>
      <c r="D11" s="2524"/>
      <c r="E11" s="2525"/>
      <c r="F11" s="1766">
        <f>F9-F6</f>
        <v>1149000000</v>
      </c>
    </row>
    <row r="12" spans="1:11" s="1770" customFormat="1" ht="21" customHeight="1">
      <c r="A12" s="1765" t="s">
        <v>547</v>
      </c>
      <c r="B12" s="2523" t="s">
        <v>2605</v>
      </c>
      <c r="C12" s="2524"/>
      <c r="D12" s="2524"/>
      <c r="E12" s="2525"/>
      <c r="F12" s="1766">
        <f>SUM(F13:F17)</f>
        <v>920000000</v>
      </c>
    </row>
    <row r="13" spans="1:11" ht="21" customHeight="1">
      <c r="A13" s="1771" t="s">
        <v>615</v>
      </c>
      <c r="B13" s="2526" t="s">
        <v>2762</v>
      </c>
      <c r="C13" s="2527"/>
      <c r="D13" s="2527"/>
      <c r="E13" s="2528"/>
      <c r="F13" s="1768">
        <f>5000000*12*6</f>
        <v>360000000</v>
      </c>
    </row>
    <row r="14" spans="1:11" ht="21" customHeight="1">
      <c r="A14" s="1771" t="s">
        <v>615</v>
      </c>
      <c r="B14" s="2529" t="s">
        <v>2761</v>
      </c>
      <c r="C14" s="2530"/>
      <c r="D14" s="2530"/>
      <c r="E14" s="2531"/>
      <c r="F14" s="1772">
        <f>C24*12/100</f>
        <v>180000000</v>
      </c>
    </row>
    <row r="15" spans="1:11" ht="21" customHeight="1">
      <c r="A15" s="1771" t="s">
        <v>615</v>
      </c>
      <c r="B15" s="2526" t="s">
        <v>2602</v>
      </c>
      <c r="C15" s="2527"/>
      <c r="D15" s="2527"/>
      <c r="E15" s="2528"/>
      <c r="F15" s="1768">
        <v>30000000</v>
      </c>
      <c r="K15" s="1773">
        <f>F12+F6</f>
        <v>2171000000</v>
      </c>
    </row>
    <row r="16" spans="1:11" ht="21" customHeight="1">
      <c r="A16" s="1771" t="s">
        <v>615</v>
      </c>
      <c r="B16" s="2526" t="s">
        <v>1930</v>
      </c>
      <c r="C16" s="2527"/>
      <c r="D16" s="2527"/>
      <c r="E16" s="2528"/>
      <c r="F16" s="1768">
        <v>300000000</v>
      </c>
    </row>
    <row r="17" spans="1:6" ht="21" customHeight="1">
      <c r="A17" s="1771" t="s">
        <v>615</v>
      </c>
      <c r="B17" s="2526" t="s">
        <v>2600</v>
      </c>
      <c r="C17" s="2527"/>
      <c r="D17" s="2527"/>
      <c r="E17" s="2528"/>
      <c r="F17" s="1768">
        <v>50000000</v>
      </c>
    </row>
    <row r="18" spans="1:6" s="1770" customFormat="1" ht="21" customHeight="1">
      <c r="A18" s="1769" t="s">
        <v>582</v>
      </c>
      <c r="B18" s="2523" t="s">
        <v>2599</v>
      </c>
      <c r="C18" s="2524"/>
      <c r="D18" s="2524"/>
      <c r="E18" s="2525"/>
      <c r="F18" s="1766">
        <f>F11-F12</f>
        <v>229000000</v>
      </c>
    </row>
    <row r="19" spans="1:6" ht="17.100000000000001" customHeight="1">
      <c r="A19" s="1774" t="s">
        <v>2598</v>
      </c>
      <c r="B19" s="1775"/>
      <c r="C19" s="1775"/>
      <c r="D19" s="1775"/>
    </row>
    <row r="20" spans="1:6" ht="17.100000000000001" customHeight="1">
      <c r="A20" s="1762" t="s">
        <v>2597</v>
      </c>
      <c r="C20" s="1763">
        <f>F6+F12-F14-F15</f>
        <v>1961000000</v>
      </c>
      <c r="D20" s="1776" t="s">
        <v>202</v>
      </c>
    </row>
    <row r="21" spans="1:6" ht="17.100000000000001" customHeight="1">
      <c r="A21" s="1762" t="s">
        <v>2596</v>
      </c>
      <c r="C21" s="1777">
        <v>1.2</v>
      </c>
      <c r="D21" s="1776" t="s">
        <v>2411</v>
      </c>
    </row>
    <row r="22" spans="1:6" ht="17.100000000000001" customHeight="1">
      <c r="A22" s="1762" t="s">
        <v>2595</v>
      </c>
      <c r="C22" s="1763">
        <f>C20/C21</f>
        <v>1634166666.6666667</v>
      </c>
      <c r="D22" s="1776" t="s">
        <v>202</v>
      </c>
      <c r="F22" s="1778"/>
    </row>
    <row r="23" spans="1:6" ht="17.100000000000001" customHeight="1">
      <c r="A23" s="1762" t="s">
        <v>2594</v>
      </c>
      <c r="C23" s="1763">
        <f>C22-C24</f>
        <v>134166666.66666675</v>
      </c>
      <c r="D23" s="1776" t="s">
        <v>202</v>
      </c>
      <c r="F23" s="1779">
        <f>C23/C22*100</f>
        <v>8.2100968893421769</v>
      </c>
    </row>
    <row r="24" spans="1:6" ht="17.100000000000001" customHeight="1">
      <c r="A24" s="1762" t="s">
        <v>2593</v>
      </c>
      <c r="C24" s="1763">
        <v>1500000000</v>
      </c>
      <c r="D24" s="1776" t="s">
        <v>202</v>
      </c>
    </row>
    <row r="25" spans="1:6" ht="17.100000000000001" customHeight="1">
      <c r="A25" s="1762" t="s">
        <v>2592</v>
      </c>
      <c r="C25" s="1780" t="s">
        <v>1159</v>
      </c>
    </row>
  </sheetData>
  <mergeCells count="13">
    <mergeCell ref="B11:E11"/>
    <mergeCell ref="B6:E6"/>
    <mergeCell ref="B7:E7"/>
    <mergeCell ref="B8:E8"/>
    <mergeCell ref="B9:E9"/>
    <mergeCell ref="B10:E10"/>
    <mergeCell ref="B18:E18"/>
    <mergeCell ref="B12:E12"/>
    <mergeCell ref="B13:E13"/>
    <mergeCell ref="B14:E14"/>
    <mergeCell ref="B15:E15"/>
    <mergeCell ref="B16:E16"/>
    <mergeCell ref="B17:E17"/>
  </mergeCells>
  <pageMargins left="0.7" right="0.7" top="0.75" bottom="0.75" header="0.3" footer="0.3"/>
  <pageSetup paperSize="9"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K44"/>
  <sheetViews>
    <sheetView zoomScaleNormal="100" workbookViewId="0">
      <selection activeCell="J13" sqref="J13"/>
    </sheetView>
  </sheetViews>
  <sheetFormatPr defaultRowHeight="16.5"/>
  <cols>
    <col min="1" max="1" width="6.7109375" style="1037" customWidth="1"/>
    <col min="2" max="2" width="27" style="1036" bestFit="1" customWidth="1"/>
    <col min="3" max="3" width="11.7109375" style="1036" bestFit="1" customWidth="1"/>
    <col min="4" max="4" width="10.85546875" style="1367" customWidth="1"/>
    <col min="5" max="6" width="17.28515625" style="1036" bestFit="1" customWidth="1"/>
    <col min="7" max="7" width="9.140625" style="1036"/>
    <col min="8" max="8" width="27.42578125" style="1036" bestFit="1" customWidth="1"/>
    <col min="9" max="9" width="18.7109375" style="1367" bestFit="1" customWidth="1"/>
    <col min="10" max="10" width="15.85546875" style="1036" bestFit="1" customWidth="1"/>
    <col min="11" max="11" width="18.85546875" style="1036" bestFit="1" customWidth="1"/>
    <col min="12" max="16384" width="9.140625" style="1036"/>
  </cols>
  <sheetData>
    <row r="1" spans="1:11">
      <c r="C1" s="1036" t="s">
        <v>2338</v>
      </c>
      <c r="G1" s="1384" t="s">
        <v>1020</v>
      </c>
    </row>
    <row r="5" spans="1:11" ht="23.25" customHeight="1">
      <c r="A5" s="2326" t="s">
        <v>97</v>
      </c>
      <c r="B5" s="2326" t="s">
        <v>1294</v>
      </c>
      <c r="C5" s="2326" t="s">
        <v>100</v>
      </c>
      <c r="D5" s="2335" t="s">
        <v>1352</v>
      </c>
      <c r="E5" s="2326" t="s">
        <v>1359</v>
      </c>
      <c r="F5" s="2326" t="s">
        <v>102</v>
      </c>
    </row>
    <row r="6" spans="1:11">
      <c r="A6" s="2312" t="s">
        <v>480</v>
      </c>
      <c r="B6" s="2532" t="s">
        <v>677</v>
      </c>
      <c r="C6" s="2533"/>
      <c r="D6" s="2533"/>
      <c r="E6" s="2534"/>
      <c r="F6" s="1371">
        <f>F7+F14+F21+F28</f>
        <v>75060450000</v>
      </c>
      <c r="H6" s="1036" t="s">
        <v>2337</v>
      </c>
      <c r="I6" s="1367" t="e">
        <f>F6-#REF!</f>
        <v>#REF!</v>
      </c>
    </row>
    <row r="7" spans="1:11" ht="17.25">
      <c r="A7" s="1377">
        <v>1</v>
      </c>
      <c r="B7" s="2535" t="s">
        <v>2211</v>
      </c>
      <c r="C7" s="2536"/>
      <c r="D7" s="2536"/>
      <c r="E7" s="2537"/>
      <c r="F7" s="1371">
        <f>SUM(F8:F13)</f>
        <v>71175000000</v>
      </c>
      <c r="H7" s="1036" t="s">
        <v>2336</v>
      </c>
      <c r="I7" s="1367" t="e">
        <f>I6/4</f>
        <v>#REF!</v>
      </c>
    </row>
    <row r="8" spans="1:11">
      <c r="A8" s="1375">
        <v>1.1000000000000001</v>
      </c>
      <c r="B8" s="331" t="s">
        <v>2323</v>
      </c>
      <c r="C8" s="286" t="s">
        <v>2129</v>
      </c>
      <c r="D8" s="160">
        <v>30000</v>
      </c>
      <c r="E8" s="488">
        <v>55000</v>
      </c>
      <c r="F8" s="1374">
        <f t="shared" ref="F8:F13" si="0">D8*E8</f>
        <v>1650000000</v>
      </c>
      <c r="G8" s="1379"/>
      <c r="H8" s="1036" t="s">
        <v>559</v>
      </c>
      <c r="I8" s="1367" t="e">
        <f>I7-I9</f>
        <v>#REF!</v>
      </c>
      <c r="J8" s="1381" t="e">
        <f>I8/I7</f>
        <v>#REF!</v>
      </c>
    </row>
    <row r="9" spans="1:11">
      <c r="A9" s="1375">
        <v>1.2</v>
      </c>
      <c r="B9" s="331" t="s">
        <v>2322</v>
      </c>
      <c r="C9" s="286" t="s">
        <v>2129</v>
      </c>
      <c r="D9" s="160">
        <v>1650</v>
      </c>
      <c r="E9" s="488">
        <v>12000000</v>
      </c>
      <c r="F9" s="1374">
        <f t="shared" si="0"/>
        <v>19800000000</v>
      </c>
      <c r="G9" s="1379"/>
      <c r="H9" s="1036" t="s">
        <v>2335</v>
      </c>
      <c r="I9" s="1367">
        <v>3000000000</v>
      </c>
      <c r="J9" s="1381" t="e">
        <f>I9/I7</f>
        <v>#REF!</v>
      </c>
    </row>
    <row r="10" spans="1:11">
      <c r="A10" s="1375">
        <v>1.3</v>
      </c>
      <c r="B10" s="331" t="s">
        <v>2321</v>
      </c>
      <c r="C10" s="286" t="s">
        <v>2129</v>
      </c>
      <c r="D10" s="160">
        <v>5250</v>
      </c>
      <c r="E10" s="488">
        <v>5500000</v>
      </c>
      <c r="F10" s="1374">
        <f t="shared" si="0"/>
        <v>28875000000</v>
      </c>
      <c r="G10" s="1379"/>
    </row>
    <row r="11" spans="1:11">
      <c r="A11" s="1375">
        <v>1.4</v>
      </c>
      <c r="B11" s="331" t="s">
        <v>2320</v>
      </c>
      <c r="C11" s="286" t="s">
        <v>2129</v>
      </c>
      <c r="D11" s="160">
        <v>7500</v>
      </c>
      <c r="E11" s="488">
        <v>180000</v>
      </c>
      <c r="F11" s="1374">
        <f t="shared" si="0"/>
        <v>1350000000</v>
      </c>
      <c r="G11" s="1379"/>
    </row>
    <row r="12" spans="1:11">
      <c r="A12" s="1375">
        <v>1.5</v>
      </c>
      <c r="B12" s="331" t="s">
        <v>2319</v>
      </c>
      <c r="C12" s="286" t="s">
        <v>2129</v>
      </c>
      <c r="D12" s="160">
        <v>4500</v>
      </c>
      <c r="E12" s="488">
        <v>2000000</v>
      </c>
      <c r="F12" s="1374">
        <f t="shared" si="0"/>
        <v>9000000000</v>
      </c>
      <c r="G12" s="1379"/>
    </row>
    <row r="13" spans="1:11">
      <c r="A13" s="1375">
        <v>1.6</v>
      </c>
      <c r="B13" s="331" t="s">
        <v>2318</v>
      </c>
      <c r="C13" s="286" t="s">
        <v>2129</v>
      </c>
      <c r="D13" s="160">
        <v>3000</v>
      </c>
      <c r="E13" s="488">
        <v>3500000</v>
      </c>
      <c r="F13" s="1374">
        <f t="shared" si="0"/>
        <v>10500000000</v>
      </c>
      <c r="G13" s="1379"/>
    </row>
    <row r="14" spans="1:11" ht="17.25">
      <c r="A14" s="1377">
        <v>2</v>
      </c>
      <c r="B14" s="2535" t="s">
        <v>2212</v>
      </c>
      <c r="C14" s="2536"/>
      <c r="D14" s="2536"/>
      <c r="E14" s="2537"/>
      <c r="F14" s="1371">
        <f>SUM(F15:F20)</f>
        <v>382500000</v>
      </c>
    </row>
    <row r="15" spans="1:11">
      <c r="A15" s="1375">
        <v>2.1</v>
      </c>
      <c r="B15" s="331" t="s">
        <v>2334</v>
      </c>
      <c r="C15" s="286" t="s">
        <v>11</v>
      </c>
      <c r="D15" s="160">
        <v>1500</v>
      </c>
      <c r="E15" s="488">
        <v>29000</v>
      </c>
      <c r="F15" s="1374">
        <f t="shared" ref="F15:F20" si="1">D15*E15</f>
        <v>43500000</v>
      </c>
      <c r="G15" s="1036" t="s">
        <v>2333</v>
      </c>
      <c r="H15" s="1367">
        <f>K15*85%</f>
        <v>6253450000</v>
      </c>
      <c r="I15" s="1380">
        <v>105.1</v>
      </c>
      <c r="J15" s="1367">
        <v>70000000</v>
      </c>
      <c r="K15" s="1367">
        <f>J15*I15</f>
        <v>7357000000</v>
      </c>
    </row>
    <row r="16" spans="1:11" ht="33">
      <c r="A16" s="1375">
        <v>2.2000000000000002</v>
      </c>
      <c r="B16" s="331" t="s">
        <v>2332</v>
      </c>
      <c r="C16" s="286" t="s">
        <v>11</v>
      </c>
      <c r="D16" s="160">
        <v>6000</v>
      </c>
      <c r="E16" s="488">
        <v>10000</v>
      </c>
      <c r="F16" s="1374">
        <f t="shared" si="1"/>
        <v>60000000</v>
      </c>
      <c r="G16" s="1036" t="s">
        <v>2331</v>
      </c>
      <c r="H16" s="1367">
        <f>K16*75%</f>
        <v>1029375000</v>
      </c>
      <c r="I16" s="1380">
        <v>274.5</v>
      </c>
      <c r="J16" s="1367">
        <v>5000000</v>
      </c>
      <c r="K16" s="1367">
        <f>J16*I16</f>
        <v>1372500000</v>
      </c>
    </row>
    <row r="17" spans="1:11">
      <c r="A17" s="1375">
        <v>2.2999999999999998</v>
      </c>
      <c r="B17" s="331" t="s">
        <v>2321</v>
      </c>
      <c r="C17" s="286" t="s">
        <v>11</v>
      </c>
      <c r="D17" s="160">
        <v>2250</v>
      </c>
      <c r="E17" s="488">
        <v>10000</v>
      </c>
      <c r="F17" s="1374">
        <f t="shared" si="1"/>
        <v>22500000</v>
      </c>
      <c r="H17" s="1367">
        <f>SUM(H15:H16)</f>
        <v>7282825000</v>
      </c>
      <c r="I17" s="1380">
        <v>56.4</v>
      </c>
      <c r="J17" s="1367">
        <v>250000</v>
      </c>
      <c r="K17" s="1367">
        <f>J17*I17</f>
        <v>14100000</v>
      </c>
    </row>
    <row r="18" spans="1:11">
      <c r="A18" s="1375">
        <v>2.4</v>
      </c>
      <c r="B18" s="331" t="s">
        <v>2330</v>
      </c>
      <c r="C18" s="286" t="s">
        <v>11</v>
      </c>
      <c r="D18" s="160">
        <v>750</v>
      </c>
      <c r="E18" s="488">
        <v>22000</v>
      </c>
      <c r="F18" s="1374">
        <f t="shared" si="1"/>
        <v>16500000</v>
      </c>
      <c r="K18" s="1379">
        <f>SUM(K15:K17)</f>
        <v>8743600000</v>
      </c>
    </row>
    <row r="19" spans="1:11">
      <c r="A19" s="1378">
        <v>2.5</v>
      </c>
      <c r="B19" s="331" t="s">
        <v>2319</v>
      </c>
      <c r="C19" s="338" t="s">
        <v>11</v>
      </c>
      <c r="D19" s="160">
        <v>15000</v>
      </c>
      <c r="E19" s="488">
        <v>10000</v>
      </c>
      <c r="F19" s="339">
        <f t="shared" si="1"/>
        <v>150000000</v>
      </c>
      <c r="H19" s="1367">
        <v>7200000000</v>
      </c>
      <c r="I19" s="1367">
        <v>3000000000</v>
      </c>
    </row>
    <row r="20" spans="1:11">
      <c r="A20" s="1375">
        <v>2.6</v>
      </c>
      <c r="B20" s="331" t="s">
        <v>2318</v>
      </c>
      <c r="C20" s="286" t="s">
        <v>11</v>
      </c>
      <c r="D20" s="160">
        <v>9000</v>
      </c>
      <c r="E20" s="488">
        <v>10000</v>
      </c>
      <c r="F20" s="1374">
        <f t="shared" si="1"/>
        <v>90000000</v>
      </c>
      <c r="I20" s="1367">
        <f>H19-I19</f>
        <v>4200000000</v>
      </c>
    </row>
    <row r="21" spans="1:11" ht="17.25">
      <c r="A21" s="1377">
        <v>3</v>
      </c>
      <c r="B21" s="2535" t="s">
        <v>2329</v>
      </c>
      <c r="C21" s="2536"/>
      <c r="D21" s="2536"/>
      <c r="E21" s="2537"/>
      <c r="F21" s="1371">
        <f>SUM(F22:F27)</f>
        <v>202950000</v>
      </c>
    </row>
    <row r="22" spans="1:11">
      <c r="A22" s="1375">
        <v>3.1</v>
      </c>
      <c r="B22" s="331" t="s">
        <v>2323</v>
      </c>
      <c r="C22" s="286" t="s">
        <v>836</v>
      </c>
      <c r="D22" s="160">
        <v>1500</v>
      </c>
      <c r="E22" s="488">
        <v>35000</v>
      </c>
      <c r="F22" s="1374">
        <f t="shared" ref="F22:F27" si="2">D22*E22</f>
        <v>52500000</v>
      </c>
    </row>
    <row r="23" spans="1:11">
      <c r="A23" s="1375">
        <v>3.2</v>
      </c>
      <c r="B23" s="331" t="s">
        <v>2322</v>
      </c>
      <c r="C23" s="286" t="s">
        <v>836</v>
      </c>
      <c r="D23" s="160">
        <v>300</v>
      </c>
      <c r="E23" s="488">
        <v>49000</v>
      </c>
      <c r="F23" s="1374">
        <f t="shared" si="2"/>
        <v>14700000</v>
      </c>
    </row>
    <row r="24" spans="1:11">
      <c r="A24" s="1375">
        <v>3.3</v>
      </c>
      <c r="B24" s="331" t="s">
        <v>2321</v>
      </c>
      <c r="C24" s="286" t="s">
        <v>836</v>
      </c>
      <c r="D24" s="160">
        <v>150</v>
      </c>
      <c r="E24" s="488">
        <v>182000</v>
      </c>
      <c r="F24" s="1374">
        <f t="shared" si="2"/>
        <v>27300000</v>
      </c>
    </row>
    <row r="25" spans="1:11">
      <c r="A25" s="1375">
        <v>3.4</v>
      </c>
      <c r="B25" s="331" t="s">
        <v>2320</v>
      </c>
      <c r="C25" s="286" t="s">
        <v>836</v>
      </c>
      <c r="D25" s="160">
        <v>150</v>
      </c>
      <c r="E25" s="488">
        <v>309000</v>
      </c>
      <c r="F25" s="1374">
        <f t="shared" si="2"/>
        <v>46350000</v>
      </c>
    </row>
    <row r="26" spans="1:11">
      <c r="A26" s="1375">
        <v>3.5</v>
      </c>
      <c r="B26" s="331" t="s">
        <v>2319</v>
      </c>
      <c r="C26" s="286" t="s">
        <v>836</v>
      </c>
      <c r="D26" s="160">
        <v>150</v>
      </c>
      <c r="E26" s="488">
        <v>309000</v>
      </c>
      <c r="F26" s="1374">
        <f t="shared" si="2"/>
        <v>46350000</v>
      </c>
    </row>
    <row r="27" spans="1:11">
      <c r="A27" s="1375">
        <v>3.6</v>
      </c>
      <c r="B27" s="331" t="s">
        <v>2318</v>
      </c>
      <c r="C27" s="286" t="s">
        <v>836</v>
      </c>
      <c r="D27" s="160">
        <v>150</v>
      </c>
      <c r="E27" s="488">
        <v>105000</v>
      </c>
      <c r="F27" s="1374">
        <f t="shared" si="2"/>
        <v>15750000</v>
      </c>
    </row>
    <row r="28" spans="1:11" ht="17.25">
      <c r="A28" s="1377">
        <v>4</v>
      </c>
      <c r="B28" s="2535" t="s">
        <v>217</v>
      </c>
      <c r="C28" s="2536"/>
      <c r="D28" s="2536"/>
      <c r="E28" s="2537"/>
      <c r="F28" s="1371">
        <f>SUM(F29:F35)</f>
        <v>3300000000</v>
      </c>
    </row>
    <row r="29" spans="1:11">
      <c r="A29" s="1375">
        <v>4.0999999999999996</v>
      </c>
      <c r="B29" s="331" t="s">
        <v>2328</v>
      </c>
      <c r="C29" s="286" t="s">
        <v>358</v>
      </c>
      <c r="D29" s="160">
        <v>12</v>
      </c>
      <c r="E29" s="488">
        <v>30000000</v>
      </c>
      <c r="F29" s="1374">
        <f>D29*E29</f>
        <v>360000000</v>
      </c>
    </row>
    <row r="30" spans="1:11">
      <c r="A30" s="1375">
        <v>4.2</v>
      </c>
      <c r="B30" s="331" t="s">
        <v>9</v>
      </c>
      <c r="C30" s="286" t="s">
        <v>439</v>
      </c>
      <c r="D30" s="160">
        <v>15</v>
      </c>
      <c r="E30" s="488">
        <v>80000000</v>
      </c>
      <c r="F30" s="1374">
        <f>D30*E30</f>
        <v>1200000000</v>
      </c>
    </row>
    <row r="31" spans="1:11">
      <c r="A31" s="1375">
        <v>4.3</v>
      </c>
      <c r="B31" s="331" t="s">
        <v>802</v>
      </c>
      <c r="C31" s="286" t="s">
        <v>358</v>
      </c>
      <c r="D31" s="160">
        <v>12</v>
      </c>
      <c r="E31" s="488">
        <v>40000000</v>
      </c>
      <c r="F31" s="1374">
        <f>D31*E31</f>
        <v>480000000</v>
      </c>
    </row>
    <row r="32" spans="1:11">
      <c r="A32" s="1375">
        <v>4.4000000000000004</v>
      </c>
      <c r="B32" s="331" t="s">
        <v>2327</v>
      </c>
      <c r="C32" s="286"/>
      <c r="D32" s="160"/>
      <c r="E32" s="488">
        <v>10000000</v>
      </c>
      <c r="F32" s="1374">
        <v>10000000</v>
      </c>
    </row>
    <row r="33" spans="1:6">
      <c r="A33" s="1375">
        <v>4.5</v>
      </c>
      <c r="B33" s="331" t="s">
        <v>2326</v>
      </c>
      <c r="C33" s="286"/>
      <c r="D33" s="160"/>
      <c r="E33" s="488">
        <v>10000000</v>
      </c>
      <c r="F33" s="1374">
        <v>10000000</v>
      </c>
    </row>
    <row r="34" spans="1:6">
      <c r="A34" s="1375">
        <v>4.5999999999999996</v>
      </c>
      <c r="B34" s="331" t="s">
        <v>213</v>
      </c>
      <c r="C34" s="286"/>
      <c r="D34" s="1376">
        <v>7.0000000000000007E-2</v>
      </c>
      <c r="E34" s="488">
        <v>16000000000</v>
      </c>
      <c r="F34" s="1374">
        <f>E34*D34</f>
        <v>1120000000</v>
      </c>
    </row>
    <row r="35" spans="1:6">
      <c r="A35" s="1375">
        <v>4.7</v>
      </c>
      <c r="B35" s="331" t="s">
        <v>2325</v>
      </c>
      <c r="C35" s="286" t="s">
        <v>358</v>
      </c>
      <c r="D35" s="160">
        <v>12</v>
      </c>
      <c r="E35" s="488">
        <v>10000000</v>
      </c>
      <c r="F35" s="1374">
        <f>D35*E35</f>
        <v>120000000</v>
      </c>
    </row>
    <row r="36" spans="1:6">
      <c r="A36" s="2312" t="s">
        <v>485</v>
      </c>
      <c r="B36" s="2532" t="s">
        <v>2324</v>
      </c>
      <c r="C36" s="2533"/>
      <c r="D36" s="2533"/>
      <c r="E36" s="2534"/>
      <c r="F36" s="1371">
        <f>SUM(F37:F42)</f>
        <v>82375750000</v>
      </c>
    </row>
    <row r="37" spans="1:6">
      <c r="A37" s="1375">
        <v>1.1000000000000001</v>
      </c>
      <c r="B37" s="331" t="s">
        <v>2323</v>
      </c>
      <c r="C37" s="286" t="s">
        <v>2129</v>
      </c>
      <c r="D37" s="160">
        <v>28500</v>
      </c>
      <c r="E37" s="488">
        <v>90000</v>
      </c>
      <c r="F37" s="1374">
        <f t="shared" ref="F37:F42" si="3">D37*E37</f>
        <v>2565000000</v>
      </c>
    </row>
    <row r="38" spans="1:6">
      <c r="A38" s="1375">
        <v>1.2</v>
      </c>
      <c r="B38" s="331" t="s">
        <v>2322</v>
      </c>
      <c r="C38" s="286" t="s">
        <v>2129</v>
      </c>
      <c r="D38" s="160">
        <v>1568</v>
      </c>
      <c r="E38" s="488">
        <v>15000000</v>
      </c>
      <c r="F38" s="1374">
        <f t="shared" si="3"/>
        <v>23520000000</v>
      </c>
    </row>
    <row r="39" spans="1:6">
      <c r="A39" s="1375">
        <v>1.3</v>
      </c>
      <c r="B39" s="331" t="s">
        <v>2321</v>
      </c>
      <c r="C39" s="286" t="s">
        <v>2129</v>
      </c>
      <c r="D39" s="160">
        <v>4988</v>
      </c>
      <c r="E39" s="488">
        <v>6500000</v>
      </c>
      <c r="F39" s="1374">
        <f t="shared" si="3"/>
        <v>32422000000</v>
      </c>
    </row>
    <row r="40" spans="1:6">
      <c r="A40" s="1375">
        <v>1.4</v>
      </c>
      <c r="B40" s="331" t="s">
        <v>2320</v>
      </c>
      <c r="C40" s="286" t="s">
        <v>2129</v>
      </c>
      <c r="D40" s="160">
        <v>7125</v>
      </c>
      <c r="E40" s="488">
        <v>250000</v>
      </c>
      <c r="F40" s="1374">
        <f t="shared" si="3"/>
        <v>1781250000</v>
      </c>
    </row>
    <row r="41" spans="1:6">
      <c r="A41" s="1375">
        <v>1.5</v>
      </c>
      <c r="B41" s="331" t="s">
        <v>2319</v>
      </c>
      <c r="C41" s="286" t="s">
        <v>2129</v>
      </c>
      <c r="D41" s="160">
        <v>4275</v>
      </c>
      <c r="E41" s="488">
        <v>2500000</v>
      </c>
      <c r="F41" s="1374">
        <f t="shared" si="3"/>
        <v>10687500000</v>
      </c>
    </row>
    <row r="42" spans="1:6">
      <c r="A42" s="1375">
        <v>1.6</v>
      </c>
      <c r="B42" s="331" t="s">
        <v>2318</v>
      </c>
      <c r="C42" s="286" t="s">
        <v>2129</v>
      </c>
      <c r="D42" s="160">
        <v>2850</v>
      </c>
      <c r="E42" s="488">
        <v>4000000</v>
      </c>
      <c r="F42" s="1374">
        <f t="shared" si="3"/>
        <v>11400000000</v>
      </c>
    </row>
    <row r="43" spans="1:6">
      <c r="A43" s="2312" t="s">
        <v>489</v>
      </c>
      <c r="B43" s="155" t="s">
        <v>2317</v>
      </c>
      <c r="C43" s="2312"/>
      <c r="D43" s="1373"/>
      <c r="E43" s="1372"/>
      <c r="F43" s="1371">
        <f>F36-F6</f>
        <v>7315300000</v>
      </c>
    </row>
    <row r="44" spans="1:6">
      <c r="A44" s="2312" t="s">
        <v>547</v>
      </c>
      <c r="B44" s="2350" t="s">
        <v>2316</v>
      </c>
      <c r="C44" s="2312"/>
      <c r="D44" s="1370"/>
      <c r="E44" s="1369"/>
      <c r="F44" s="1368">
        <f>F43/F36*100%</f>
        <v>8.8804047307611766E-2</v>
      </c>
    </row>
  </sheetData>
  <mergeCells count="6">
    <mergeCell ref="B36:E36"/>
    <mergeCell ref="B6:E6"/>
    <mergeCell ref="B7:E7"/>
    <mergeCell ref="B14:E14"/>
    <mergeCell ref="B21:E21"/>
    <mergeCell ref="B28:E28"/>
  </mergeCell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2"/>
  <sheetViews>
    <sheetView workbookViewId="0">
      <selection activeCell="B5" sqref="B5"/>
    </sheetView>
  </sheetViews>
  <sheetFormatPr defaultRowHeight="16.5"/>
  <cols>
    <col min="1" max="1" width="37" style="381" customWidth="1"/>
    <col min="2" max="2" width="21.7109375" style="381" bestFit="1" customWidth="1"/>
    <col min="3" max="3" width="20.28515625" style="381" customWidth="1"/>
    <col min="4" max="4" width="14.5703125" style="381" bestFit="1" customWidth="1"/>
    <col min="5" max="16384" width="9.140625" style="381"/>
  </cols>
  <sheetData>
    <row r="1" spans="1:7">
      <c r="C1" s="381" t="s">
        <v>845</v>
      </c>
      <c r="G1" s="438" t="s">
        <v>1020</v>
      </c>
    </row>
    <row r="4" spans="1:7">
      <c r="A4" s="380" t="s">
        <v>306</v>
      </c>
      <c r="B4" s="367" t="s">
        <v>1</v>
      </c>
      <c r="C4" s="367" t="s">
        <v>4</v>
      </c>
    </row>
    <row r="5" spans="1:7">
      <c r="A5" s="382" t="s">
        <v>307</v>
      </c>
      <c r="B5" s="369">
        <v>1</v>
      </c>
      <c r="C5" s="43">
        <f>B5*9000000</f>
        <v>9000000</v>
      </c>
    </row>
    <row r="6" spans="1:7">
      <c r="A6" s="382" t="s">
        <v>308</v>
      </c>
      <c r="B6" s="369" t="s">
        <v>527</v>
      </c>
      <c r="C6" s="43">
        <v>150000000</v>
      </c>
      <c r="D6" s="8">
        <f>C7/60</f>
        <v>2650000</v>
      </c>
    </row>
    <row r="7" spans="1:7">
      <c r="A7" s="383"/>
      <c r="B7" s="384" t="s">
        <v>253</v>
      </c>
      <c r="C7" s="66">
        <f>C5+C6</f>
        <v>159000000</v>
      </c>
      <c r="D7" s="8"/>
    </row>
    <row r="8" spans="1:7">
      <c r="A8" s="383"/>
      <c r="B8" s="384" t="s">
        <v>27</v>
      </c>
      <c r="C8" s="66">
        <v>1300000000</v>
      </c>
      <c r="D8" s="8">
        <f>C8*10%/12</f>
        <v>10833333.333333334</v>
      </c>
    </row>
    <row r="9" spans="1:7">
      <c r="A9" s="383"/>
      <c r="B9" s="384" t="s">
        <v>26</v>
      </c>
      <c r="C9" s="385">
        <v>0.09</v>
      </c>
      <c r="D9" s="15">
        <f>C9/C7</f>
        <v>5.6603773584905663E-10</v>
      </c>
    </row>
    <row r="10" spans="1:7">
      <c r="A10" s="383"/>
      <c r="B10" s="384"/>
      <c r="C10" s="66">
        <f>C8*C9/12</f>
        <v>9750000</v>
      </c>
    </row>
    <row r="11" spans="1:7">
      <c r="A11" s="386" t="s">
        <v>64</v>
      </c>
      <c r="B11" s="367" t="s">
        <v>44</v>
      </c>
      <c r="C11" s="367" t="s">
        <v>45</v>
      </c>
    </row>
    <row r="12" spans="1:7" s="399" customFormat="1">
      <c r="A12" s="387" t="s">
        <v>46</v>
      </c>
      <c r="B12" s="388">
        <f>B14+B13</f>
        <v>48000000</v>
      </c>
      <c r="C12" s="71">
        <f>B12*12</f>
        <v>576000000</v>
      </c>
    </row>
    <row r="13" spans="1:7" s="437" customFormat="1" ht="33">
      <c r="A13" s="389" t="s">
        <v>843</v>
      </c>
      <c r="B13" s="390">
        <f>30*2*200000</f>
        <v>12000000</v>
      </c>
      <c r="C13" s="20">
        <f>B13*12</f>
        <v>144000000</v>
      </c>
      <c r="D13" s="436"/>
    </row>
    <row r="14" spans="1:7" ht="33">
      <c r="A14" s="389" t="s">
        <v>844</v>
      </c>
      <c r="B14" s="48">
        <f>30*30*40000</f>
        <v>36000000</v>
      </c>
      <c r="C14" s="20">
        <f>B14*12</f>
        <v>432000000</v>
      </c>
    </row>
    <row r="15" spans="1:7" s="399" customFormat="1">
      <c r="A15" s="387" t="s">
        <v>310</v>
      </c>
      <c r="B15" s="388">
        <f>SUM(B17:B21)</f>
        <v>17070000</v>
      </c>
      <c r="C15" s="71">
        <f>B15*12</f>
        <v>204840000</v>
      </c>
    </row>
    <row r="16" spans="1:7">
      <c r="A16" s="391" t="s">
        <v>311</v>
      </c>
      <c r="B16" s="392"/>
      <c r="C16" s="20">
        <f t="shared" ref="C16:C21" si="0">B16*12</f>
        <v>0</v>
      </c>
    </row>
    <row r="17" spans="1:3">
      <c r="A17" s="391" t="s">
        <v>312</v>
      </c>
      <c r="B17" s="48">
        <f>30*30*6*800</f>
        <v>4320000</v>
      </c>
      <c r="C17" s="20">
        <f t="shared" si="0"/>
        <v>51840000</v>
      </c>
    </row>
    <row r="18" spans="1:3">
      <c r="A18" s="391" t="s">
        <v>68</v>
      </c>
      <c r="B18" s="20">
        <v>1000000</v>
      </c>
      <c r="C18" s="20">
        <f t="shared" si="0"/>
        <v>12000000</v>
      </c>
    </row>
    <row r="19" spans="1:3">
      <c r="A19" s="391" t="s">
        <v>314</v>
      </c>
      <c r="B19" s="20">
        <v>1000000</v>
      </c>
      <c r="C19" s="20">
        <f t="shared" si="0"/>
        <v>12000000</v>
      </c>
    </row>
    <row r="20" spans="1:3">
      <c r="A20" s="391" t="s">
        <v>70</v>
      </c>
      <c r="B20" s="20">
        <f>C10</f>
        <v>9750000</v>
      </c>
      <c r="C20" s="20">
        <f t="shared" si="0"/>
        <v>117000000</v>
      </c>
    </row>
    <row r="21" spans="1:3">
      <c r="A21" s="391" t="s">
        <v>71</v>
      </c>
      <c r="B21" s="20">
        <v>1000000</v>
      </c>
      <c r="C21" s="20">
        <f t="shared" si="0"/>
        <v>12000000</v>
      </c>
    </row>
    <row r="22" spans="1:3">
      <c r="A22" s="393" t="s">
        <v>60</v>
      </c>
      <c r="B22" s="394">
        <f>B12-B15</f>
        <v>30930000</v>
      </c>
      <c r="C22" s="394">
        <f>C12-C15</f>
        <v>371160000</v>
      </c>
    </row>
  </sheetData>
  <pageMargins left="0.75" right="0.75" top="1" bottom="1" header="0.5" footer="0.5"/>
  <pageSetup orientation="portrait" verticalDpi="0"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G22"/>
  <sheetViews>
    <sheetView workbookViewId="0">
      <selection activeCell="C2" sqref="C2"/>
    </sheetView>
  </sheetViews>
  <sheetFormatPr defaultRowHeight="16.5"/>
  <cols>
    <col min="1" max="1" width="39.42578125" style="6" customWidth="1"/>
    <col min="2" max="2" width="21.7109375" style="6" bestFit="1" customWidth="1"/>
    <col min="3" max="3" width="20.28515625" style="6" customWidth="1"/>
    <col min="4" max="4" width="14.5703125" style="6" bestFit="1" customWidth="1"/>
    <col min="5" max="16384" width="9.140625" style="6"/>
  </cols>
  <sheetData>
    <row r="1" spans="1:7">
      <c r="C1" s="6" t="s">
        <v>3232</v>
      </c>
      <c r="G1" s="308" t="s">
        <v>1020</v>
      </c>
    </row>
    <row r="3" spans="1:7">
      <c r="A3" s="62" t="s">
        <v>306</v>
      </c>
      <c r="B3" s="5" t="s">
        <v>1</v>
      </c>
      <c r="C3" s="5" t="s">
        <v>4</v>
      </c>
    </row>
    <row r="4" spans="1:7">
      <c r="A4" s="63" t="s">
        <v>307</v>
      </c>
      <c r="B4" s="4">
        <v>30</v>
      </c>
      <c r="C4" s="43">
        <f>B4*9000000</f>
        <v>270000000</v>
      </c>
    </row>
    <row r="5" spans="1:7">
      <c r="A5" s="63" t="s">
        <v>308</v>
      </c>
      <c r="B5" s="4" t="s">
        <v>527</v>
      </c>
      <c r="C5" s="43">
        <v>150000000</v>
      </c>
      <c r="D5" s="8">
        <f>C6/60</f>
        <v>7000000</v>
      </c>
    </row>
    <row r="6" spans="1:7">
      <c r="A6" s="64"/>
      <c r="B6" s="65" t="s">
        <v>253</v>
      </c>
      <c r="C6" s="66">
        <f>C4+C5</f>
        <v>420000000</v>
      </c>
      <c r="D6" s="8"/>
    </row>
    <row r="7" spans="1:7">
      <c r="A7" s="64"/>
      <c r="B7" s="65" t="s">
        <v>27</v>
      </c>
      <c r="C7" s="66">
        <v>300000000</v>
      </c>
      <c r="D7" s="8">
        <f>C7*10%/12</f>
        <v>2500000</v>
      </c>
    </row>
    <row r="8" spans="1:7">
      <c r="A8" s="64"/>
      <c r="B8" s="65" t="s">
        <v>26</v>
      </c>
      <c r="C8" s="67">
        <f>C6-C7</f>
        <v>120000000</v>
      </c>
      <c r="D8" s="15">
        <f>C8/C6</f>
        <v>0.2857142857142857</v>
      </c>
    </row>
    <row r="9" spans="1:7">
      <c r="A9" s="64"/>
      <c r="B9" s="65"/>
      <c r="C9" s="180"/>
    </row>
    <row r="10" spans="1:7">
      <c r="A10" s="68" t="s">
        <v>64</v>
      </c>
      <c r="B10" s="5" t="s">
        <v>44</v>
      </c>
      <c r="C10" s="5" t="s">
        <v>45</v>
      </c>
    </row>
    <row r="11" spans="1:7" s="28" customFormat="1">
      <c r="A11" s="69" t="s">
        <v>46</v>
      </c>
      <c r="B11" s="70">
        <f>B12</f>
        <v>27000000</v>
      </c>
      <c r="C11" s="71">
        <f>B11*12</f>
        <v>324000000</v>
      </c>
    </row>
    <row r="12" spans="1:7">
      <c r="A12" s="21" t="s">
        <v>309</v>
      </c>
      <c r="B12" s="48">
        <f>30*30*6*5000</f>
        <v>27000000</v>
      </c>
      <c r="C12" s="20">
        <f>B12*12</f>
        <v>324000000</v>
      </c>
    </row>
    <row r="13" spans="1:7" s="28" customFormat="1">
      <c r="A13" s="69" t="s">
        <v>310</v>
      </c>
      <c r="B13" s="70">
        <f>SUM(B15:B21)</f>
        <v>19020000</v>
      </c>
      <c r="C13" s="71">
        <f>B13*12</f>
        <v>228240000</v>
      </c>
    </row>
    <row r="14" spans="1:7">
      <c r="A14" s="21" t="s">
        <v>311</v>
      </c>
      <c r="B14" s="72"/>
      <c r="C14" s="20">
        <f t="shared" ref="C14:C21" si="0">B14*12</f>
        <v>0</v>
      </c>
    </row>
    <row r="15" spans="1:7">
      <c r="A15" s="21" t="s">
        <v>312</v>
      </c>
      <c r="B15" s="48">
        <f>30*30*6*800</f>
        <v>4320000</v>
      </c>
      <c r="C15" s="20">
        <f t="shared" si="0"/>
        <v>51840000</v>
      </c>
    </row>
    <row r="16" spans="1:7">
      <c r="A16" s="21" t="s">
        <v>313</v>
      </c>
      <c r="B16" s="20">
        <v>3000000</v>
      </c>
      <c r="C16" s="20">
        <f t="shared" si="0"/>
        <v>36000000</v>
      </c>
    </row>
    <row r="17" spans="1:3">
      <c r="A17" s="21" t="s">
        <v>68</v>
      </c>
      <c r="B17" s="20">
        <f>D5</f>
        <v>7000000</v>
      </c>
      <c r="C17" s="20">
        <f t="shared" si="0"/>
        <v>84000000</v>
      </c>
    </row>
    <row r="18" spans="1:3">
      <c r="A18" s="21" t="s">
        <v>314</v>
      </c>
      <c r="B18" s="20">
        <v>1000000</v>
      </c>
      <c r="C18" s="20">
        <f t="shared" si="0"/>
        <v>12000000</v>
      </c>
    </row>
    <row r="19" spans="1:3">
      <c r="A19" s="21" t="s">
        <v>70</v>
      </c>
      <c r="B19" s="20">
        <f>D7</f>
        <v>2500000</v>
      </c>
      <c r="C19" s="20">
        <f t="shared" si="0"/>
        <v>30000000</v>
      </c>
    </row>
    <row r="20" spans="1:3">
      <c r="A20" s="21" t="s">
        <v>71</v>
      </c>
      <c r="B20" s="20">
        <v>1000000</v>
      </c>
      <c r="C20" s="20">
        <f t="shared" si="0"/>
        <v>12000000</v>
      </c>
    </row>
    <row r="21" spans="1:3">
      <c r="A21" s="21" t="s">
        <v>86</v>
      </c>
      <c r="B21" s="20">
        <v>200000</v>
      </c>
      <c r="C21" s="20">
        <f t="shared" si="0"/>
        <v>2400000</v>
      </c>
    </row>
    <row r="22" spans="1:3">
      <c r="A22" s="73" t="s">
        <v>60</v>
      </c>
      <c r="B22" s="74">
        <f>B11-B13</f>
        <v>7980000</v>
      </c>
      <c r="C22" s="74">
        <f>C11-C13</f>
        <v>95760000</v>
      </c>
    </row>
  </sheetData>
  <pageMargins left="0.75" right="0.75" top="1" bottom="1" header="0.5" footer="0.5"/>
  <pageSetup orientation="portrait" verticalDpi="0"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4"/>
  <sheetViews>
    <sheetView zoomScaleNormal="100" workbookViewId="0">
      <selection activeCell="B14" sqref="B14"/>
    </sheetView>
  </sheetViews>
  <sheetFormatPr defaultRowHeight="16.5"/>
  <cols>
    <col min="1" max="1" width="6.85546875" style="6" bestFit="1" customWidth="1"/>
    <col min="2" max="2" width="48.42578125" style="6" bestFit="1" customWidth="1"/>
    <col min="3" max="3" width="16.140625" style="6" bestFit="1" customWidth="1"/>
    <col min="4" max="4" width="14.140625" style="6" bestFit="1" customWidth="1"/>
    <col min="5" max="6" width="17.140625" style="6" bestFit="1" customWidth="1"/>
    <col min="7" max="7" width="9.140625" style="6"/>
    <col min="8" max="8" width="4.28515625" style="6" bestFit="1" customWidth="1"/>
    <col min="9" max="9" width="42.85546875" style="6" customWidth="1"/>
    <col min="10" max="10" width="20.7109375" style="6" bestFit="1" customWidth="1"/>
    <col min="11" max="11" width="18.5703125" style="6" bestFit="1" customWidth="1"/>
    <col min="12" max="12" width="18.42578125" style="6" customWidth="1"/>
    <col min="13" max="16384" width="9.140625" style="6"/>
  </cols>
  <sheetData>
    <row r="1" spans="1:12">
      <c r="C1" s="6" t="s">
        <v>473</v>
      </c>
      <c r="G1" s="308" t="s">
        <v>1020</v>
      </c>
    </row>
    <row r="3" spans="1:12" ht="33">
      <c r="A3" s="181" t="s">
        <v>97</v>
      </c>
      <c r="B3" s="181" t="s">
        <v>98</v>
      </c>
      <c r="C3" s="181" t="s">
        <v>99</v>
      </c>
      <c r="D3" s="181" t="s">
        <v>100</v>
      </c>
      <c r="E3" s="181" t="s">
        <v>101</v>
      </c>
      <c r="F3" s="181" t="s">
        <v>102</v>
      </c>
      <c r="H3" s="31" t="s">
        <v>0</v>
      </c>
      <c r="I3" s="31" t="s">
        <v>103</v>
      </c>
      <c r="J3" s="31" t="s">
        <v>104</v>
      </c>
      <c r="K3" s="5" t="s">
        <v>105</v>
      </c>
      <c r="L3" s="32" t="s">
        <v>106</v>
      </c>
    </row>
    <row r="4" spans="1:12">
      <c r="A4" s="182">
        <v>1</v>
      </c>
      <c r="B4" s="183" t="s">
        <v>107</v>
      </c>
      <c r="C4" s="183">
        <v>12</v>
      </c>
      <c r="D4" s="182" t="s">
        <v>108</v>
      </c>
      <c r="E4" s="183">
        <v>3000000</v>
      </c>
      <c r="F4" s="183">
        <f t="shared" ref="F4:F28" si="0">E4*C4</f>
        <v>36000000</v>
      </c>
      <c r="H4" s="5" t="s">
        <v>109</v>
      </c>
      <c r="I4" s="31" t="s">
        <v>110</v>
      </c>
      <c r="J4" s="33">
        <f>SUM(J5:J6)</f>
        <v>3300000</v>
      </c>
      <c r="K4" s="33">
        <f>SUM(K5:K6)</f>
        <v>99000000</v>
      </c>
      <c r="L4" s="33">
        <f>SUM(L5:L6)</f>
        <v>1188000000</v>
      </c>
    </row>
    <row r="5" spans="1:12" ht="33">
      <c r="A5" s="182">
        <v>2</v>
      </c>
      <c r="B5" s="183" t="s">
        <v>111</v>
      </c>
      <c r="C5" s="183">
        <v>15</v>
      </c>
      <c r="D5" s="182" t="s">
        <v>5</v>
      </c>
      <c r="E5" s="183">
        <v>1700000</v>
      </c>
      <c r="F5" s="183">
        <f t="shared" si="0"/>
        <v>25500000</v>
      </c>
      <c r="H5" s="4">
        <v>1</v>
      </c>
      <c r="I5" s="34" t="s">
        <v>112</v>
      </c>
      <c r="J5" s="35">
        <f>2.5*4*180000</f>
        <v>1800000</v>
      </c>
      <c r="K5" s="35">
        <f>J5*30</f>
        <v>54000000</v>
      </c>
      <c r="L5" s="36">
        <f>K5*12</f>
        <v>648000000</v>
      </c>
    </row>
    <row r="6" spans="1:12">
      <c r="A6" s="182">
        <v>3</v>
      </c>
      <c r="B6" s="183" t="s">
        <v>113</v>
      </c>
      <c r="C6" s="183">
        <v>30</v>
      </c>
      <c r="D6" s="182" t="s">
        <v>108</v>
      </c>
      <c r="E6" s="183">
        <v>3000</v>
      </c>
      <c r="F6" s="183">
        <f t="shared" si="0"/>
        <v>90000</v>
      </c>
      <c r="H6" s="4">
        <v>2</v>
      </c>
      <c r="I6" s="34" t="s">
        <v>114</v>
      </c>
      <c r="J6" s="35">
        <v>1500000</v>
      </c>
      <c r="K6" s="35">
        <f>J6*30</f>
        <v>45000000</v>
      </c>
      <c r="L6" s="36">
        <f>K6*12</f>
        <v>540000000</v>
      </c>
    </row>
    <row r="7" spans="1:12">
      <c r="A7" s="182">
        <v>4</v>
      </c>
      <c r="B7" s="183" t="s">
        <v>115</v>
      </c>
      <c r="C7" s="183">
        <v>40</v>
      </c>
      <c r="D7" s="182" t="s">
        <v>108</v>
      </c>
      <c r="E7" s="183">
        <v>10000</v>
      </c>
      <c r="F7" s="183">
        <f t="shared" si="0"/>
        <v>400000</v>
      </c>
      <c r="H7" s="5" t="s">
        <v>116</v>
      </c>
      <c r="I7" s="31" t="s">
        <v>22</v>
      </c>
      <c r="J7" s="33">
        <f>SUM(J8:J15)</f>
        <v>2806666.666666667</v>
      </c>
      <c r="K7" s="33">
        <f>SUM(K8:K15)</f>
        <v>84200000</v>
      </c>
      <c r="L7" s="33">
        <f>SUM(L8:L15)</f>
        <v>1011400000</v>
      </c>
    </row>
    <row r="8" spans="1:12">
      <c r="A8" s="182">
        <v>5</v>
      </c>
      <c r="B8" s="183" t="s">
        <v>117</v>
      </c>
      <c r="C8" s="183">
        <v>5</v>
      </c>
      <c r="D8" s="182" t="s">
        <v>108</v>
      </c>
      <c r="E8" s="183">
        <v>30000</v>
      </c>
      <c r="F8" s="183">
        <f t="shared" si="0"/>
        <v>150000</v>
      </c>
      <c r="H8" s="4">
        <v>1</v>
      </c>
      <c r="I8" s="34" t="s">
        <v>118</v>
      </c>
      <c r="J8" s="35">
        <v>1300000</v>
      </c>
      <c r="K8" s="35">
        <f t="shared" ref="K8:K13" si="1">J8*30</f>
        <v>39000000</v>
      </c>
      <c r="L8" s="36">
        <f t="shared" ref="L8:L13" si="2">K8*12</f>
        <v>468000000</v>
      </c>
    </row>
    <row r="9" spans="1:12">
      <c r="A9" s="182">
        <v>6</v>
      </c>
      <c r="B9" s="183" t="s">
        <v>119</v>
      </c>
      <c r="C9" s="183">
        <v>20</v>
      </c>
      <c r="D9" s="182" t="s">
        <v>120</v>
      </c>
      <c r="E9" s="183">
        <v>16200</v>
      </c>
      <c r="F9" s="183">
        <f t="shared" si="0"/>
        <v>324000</v>
      </c>
      <c r="H9" s="4">
        <v>2</v>
      </c>
      <c r="I9" s="34" t="s">
        <v>121</v>
      </c>
      <c r="J9" s="35">
        <v>100000</v>
      </c>
      <c r="K9" s="35">
        <f t="shared" si="1"/>
        <v>3000000</v>
      </c>
      <c r="L9" s="36">
        <f t="shared" si="2"/>
        <v>36000000</v>
      </c>
    </row>
    <row r="10" spans="1:12">
      <c r="A10" s="182">
        <v>7</v>
      </c>
      <c r="B10" s="183" t="s">
        <v>122</v>
      </c>
      <c r="C10" s="183">
        <v>20</v>
      </c>
      <c r="D10" s="182" t="s">
        <v>120</v>
      </c>
      <c r="E10" s="183">
        <v>10600</v>
      </c>
      <c r="F10" s="183">
        <f t="shared" si="0"/>
        <v>212000</v>
      </c>
      <c r="H10" s="4">
        <v>3</v>
      </c>
      <c r="I10" s="34" t="s">
        <v>123</v>
      </c>
      <c r="J10" s="35">
        <v>50000</v>
      </c>
      <c r="K10" s="35">
        <f t="shared" si="1"/>
        <v>1500000</v>
      </c>
      <c r="L10" s="36">
        <f t="shared" si="2"/>
        <v>18000000</v>
      </c>
    </row>
    <row r="11" spans="1:12">
      <c r="A11" s="182">
        <v>8</v>
      </c>
      <c r="B11" s="183" t="s">
        <v>124</v>
      </c>
      <c r="C11" s="183">
        <v>20</v>
      </c>
      <c r="D11" s="182" t="s">
        <v>120</v>
      </c>
      <c r="E11" s="183">
        <v>7200</v>
      </c>
      <c r="F11" s="183">
        <f t="shared" si="0"/>
        <v>144000</v>
      </c>
      <c r="H11" s="4">
        <v>4</v>
      </c>
      <c r="I11" s="34" t="s">
        <v>125</v>
      </c>
      <c r="J11" s="35">
        <f>F31*12%/360</f>
        <v>166666.66666666666</v>
      </c>
      <c r="K11" s="35">
        <f t="shared" si="1"/>
        <v>5000000</v>
      </c>
      <c r="L11" s="36">
        <f t="shared" si="2"/>
        <v>60000000</v>
      </c>
    </row>
    <row r="12" spans="1:12">
      <c r="A12" s="182">
        <v>9</v>
      </c>
      <c r="B12" s="183" t="s">
        <v>126</v>
      </c>
      <c r="C12" s="183">
        <v>60</v>
      </c>
      <c r="D12" s="182" t="s">
        <v>108</v>
      </c>
      <c r="E12" s="183">
        <v>1200</v>
      </c>
      <c r="F12" s="183">
        <f t="shared" si="0"/>
        <v>72000</v>
      </c>
      <c r="H12" s="4">
        <v>5</v>
      </c>
      <c r="I12" s="34" t="s">
        <v>127</v>
      </c>
      <c r="J12" s="35">
        <v>140000</v>
      </c>
      <c r="K12" s="35">
        <f t="shared" si="1"/>
        <v>4200000</v>
      </c>
      <c r="L12" s="36">
        <f t="shared" si="2"/>
        <v>50400000</v>
      </c>
    </row>
    <row r="13" spans="1:12">
      <c r="A13" s="182">
        <v>10</v>
      </c>
      <c r="B13" s="183" t="s">
        <v>128</v>
      </c>
      <c r="C13" s="183">
        <v>2</v>
      </c>
      <c r="D13" s="182" t="s">
        <v>108</v>
      </c>
      <c r="E13" s="183">
        <v>600000</v>
      </c>
      <c r="F13" s="183">
        <f t="shared" si="0"/>
        <v>1200000</v>
      </c>
      <c r="H13" s="4">
        <v>6</v>
      </c>
      <c r="I13" s="34" t="s">
        <v>129</v>
      </c>
      <c r="J13" s="35">
        <v>50000</v>
      </c>
      <c r="K13" s="35">
        <f t="shared" si="1"/>
        <v>1500000</v>
      </c>
      <c r="L13" s="36">
        <f t="shared" si="2"/>
        <v>18000000</v>
      </c>
    </row>
    <row r="14" spans="1:12">
      <c r="A14" s="182">
        <v>11</v>
      </c>
      <c r="B14" s="183" t="s">
        <v>130</v>
      </c>
      <c r="C14" s="183">
        <v>4</v>
      </c>
      <c r="D14" s="182" t="s">
        <v>108</v>
      </c>
      <c r="E14" s="183">
        <v>7700000</v>
      </c>
      <c r="F14" s="183">
        <f t="shared" si="0"/>
        <v>30800000</v>
      </c>
      <c r="H14" s="4">
        <v>7</v>
      </c>
      <c r="I14" s="34" t="s">
        <v>131</v>
      </c>
      <c r="J14" s="35">
        <v>0</v>
      </c>
      <c r="K14" s="35">
        <v>0</v>
      </c>
      <c r="L14" s="36">
        <v>1000000</v>
      </c>
    </row>
    <row r="15" spans="1:12">
      <c r="A15" s="182">
        <v>12</v>
      </c>
      <c r="B15" s="183" t="s">
        <v>132</v>
      </c>
      <c r="C15" s="183">
        <v>8</v>
      </c>
      <c r="D15" s="182" t="s">
        <v>133</v>
      </c>
      <c r="E15" s="183">
        <v>7000000</v>
      </c>
      <c r="F15" s="183">
        <f t="shared" si="0"/>
        <v>56000000</v>
      </c>
      <c r="H15" s="4">
        <v>8</v>
      </c>
      <c r="I15" s="34" t="s">
        <v>21</v>
      </c>
      <c r="J15" s="35">
        <v>1000000</v>
      </c>
      <c r="K15" s="35">
        <f>J15*30</f>
        <v>30000000</v>
      </c>
      <c r="L15" s="36">
        <f>K15*12</f>
        <v>360000000</v>
      </c>
    </row>
    <row r="16" spans="1:12">
      <c r="A16" s="182">
        <v>13</v>
      </c>
      <c r="B16" s="183" t="s">
        <v>134</v>
      </c>
      <c r="C16" s="183">
        <v>4</v>
      </c>
      <c r="D16" s="182" t="s">
        <v>108</v>
      </c>
      <c r="E16" s="183">
        <v>1900000</v>
      </c>
      <c r="F16" s="183">
        <f t="shared" si="0"/>
        <v>7600000</v>
      </c>
      <c r="H16" s="5" t="s">
        <v>135</v>
      </c>
      <c r="I16" s="31" t="s">
        <v>136</v>
      </c>
      <c r="J16" s="33">
        <f>J4-J7</f>
        <v>493333.33333333302</v>
      </c>
      <c r="K16" s="33">
        <f>K4-K7</f>
        <v>14800000</v>
      </c>
      <c r="L16" s="33">
        <f>L4-L7</f>
        <v>176600000</v>
      </c>
    </row>
    <row r="17" spans="1:7">
      <c r="A17" s="182">
        <v>14</v>
      </c>
      <c r="B17" s="183" t="s">
        <v>137</v>
      </c>
      <c r="C17" s="183">
        <v>8</v>
      </c>
      <c r="D17" s="182" t="s">
        <v>108</v>
      </c>
      <c r="E17" s="183">
        <v>20000000</v>
      </c>
      <c r="F17" s="183">
        <f t="shared" si="0"/>
        <v>160000000</v>
      </c>
    </row>
    <row r="18" spans="1:7">
      <c r="A18" s="182">
        <v>15</v>
      </c>
      <c r="B18" s="183" t="s">
        <v>138</v>
      </c>
      <c r="C18" s="183">
        <v>4</v>
      </c>
      <c r="D18" s="182" t="s">
        <v>139</v>
      </c>
      <c r="E18" s="183">
        <v>3000000</v>
      </c>
      <c r="F18" s="183">
        <f t="shared" si="0"/>
        <v>12000000</v>
      </c>
    </row>
    <row r="19" spans="1:7">
      <c r="A19" s="182">
        <v>16</v>
      </c>
      <c r="B19" s="183" t="s">
        <v>140</v>
      </c>
      <c r="C19" s="183">
        <v>2</v>
      </c>
      <c r="D19" s="182" t="s">
        <v>108</v>
      </c>
      <c r="E19" s="183">
        <v>1200000</v>
      </c>
      <c r="F19" s="183">
        <f t="shared" si="0"/>
        <v>2400000</v>
      </c>
    </row>
    <row r="20" spans="1:7">
      <c r="A20" s="182">
        <v>17</v>
      </c>
      <c r="B20" s="183" t="s">
        <v>141</v>
      </c>
      <c r="C20" s="183">
        <v>1</v>
      </c>
      <c r="D20" s="182" t="s">
        <v>108</v>
      </c>
      <c r="E20" s="183">
        <v>8500000</v>
      </c>
      <c r="F20" s="183">
        <f t="shared" si="0"/>
        <v>8500000</v>
      </c>
    </row>
    <row r="21" spans="1:7">
      <c r="A21" s="182">
        <v>18</v>
      </c>
      <c r="B21" s="183" t="s">
        <v>142</v>
      </c>
      <c r="C21" s="183">
        <v>12</v>
      </c>
      <c r="D21" s="182" t="s">
        <v>143</v>
      </c>
      <c r="E21" s="183">
        <v>7000000</v>
      </c>
      <c r="F21" s="183">
        <f t="shared" si="0"/>
        <v>84000000</v>
      </c>
    </row>
    <row r="22" spans="1:7">
      <c r="A22" s="182">
        <v>19</v>
      </c>
      <c r="B22" s="183" t="s">
        <v>144</v>
      </c>
      <c r="C22" s="183">
        <v>1</v>
      </c>
      <c r="D22" s="182" t="s">
        <v>108</v>
      </c>
      <c r="E22" s="183">
        <v>10000000</v>
      </c>
      <c r="F22" s="183">
        <f t="shared" si="0"/>
        <v>10000000</v>
      </c>
    </row>
    <row r="23" spans="1:7">
      <c r="A23" s="182">
        <v>20</v>
      </c>
      <c r="B23" s="183" t="s">
        <v>145</v>
      </c>
      <c r="C23" s="183">
        <v>3</v>
      </c>
      <c r="D23" s="182" t="s">
        <v>139</v>
      </c>
      <c r="E23" s="183">
        <v>300000</v>
      </c>
      <c r="F23" s="183">
        <f t="shared" si="0"/>
        <v>900000</v>
      </c>
    </row>
    <row r="24" spans="1:7">
      <c r="A24" s="182">
        <v>21</v>
      </c>
      <c r="B24" s="183" t="s">
        <v>146</v>
      </c>
      <c r="C24" s="183">
        <v>4</v>
      </c>
      <c r="D24" s="182" t="s">
        <v>139</v>
      </c>
      <c r="E24" s="183">
        <v>17000000</v>
      </c>
      <c r="F24" s="183">
        <f t="shared" si="0"/>
        <v>68000000</v>
      </c>
    </row>
    <row r="25" spans="1:7">
      <c r="A25" s="182">
        <v>22</v>
      </c>
      <c r="B25" s="183" t="s">
        <v>147</v>
      </c>
      <c r="C25" s="183">
        <v>1</v>
      </c>
      <c r="D25" s="182" t="s">
        <v>139</v>
      </c>
      <c r="E25" s="183">
        <v>3000000</v>
      </c>
      <c r="F25" s="183">
        <f t="shared" si="0"/>
        <v>3000000</v>
      </c>
    </row>
    <row r="26" spans="1:7">
      <c r="A26" s="182">
        <v>23</v>
      </c>
      <c r="B26" s="183" t="s">
        <v>148</v>
      </c>
      <c r="C26" s="183">
        <v>1</v>
      </c>
      <c r="D26" s="182" t="s">
        <v>149</v>
      </c>
      <c r="E26" s="184">
        <v>330000000</v>
      </c>
      <c r="F26" s="183">
        <f t="shared" si="0"/>
        <v>330000000</v>
      </c>
    </row>
    <row r="27" spans="1:7">
      <c r="A27" s="182">
        <v>24</v>
      </c>
      <c r="B27" s="183" t="s">
        <v>150</v>
      </c>
      <c r="C27" s="183">
        <v>1</v>
      </c>
      <c r="D27" s="182" t="s">
        <v>139</v>
      </c>
      <c r="E27" s="183">
        <v>5000000</v>
      </c>
      <c r="F27" s="183">
        <f t="shared" si="0"/>
        <v>5000000</v>
      </c>
    </row>
    <row r="28" spans="1:7">
      <c r="A28" s="182">
        <v>25</v>
      </c>
      <c r="B28" s="183" t="s">
        <v>151</v>
      </c>
      <c r="C28" s="183">
        <v>3</v>
      </c>
      <c r="D28" s="182" t="s">
        <v>152</v>
      </c>
      <c r="E28" s="183">
        <v>1500000</v>
      </c>
      <c r="F28" s="183">
        <f t="shared" si="0"/>
        <v>4500000</v>
      </c>
    </row>
    <row r="29" spans="1:7">
      <c r="A29" s="185"/>
      <c r="B29" s="185"/>
      <c r="C29" s="185"/>
      <c r="D29" s="2538" t="s">
        <v>153</v>
      </c>
      <c r="E29" s="2539"/>
      <c r="F29" s="212">
        <f>SUM(F4:F28)</f>
        <v>846792000</v>
      </c>
    </row>
    <row r="30" spans="1:7" ht="17.25" thickBot="1">
      <c r="A30" s="186"/>
      <c r="B30" s="186"/>
      <c r="C30" s="187"/>
      <c r="D30" s="2540" t="s">
        <v>154</v>
      </c>
      <c r="E30" s="2541"/>
      <c r="F30" s="213">
        <f>F29-F31</f>
        <v>346792000</v>
      </c>
    </row>
    <row r="31" spans="1:7" ht="17.25" thickTop="1">
      <c r="A31" s="186"/>
      <c r="B31" s="186"/>
      <c r="C31" s="187"/>
      <c r="D31" s="2542" t="s">
        <v>155</v>
      </c>
      <c r="E31" s="2543"/>
      <c r="F31" s="184">
        <v>500000000</v>
      </c>
    </row>
    <row r="32" spans="1:7">
      <c r="A32" s="186"/>
      <c r="B32" s="186"/>
      <c r="C32" s="187"/>
      <c r="D32" s="2544" t="s">
        <v>28</v>
      </c>
      <c r="E32" s="2544"/>
      <c r="F32" s="188">
        <f>F30/F29</f>
        <v>0.40953622613345425</v>
      </c>
      <c r="G32" s="189"/>
    </row>
    <row r="33" spans="1:7">
      <c r="A33" s="8"/>
      <c r="B33" s="8"/>
      <c r="C33" s="8"/>
      <c r="D33" s="8"/>
      <c r="E33" s="8"/>
      <c r="F33" s="8"/>
      <c r="G33" s="189"/>
    </row>
    <row r="34" spans="1:7">
      <c r="A34" s="8"/>
      <c r="B34" s="8"/>
      <c r="C34" s="8"/>
      <c r="D34" s="8"/>
      <c r="E34" s="8"/>
      <c r="F34" s="8"/>
      <c r="G34" s="189"/>
    </row>
    <row r="35" spans="1:7">
      <c r="A35" s="190"/>
      <c r="B35" s="191" t="s">
        <v>156</v>
      </c>
      <c r="C35" s="192">
        <v>50</v>
      </c>
      <c r="D35" s="193" t="s">
        <v>157</v>
      </c>
      <c r="E35" s="194"/>
      <c r="F35" s="195"/>
      <c r="G35" s="189"/>
    </row>
    <row r="36" spans="1:7">
      <c r="A36" s="190"/>
      <c r="B36" s="191" t="s">
        <v>158</v>
      </c>
      <c r="C36" s="192">
        <v>10000</v>
      </c>
      <c r="D36" s="193" t="s">
        <v>159</v>
      </c>
      <c r="E36" s="194"/>
      <c r="F36" s="195"/>
      <c r="G36" s="189"/>
    </row>
    <row r="37" spans="1:7">
      <c r="A37" s="196"/>
      <c r="B37" s="197" t="s">
        <v>160</v>
      </c>
      <c r="C37" s="198">
        <v>7</v>
      </c>
      <c r="D37" s="199" t="s">
        <v>161</v>
      </c>
      <c r="E37" s="200"/>
      <c r="F37" s="201"/>
      <c r="G37" s="189"/>
    </row>
    <row r="38" spans="1:7">
      <c r="A38" s="190"/>
      <c r="B38" s="191" t="s">
        <v>162</v>
      </c>
      <c r="C38" s="192">
        <v>50000</v>
      </c>
      <c r="D38" s="193" t="s">
        <v>163</v>
      </c>
      <c r="E38" s="194"/>
      <c r="F38" s="195"/>
    </row>
    <row r="39" spans="1:7">
      <c r="A39" s="196"/>
      <c r="B39" s="202" t="s">
        <v>164</v>
      </c>
      <c r="C39" s="203">
        <v>4</v>
      </c>
      <c r="D39" s="86" t="s">
        <v>165</v>
      </c>
      <c r="E39" s="204"/>
      <c r="F39" s="205"/>
    </row>
    <row r="40" spans="1:7">
      <c r="A40" s="190"/>
      <c r="B40" s="191" t="s">
        <v>166</v>
      </c>
      <c r="C40" s="192">
        <v>35000</v>
      </c>
      <c r="D40" s="193" t="s">
        <v>167</v>
      </c>
      <c r="E40" s="194"/>
      <c r="F40" s="195"/>
    </row>
    <row r="41" spans="1:7">
      <c r="A41" s="196"/>
      <c r="B41" s="202" t="s">
        <v>168</v>
      </c>
      <c r="C41" s="203">
        <v>20</v>
      </c>
      <c r="D41" s="86" t="s">
        <v>169</v>
      </c>
      <c r="E41" s="204"/>
      <c r="F41" s="205"/>
    </row>
    <row r="42" spans="1:7">
      <c r="A42" s="190"/>
      <c r="B42" s="191" t="s">
        <v>170</v>
      </c>
      <c r="C42" s="192">
        <v>9000</v>
      </c>
      <c r="D42" s="193" t="s">
        <v>171</v>
      </c>
      <c r="E42" s="194"/>
      <c r="F42" s="195"/>
    </row>
    <row r="43" spans="1:7">
      <c r="A43" s="196"/>
      <c r="B43" s="214" t="s">
        <v>172</v>
      </c>
      <c r="C43" s="215">
        <f>C35*C36+C37*C38+C39*C40+C41*C42</f>
        <v>1170000</v>
      </c>
      <c r="D43" s="50" t="s">
        <v>173</v>
      </c>
      <c r="E43" s="204"/>
      <c r="F43" s="205"/>
    </row>
    <row r="44" spans="1:7">
      <c r="A44" s="190"/>
      <c r="B44" s="191" t="s">
        <v>174</v>
      </c>
      <c r="C44" s="192">
        <v>6000</v>
      </c>
      <c r="D44" s="193" t="s">
        <v>159</v>
      </c>
      <c r="E44" s="194"/>
      <c r="F44" s="195"/>
    </row>
    <row r="45" spans="1:7">
      <c r="A45" s="196"/>
      <c r="B45" s="202" t="s">
        <v>175</v>
      </c>
      <c r="C45" s="203">
        <f>(F17+F16+F14+F21+F20)/2/360</f>
        <v>404027.77777777775</v>
      </c>
      <c r="D45" s="86" t="s">
        <v>173</v>
      </c>
      <c r="E45" s="204"/>
      <c r="F45" s="205"/>
    </row>
    <row r="46" spans="1:7">
      <c r="A46" s="190"/>
      <c r="B46" s="191" t="s">
        <v>176</v>
      </c>
      <c r="C46" s="192">
        <v>17000</v>
      </c>
      <c r="D46" s="193" t="s">
        <v>167</v>
      </c>
      <c r="E46" s="194"/>
      <c r="F46" s="195"/>
    </row>
    <row r="47" spans="1:7">
      <c r="A47" s="196"/>
      <c r="B47" s="202" t="s">
        <v>177</v>
      </c>
      <c r="C47" s="203">
        <v>3000</v>
      </c>
      <c r="D47" s="86" t="s">
        <v>171</v>
      </c>
      <c r="E47" s="204"/>
      <c r="F47" s="205"/>
    </row>
    <row r="48" spans="1:7">
      <c r="A48" s="190"/>
      <c r="B48" s="191" t="s">
        <v>178</v>
      </c>
      <c r="C48" s="192">
        <v>1</v>
      </c>
      <c r="D48" s="193" t="s">
        <v>10</v>
      </c>
      <c r="E48" s="194"/>
      <c r="F48" s="195"/>
    </row>
    <row r="49" spans="1:6">
      <c r="A49" s="196"/>
      <c r="B49" s="202" t="s">
        <v>179</v>
      </c>
      <c r="C49" s="203">
        <v>800000</v>
      </c>
      <c r="D49" s="86" t="s">
        <v>180</v>
      </c>
      <c r="E49" s="204"/>
      <c r="F49" s="205"/>
    </row>
    <row r="50" spans="1:6">
      <c r="A50" s="190"/>
      <c r="B50" s="191" t="s">
        <v>181</v>
      </c>
      <c r="C50" s="192">
        <f>C48*C49</f>
        <v>800000</v>
      </c>
      <c r="D50" s="193" t="s">
        <v>182</v>
      </c>
      <c r="E50" s="194"/>
      <c r="F50" s="195"/>
    </row>
    <row r="51" spans="1:6">
      <c r="A51" s="196"/>
      <c r="B51" s="216" t="s">
        <v>183</v>
      </c>
      <c r="C51" s="203">
        <f>C50/30</f>
        <v>26666.666666666668</v>
      </c>
      <c r="D51" s="86" t="s">
        <v>173</v>
      </c>
      <c r="E51" s="204"/>
      <c r="F51" s="205"/>
    </row>
    <row r="52" spans="1:6">
      <c r="A52" s="190"/>
      <c r="B52" s="191" t="s">
        <v>184</v>
      </c>
      <c r="C52" s="192">
        <v>1500000</v>
      </c>
      <c r="D52" s="206" t="s">
        <v>182</v>
      </c>
      <c r="E52" s="194"/>
      <c r="F52" s="195"/>
    </row>
    <row r="53" spans="1:6">
      <c r="A53" s="196"/>
      <c r="B53" s="217" t="s">
        <v>185</v>
      </c>
      <c r="C53" s="215">
        <f>C52/30</f>
        <v>50000</v>
      </c>
      <c r="D53" s="50" t="s">
        <v>173</v>
      </c>
      <c r="E53" s="204"/>
      <c r="F53" s="205"/>
    </row>
    <row r="54" spans="1:6">
      <c r="A54" s="190"/>
      <c r="B54" s="191" t="s">
        <v>186</v>
      </c>
      <c r="C54" s="192">
        <v>300000</v>
      </c>
      <c r="D54" s="206" t="s">
        <v>182</v>
      </c>
      <c r="E54" s="194"/>
      <c r="F54" s="195"/>
    </row>
    <row r="55" spans="1:6">
      <c r="A55" s="196"/>
      <c r="B55" s="217" t="s">
        <v>187</v>
      </c>
      <c r="C55" s="215">
        <f>C54/30</f>
        <v>10000</v>
      </c>
      <c r="D55" s="50" t="s">
        <v>173</v>
      </c>
      <c r="E55" s="204"/>
      <c r="F55" s="205"/>
    </row>
    <row r="56" spans="1:6">
      <c r="A56" s="190"/>
      <c r="B56" s="218" t="s">
        <v>188</v>
      </c>
      <c r="C56" s="192">
        <f>C57/360</f>
        <v>183333.33333333334</v>
      </c>
      <c r="D56" s="193" t="s">
        <v>182</v>
      </c>
      <c r="E56" s="194"/>
      <c r="F56" s="195"/>
    </row>
    <row r="57" spans="1:6">
      <c r="A57" s="196"/>
      <c r="B57" s="202" t="s">
        <v>189</v>
      </c>
      <c r="C57" s="215">
        <f>F26/5</f>
        <v>66000000</v>
      </c>
      <c r="D57" s="50" t="s">
        <v>190</v>
      </c>
      <c r="E57" s="204"/>
      <c r="F57" s="205"/>
    </row>
    <row r="58" spans="1:6">
      <c r="A58" s="190"/>
      <c r="B58" s="191" t="s">
        <v>191</v>
      </c>
      <c r="C58" s="192">
        <v>1200000</v>
      </c>
      <c r="D58" s="206" t="s">
        <v>182</v>
      </c>
      <c r="E58" s="194"/>
      <c r="F58" s="195"/>
    </row>
    <row r="59" spans="1:6">
      <c r="A59" s="196"/>
      <c r="B59" s="216" t="s">
        <v>192</v>
      </c>
      <c r="C59" s="203">
        <f>C58/30</f>
        <v>40000</v>
      </c>
      <c r="D59" s="140" t="s">
        <v>173</v>
      </c>
      <c r="E59" s="204"/>
      <c r="F59" s="205"/>
    </row>
    <row r="60" spans="1:6">
      <c r="A60" s="210"/>
      <c r="B60" s="207" t="s">
        <v>193</v>
      </c>
      <c r="C60" s="208">
        <f>F31*10.5/100/360</f>
        <v>145833.33333333334</v>
      </c>
      <c r="D60" s="206" t="s">
        <v>173</v>
      </c>
      <c r="E60" s="193"/>
      <c r="F60" s="207"/>
    </row>
    <row r="61" spans="1:6">
      <c r="A61" s="189"/>
      <c r="B61" s="209" t="s">
        <v>194</v>
      </c>
      <c r="C61" s="204">
        <v>5000</v>
      </c>
      <c r="D61" s="140" t="s">
        <v>173</v>
      </c>
      <c r="E61" s="86"/>
      <c r="F61" s="209"/>
    </row>
    <row r="62" spans="1:6">
      <c r="A62" s="189"/>
      <c r="B62" s="209" t="s">
        <v>195</v>
      </c>
      <c r="C62" s="204">
        <v>10000</v>
      </c>
      <c r="D62" s="140" t="s">
        <v>173</v>
      </c>
      <c r="E62" s="86"/>
      <c r="F62" s="209"/>
    </row>
    <row r="63" spans="1:6">
      <c r="A63" s="210"/>
      <c r="B63" s="219" t="s">
        <v>196</v>
      </c>
      <c r="C63" s="220">
        <f>C51+C53+C55+C56+C59+C35*C44+C45+C39*C46+C41*C47+C60+C61+C62</f>
        <v>1302861.111111111</v>
      </c>
      <c r="D63" s="221" t="s">
        <v>173</v>
      </c>
      <c r="E63" s="193"/>
      <c r="F63" s="207"/>
    </row>
    <row r="64" spans="1:6">
      <c r="A64" s="222"/>
      <c r="B64" s="223" t="s">
        <v>197</v>
      </c>
      <c r="C64" s="224">
        <f>C43-C63</f>
        <v>-132861.11111111101</v>
      </c>
      <c r="D64" s="225" t="s">
        <v>173</v>
      </c>
      <c r="E64" s="226"/>
      <c r="F64" s="227"/>
    </row>
    <row r="65" spans="1:6">
      <c r="A65" s="222"/>
      <c r="B65" s="223" t="s">
        <v>198</v>
      </c>
      <c r="C65" s="224">
        <f>C64*30</f>
        <v>-3985833.3333333302</v>
      </c>
      <c r="D65" s="225" t="s">
        <v>182</v>
      </c>
      <c r="E65" s="226"/>
      <c r="F65" s="227"/>
    </row>
    <row r="66" spans="1:6">
      <c r="A66" s="222"/>
      <c r="B66" s="223" t="s">
        <v>199</v>
      </c>
      <c r="C66" s="224">
        <f>C65*12</f>
        <v>-47829999.999999963</v>
      </c>
      <c r="D66" s="225" t="s">
        <v>190</v>
      </c>
      <c r="E66" s="226"/>
      <c r="F66" s="227"/>
    </row>
    <row r="67" spans="1:6">
      <c r="A67" s="210"/>
      <c r="B67" s="228" t="s">
        <v>200</v>
      </c>
      <c r="C67" s="229">
        <f>C45*360+C56*360</f>
        <v>211450000</v>
      </c>
      <c r="D67" s="221" t="s">
        <v>190</v>
      </c>
      <c r="E67" s="193"/>
      <c r="F67" s="207"/>
    </row>
    <row r="69" spans="1:6">
      <c r="B69" s="230" t="s">
        <v>201</v>
      </c>
      <c r="C69" s="211">
        <f>C66*0.2</f>
        <v>-9565999.9999999925</v>
      </c>
      <c r="D69" s="230" t="s">
        <v>202</v>
      </c>
    </row>
    <row r="70" spans="1:6">
      <c r="B70" s="230" t="s">
        <v>203</v>
      </c>
      <c r="C70" s="211">
        <f>C67*0.63</f>
        <v>133213500</v>
      </c>
      <c r="D70" s="230" t="s">
        <v>202</v>
      </c>
    </row>
    <row r="71" spans="1:6">
      <c r="B71" s="230" t="s">
        <v>204</v>
      </c>
      <c r="C71" s="211">
        <f>C69+C70</f>
        <v>123647500</v>
      </c>
      <c r="D71" s="230" t="s">
        <v>202</v>
      </c>
    </row>
    <row r="74" spans="1:6">
      <c r="A74" s="6" t="s">
        <v>0</v>
      </c>
      <c r="B74" s="230" t="s">
        <v>205</v>
      </c>
    </row>
  </sheetData>
  <mergeCells count="4">
    <mergeCell ref="D29:E29"/>
    <mergeCell ref="D30:E30"/>
    <mergeCell ref="D31:E31"/>
    <mergeCell ref="D32:E32"/>
  </mergeCells>
  <pageMargins left="0.5" right="0.25" top="1" bottom="1" header="0.5" footer="0.5"/>
  <pageSetup orientation="portrait"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dimension ref="B1:K46"/>
  <sheetViews>
    <sheetView workbookViewId="0">
      <selection activeCell="C2" sqref="C2"/>
    </sheetView>
  </sheetViews>
  <sheetFormatPr defaultColWidth="9" defaultRowHeight="16.5"/>
  <cols>
    <col min="1" max="1" width="6" style="311" customWidth="1"/>
    <col min="2" max="2" width="5.7109375" style="2353" customWidth="1"/>
    <col min="3" max="3" width="31" style="311" bestFit="1" customWidth="1"/>
    <col min="4" max="4" width="16" style="2353" bestFit="1" customWidth="1"/>
    <col min="5" max="5" width="12" style="311" bestFit="1" customWidth="1"/>
    <col min="6" max="6" width="13.28515625" style="311" bestFit="1" customWidth="1"/>
    <col min="7" max="7" width="18" style="311" bestFit="1" customWidth="1"/>
    <col min="8" max="8" width="9" style="311"/>
    <col min="9" max="9" width="18" style="311" bestFit="1" customWidth="1"/>
    <col min="10" max="10" width="9" style="311"/>
    <col min="11" max="11" width="21.28515625" style="311" bestFit="1" customWidth="1"/>
    <col min="12" max="12" width="14.28515625" style="311" bestFit="1" customWidth="1"/>
    <col min="13" max="16384" width="9" style="311"/>
  </cols>
  <sheetData>
    <row r="1" spans="2:11">
      <c r="C1" s="311" t="s">
        <v>3165</v>
      </c>
      <c r="G1" s="309" t="s">
        <v>1020</v>
      </c>
    </row>
    <row r="5" spans="2:11">
      <c r="G5" s="1572" t="s">
        <v>3146</v>
      </c>
    </row>
    <row r="6" spans="2:11">
      <c r="B6" s="2333" t="s">
        <v>97</v>
      </c>
      <c r="C6" s="2333" t="s">
        <v>3145</v>
      </c>
      <c r="D6" s="2333" t="s">
        <v>100</v>
      </c>
      <c r="E6" s="2333" t="s">
        <v>1</v>
      </c>
      <c r="F6" s="2333" t="s">
        <v>3</v>
      </c>
      <c r="G6" s="2333" t="s">
        <v>4</v>
      </c>
    </row>
    <row r="7" spans="2:11">
      <c r="B7" s="2334">
        <v>1</v>
      </c>
      <c r="C7" s="158" t="s">
        <v>3164</v>
      </c>
      <c r="D7" s="2334" t="s">
        <v>829</v>
      </c>
      <c r="E7" s="1566">
        <v>1200</v>
      </c>
      <c r="F7" s="1566">
        <v>50000</v>
      </c>
      <c r="G7" s="1566">
        <f t="shared" ref="G7:G15" si="0">E7*F7</f>
        <v>60000000</v>
      </c>
    </row>
    <row r="8" spans="2:11">
      <c r="B8" s="2334">
        <v>2</v>
      </c>
      <c r="C8" s="158" t="s">
        <v>3163</v>
      </c>
      <c r="D8" s="2334" t="s">
        <v>829</v>
      </c>
      <c r="E8" s="1566">
        <v>1400</v>
      </c>
      <c r="F8" s="1566">
        <v>52000</v>
      </c>
      <c r="G8" s="1566">
        <f t="shared" si="0"/>
        <v>72800000</v>
      </c>
    </row>
    <row r="9" spans="2:11">
      <c r="B9" s="2334">
        <v>3</v>
      </c>
      <c r="C9" s="158" t="s">
        <v>3162</v>
      </c>
      <c r="D9" s="2334" t="s">
        <v>3158</v>
      </c>
      <c r="E9" s="1566">
        <v>400</v>
      </c>
      <c r="F9" s="1566">
        <v>355000</v>
      </c>
      <c r="G9" s="1566">
        <f t="shared" si="0"/>
        <v>142000000</v>
      </c>
    </row>
    <row r="10" spans="2:11">
      <c r="B10" s="2334">
        <v>4</v>
      </c>
      <c r="C10" s="158" t="s">
        <v>3161</v>
      </c>
      <c r="D10" s="2334" t="s">
        <v>829</v>
      </c>
      <c r="E10" s="1566">
        <v>350</v>
      </c>
      <c r="F10" s="1566">
        <v>16800</v>
      </c>
      <c r="G10" s="1566">
        <f t="shared" si="0"/>
        <v>5880000</v>
      </c>
      <c r="K10" s="453"/>
    </row>
    <row r="11" spans="2:11">
      <c r="B11" s="2334">
        <v>5</v>
      </c>
      <c r="C11" s="158" t="s">
        <v>3160</v>
      </c>
      <c r="D11" s="2334" t="s">
        <v>829</v>
      </c>
      <c r="E11" s="1566">
        <v>400</v>
      </c>
      <c r="F11" s="1566">
        <v>11000</v>
      </c>
      <c r="G11" s="1566">
        <f t="shared" si="0"/>
        <v>4400000</v>
      </c>
      <c r="I11" s="453">
        <f>SUM(G7:G15)</f>
        <v>1700180000</v>
      </c>
      <c r="K11" s="1571"/>
    </row>
    <row r="12" spans="2:11">
      <c r="B12" s="2334">
        <v>6</v>
      </c>
      <c r="C12" s="158" t="s">
        <v>3159</v>
      </c>
      <c r="D12" s="2334" t="s">
        <v>3158</v>
      </c>
      <c r="E12" s="1566">
        <v>300</v>
      </c>
      <c r="F12" s="1566">
        <v>29000</v>
      </c>
      <c r="G12" s="1566">
        <f t="shared" si="0"/>
        <v>8700000</v>
      </c>
      <c r="K12" s="1570"/>
    </row>
    <row r="13" spans="2:11">
      <c r="B13" s="2334">
        <v>7</v>
      </c>
      <c r="C13" s="158" t="s">
        <v>3157</v>
      </c>
      <c r="D13" s="2334" t="s">
        <v>829</v>
      </c>
      <c r="E13" s="1566">
        <v>260</v>
      </c>
      <c r="F13" s="1566">
        <v>30000</v>
      </c>
      <c r="G13" s="1566">
        <f t="shared" si="0"/>
        <v>7800000</v>
      </c>
      <c r="K13" s="1570"/>
    </row>
    <row r="14" spans="2:11">
      <c r="B14" s="2334">
        <v>8</v>
      </c>
      <c r="C14" s="158" t="s">
        <v>3156</v>
      </c>
      <c r="D14" s="2334" t="s">
        <v>829</v>
      </c>
      <c r="E14" s="1566">
        <v>45000</v>
      </c>
      <c r="F14" s="1566">
        <v>30000</v>
      </c>
      <c r="G14" s="1566">
        <f t="shared" si="0"/>
        <v>1350000000</v>
      </c>
      <c r="K14" s="1570"/>
    </row>
    <row r="15" spans="2:11">
      <c r="B15" s="2334">
        <v>9</v>
      </c>
      <c r="C15" s="158" t="s">
        <v>3155</v>
      </c>
      <c r="D15" s="2334" t="s">
        <v>3154</v>
      </c>
      <c r="E15" s="1566">
        <v>18000</v>
      </c>
      <c r="F15" s="1566">
        <v>2700</v>
      </c>
      <c r="G15" s="1566">
        <f t="shared" si="0"/>
        <v>48600000</v>
      </c>
      <c r="K15" s="1570"/>
    </row>
    <row r="16" spans="2:11">
      <c r="B16" s="2334">
        <v>10</v>
      </c>
      <c r="C16" s="158" t="s">
        <v>3153</v>
      </c>
      <c r="D16" s="2334"/>
      <c r="E16" s="158"/>
      <c r="F16" s="158"/>
      <c r="G16" s="1566">
        <v>120000000</v>
      </c>
      <c r="K16" s="1569"/>
    </row>
    <row r="17" spans="2:11">
      <c r="B17" s="2334">
        <v>11</v>
      </c>
      <c r="C17" s="158" t="s">
        <v>3152</v>
      </c>
      <c r="D17" s="2334"/>
      <c r="E17" s="158"/>
      <c r="F17" s="1566"/>
      <c r="G17" s="1566">
        <v>144500000</v>
      </c>
      <c r="K17" s="1570"/>
    </row>
    <row r="18" spans="2:11">
      <c r="B18" s="2334">
        <v>12</v>
      </c>
      <c r="C18" s="158" t="s">
        <v>484</v>
      </c>
      <c r="D18" s="2334"/>
      <c r="E18" s="158"/>
      <c r="F18" s="1566"/>
      <c r="G18" s="1566">
        <v>150000000</v>
      </c>
      <c r="K18" s="1569"/>
    </row>
    <row r="19" spans="2:11">
      <c r="B19" s="2334">
        <v>13</v>
      </c>
      <c r="C19" s="2545" t="s">
        <v>3151</v>
      </c>
      <c r="D19" s="2545"/>
      <c r="E19" s="2545"/>
      <c r="F19" s="2545"/>
      <c r="G19" s="1566">
        <v>336000000</v>
      </c>
    </row>
    <row r="20" spans="2:11">
      <c r="B20" s="2334">
        <v>14</v>
      </c>
      <c r="C20" s="158" t="s">
        <v>3150</v>
      </c>
      <c r="D20" s="2334" t="s">
        <v>3149</v>
      </c>
      <c r="E20" s="1566">
        <v>12</v>
      </c>
      <c r="F20" s="1566">
        <v>8000000</v>
      </c>
      <c r="G20" s="1566">
        <f>F20*E20</f>
        <v>96000000</v>
      </c>
    </row>
    <row r="21" spans="2:11">
      <c r="B21" s="2334">
        <v>15</v>
      </c>
      <c r="C21" s="158" t="s">
        <v>293</v>
      </c>
      <c r="D21" s="2334"/>
      <c r="E21" s="158"/>
      <c r="F21" s="158"/>
      <c r="G21" s="1566">
        <v>47820000</v>
      </c>
    </row>
    <row r="22" spans="2:11">
      <c r="B22" s="2333"/>
      <c r="C22" s="157" t="s">
        <v>22</v>
      </c>
      <c r="D22" s="2333"/>
      <c r="E22" s="157"/>
      <c r="F22" s="157"/>
      <c r="G22" s="1565">
        <f>SUM(G7:G21)</f>
        <v>2594500000</v>
      </c>
    </row>
    <row r="23" spans="2:11">
      <c r="B23" s="1294"/>
      <c r="C23" s="1498"/>
      <c r="D23" s="1294"/>
      <c r="E23" s="1498"/>
      <c r="F23" s="1781" t="s">
        <v>1113</v>
      </c>
      <c r="G23" s="1782">
        <f>G22-G17-G18</f>
        <v>2300000000</v>
      </c>
    </row>
    <row r="24" spans="2:11">
      <c r="B24" s="1294"/>
      <c r="C24" s="1498"/>
      <c r="D24" s="1294"/>
      <c r="E24" s="1498"/>
      <c r="F24" s="311" t="s">
        <v>3148</v>
      </c>
      <c r="G24" s="1783">
        <v>1700000000</v>
      </c>
    </row>
    <row r="25" spans="2:11">
      <c r="B25" s="1294"/>
      <c r="C25" s="1498"/>
      <c r="D25" s="1294"/>
      <c r="E25" s="1498"/>
      <c r="F25" s="311" t="s">
        <v>26</v>
      </c>
      <c r="G25" s="324">
        <f>G23-G24</f>
        <v>600000000</v>
      </c>
    </row>
    <row r="26" spans="2:11" s="314" customFormat="1">
      <c r="B26" s="1037"/>
      <c r="C26" s="1036"/>
      <c r="D26" s="1037"/>
      <c r="E26" s="1036"/>
      <c r="F26" s="311" t="s">
        <v>3147</v>
      </c>
      <c r="G26" s="1784">
        <f>G25/G23</f>
        <v>0.2608695652173913</v>
      </c>
    </row>
    <row r="27" spans="2:11" s="314" customFormat="1">
      <c r="B27" s="1037"/>
      <c r="C27" s="1036"/>
      <c r="D27" s="1037"/>
      <c r="E27" s="1036"/>
      <c r="F27" s="1036"/>
      <c r="G27" s="1568" t="s">
        <v>3146</v>
      </c>
    </row>
    <row r="28" spans="2:11" s="314" customFormat="1">
      <c r="B28" s="2333" t="s">
        <v>97</v>
      </c>
      <c r="C28" s="2333" t="s">
        <v>3145</v>
      </c>
      <c r="D28" s="2333" t="s">
        <v>100</v>
      </c>
      <c r="E28" s="2333" t="s">
        <v>1</v>
      </c>
      <c r="F28" s="2333" t="s">
        <v>3</v>
      </c>
      <c r="G28" s="2333" t="s">
        <v>4</v>
      </c>
    </row>
    <row r="29" spans="2:11">
      <c r="B29" s="2334">
        <v>1</v>
      </c>
      <c r="C29" s="158" t="s">
        <v>3144</v>
      </c>
      <c r="D29" s="2334" t="s">
        <v>2460</v>
      </c>
      <c r="E29" s="1566">
        <v>350000</v>
      </c>
      <c r="F29" s="1567">
        <v>1500</v>
      </c>
      <c r="G29" s="1566">
        <f t="shared" ref="G29:G38" si="1">E29*F29</f>
        <v>525000000</v>
      </c>
    </row>
    <row r="30" spans="2:11">
      <c r="B30" s="2334">
        <v>2</v>
      </c>
      <c r="C30" s="158" t="s">
        <v>3143</v>
      </c>
      <c r="D30" s="2334" t="s">
        <v>2460</v>
      </c>
      <c r="E30" s="1566">
        <v>300000</v>
      </c>
      <c r="F30" s="1567">
        <v>1400</v>
      </c>
      <c r="G30" s="1566">
        <f t="shared" si="1"/>
        <v>420000000</v>
      </c>
    </row>
    <row r="31" spans="2:11">
      <c r="B31" s="2334">
        <v>3</v>
      </c>
      <c r="C31" s="158" t="s">
        <v>3142</v>
      </c>
      <c r="D31" s="2334" t="s">
        <v>2460</v>
      </c>
      <c r="E31" s="1566">
        <v>250000</v>
      </c>
      <c r="F31" s="1567">
        <v>1000</v>
      </c>
      <c r="G31" s="1566">
        <f t="shared" si="1"/>
        <v>250000000</v>
      </c>
    </row>
    <row r="32" spans="2:11">
      <c r="B32" s="2334">
        <v>4</v>
      </c>
      <c r="C32" s="158" t="s">
        <v>3141</v>
      </c>
      <c r="D32" s="2334" t="s">
        <v>2460</v>
      </c>
      <c r="E32" s="1566">
        <v>100000</v>
      </c>
      <c r="F32" s="1567">
        <v>1500</v>
      </c>
      <c r="G32" s="1566">
        <f t="shared" si="1"/>
        <v>150000000</v>
      </c>
    </row>
    <row r="33" spans="2:11">
      <c r="B33" s="2334">
        <v>5</v>
      </c>
      <c r="C33" s="158" t="s">
        <v>3140</v>
      </c>
      <c r="D33" s="2334" t="s">
        <v>2460</v>
      </c>
      <c r="E33" s="1566">
        <v>100000</v>
      </c>
      <c r="F33" s="1567">
        <v>2000</v>
      </c>
      <c r="G33" s="1566">
        <f t="shared" si="1"/>
        <v>200000000</v>
      </c>
    </row>
    <row r="34" spans="2:11">
      <c r="B34" s="2334">
        <v>6</v>
      </c>
      <c r="C34" s="158" t="s">
        <v>3139</v>
      </c>
      <c r="D34" s="2334" t="s">
        <v>2460</v>
      </c>
      <c r="E34" s="1566">
        <v>100000</v>
      </c>
      <c r="F34" s="1567">
        <v>4000</v>
      </c>
      <c r="G34" s="1566">
        <f t="shared" si="1"/>
        <v>400000000</v>
      </c>
    </row>
    <row r="35" spans="2:11">
      <c r="B35" s="2334">
        <v>7</v>
      </c>
      <c r="C35" s="158" t="s">
        <v>3138</v>
      </c>
      <c r="D35" s="2334" t="s">
        <v>2460</v>
      </c>
      <c r="E35" s="1566">
        <v>70000</v>
      </c>
      <c r="F35" s="1567">
        <v>1500</v>
      </c>
      <c r="G35" s="1566">
        <f t="shared" si="1"/>
        <v>105000000</v>
      </c>
    </row>
    <row r="36" spans="2:11">
      <c r="B36" s="2334">
        <v>8</v>
      </c>
      <c r="C36" s="158" t="s">
        <v>3137</v>
      </c>
      <c r="D36" s="2334" t="s">
        <v>2460</v>
      </c>
      <c r="E36" s="1566">
        <v>70000</v>
      </c>
      <c r="F36" s="1567">
        <v>3000</v>
      </c>
      <c r="G36" s="1566">
        <f t="shared" si="1"/>
        <v>210000000</v>
      </c>
    </row>
    <row r="37" spans="2:11">
      <c r="B37" s="2334">
        <v>9</v>
      </c>
      <c r="C37" s="158" t="s">
        <v>3136</v>
      </c>
      <c r="D37" s="2334" t="s">
        <v>2460</v>
      </c>
      <c r="E37" s="1566">
        <v>60000</v>
      </c>
      <c r="F37" s="1567">
        <v>6000</v>
      </c>
      <c r="G37" s="1566">
        <f t="shared" si="1"/>
        <v>360000000</v>
      </c>
    </row>
    <row r="38" spans="2:11">
      <c r="B38" s="2334">
        <v>10</v>
      </c>
      <c r="C38" s="158" t="s">
        <v>3135</v>
      </c>
      <c r="D38" s="2334" t="s">
        <v>2460</v>
      </c>
      <c r="E38" s="1566">
        <v>60000</v>
      </c>
      <c r="F38" s="1567">
        <v>6000</v>
      </c>
      <c r="G38" s="1566">
        <f t="shared" si="1"/>
        <v>360000000</v>
      </c>
    </row>
    <row r="39" spans="2:11">
      <c r="B39" s="2380" t="s">
        <v>3134</v>
      </c>
      <c r="C39" s="2381"/>
      <c r="D39" s="2381"/>
      <c r="E39" s="2381"/>
      <c r="F39" s="2382"/>
      <c r="G39" s="1565">
        <f>SUM(G29:G38)</f>
        <v>2980000000</v>
      </c>
    </row>
    <row r="40" spans="2:11">
      <c r="K40" s="311">
        <v>1200000000</v>
      </c>
    </row>
    <row r="42" spans="2:11" ht="17.25" thickBot="1">
      <c r="B42" s="1785"/>
      <c r="C42" s="1786"/>
      <c r="D42" s="1787" t="s">
        <v>1141</v>
      </c>
    </row>
    <row r="43" spans="2:11" ht="17.25" thickBot="1">
      <c r="B43" s="1788" t="s">
        <v>1058</v>
      </c>
      <c r="C43" s="1789" t="s">
        <v>279</v>
      </c>
      <c r="D43" s="1789" t="s">
        <v>4</v>
      </c>
      <c r="K43" s="453"/>
    </row>
    <row r="44" spans="2:11" ht="17.25" thickBot="1">
      <c r="B44" s="1790">
        <v>1</v>
      </c>
      <c r="C44" s="1791" t="s">
        <v>3133</v>
      </c>
      <c r="D44" s="1792">
        <f>G39</f>
        <v>2980000000</v>
      </c>
    </row>
    <row r="45" spans="2:11" ht="17.25" thickBot="1">
      <c r="B45" s="1790">
        <v>2</v>
      </c>
      <c r="C45" s="1791" t="s">
        <v>1103</v>
      </c>
      <c r="D45" s="1792">
        <f>G22</f>
        <v>2594500000</v>
      </c>
    </row>
    <row r="46" spans="2:11" ht="17.25" thickBot="1">
      <c r="B46" s="1790">
        <v>3</v>
      </c>
      <c r="C46" s="1793" t="s">
        <v>24</v>
      </c>
      <c r="D46" s="1794">
        <f>D44-D45</f>
        <v>385500000</v>
      </c>
      <c r="E46" s="1564">
        <f>D46/D44</f>
        <v>0.12936241610738256</v>
      </c>
    </row>
  </sheetData>
  <mergeCells count="2">
    <mergeCell ref="C19:F19"/>
    <mergeCell ref="B39:F39"/>
  </mergeCells>
  <pageMargins left="0.7" right="0.7" top="0.75" bottom="0.75" header="0.3" footer="0.3"/>
  <pageSetup paperSize="9" orientation="portrait"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2"/>
  <sheetViews>
    <sheetView workbookViewId="0">
      <selection activeCell="G16" sqref="G16"/>
    </sheetView>
  </sheetViews>
  <sheetFormatPr defaultRowHeight="16.5"/>
  <cols>
    <col min="1" max="1" width="5" style="111" bestFit="1" customWidth="1"/>
    <col min="2" max="2" width="48.140625" style="6" customWidth="1"/>
    <col min="3" max="3" width="24.140625" style="6" bestFit="1" customWidth="1"/>
    <col min="4" max="4" width="18.85546875" style="6" bestFit="1" customWidth="1"/>
    <col min="5" max="5" width="14.85546875" style="6" bestFit="1" customWidth="1"/>
    <col min="6" max="6" width="12.7109375" style="6" customWidth="1"/>
    <col min="7" max="7" width="33" style="6" customWidth="1"/>
    <col min="8" max="8" width="22.7109375" style="6" customWidth="1"/>
    <col min="9" max="16384" width="9.140625" style="6"/>
  </cols>
  <sheetData>
    <row r="1" spans="1:8">
      <c r="C1" s="6" t="s">
        <v>1018</v>
      </c>
      <c r="G1" s="308" t="s">
        <v>1020</v>
      </c>
    </row>
    <row r="3" spans="1:8" s="112" customFormat="1" ht="33">
      <c r="A3" s="53" t="s">
        <v>206</v>
      </c>
      <c r="B3" s="53" t="s">
        <v>207</v>
      </c>
      <c r="C3" s="53" t="s">
        <v>277</v>
      </c>
      <c r="D3" s="53" t="s">
        <v>278</v>
      </c>
      <c r="F3" s="84" t="s">
        <v>0</v>
      </c>
      <c r="G3" s="84" t="s">
        <v>279</v>
      </c>
      <c r="H3" s="84" t="s">
        <v>280</v>
      </c>
    </row>
    <row r="4" spans="1:8" s="28" customFormat="1">
      <c r="A4" s="113" t="s">
        <v>209</v>
      </c>
      <c r="B4" s="114" t="s">
        <v>210</v>
      </c>
      <c r="C4" s="115">
        <f>SUM(C5:C10)</f>
        <v>235000000</v>
      </c>
      <c r="D4" s="115">
        <f>SUM(D5:D10)</f>
        <v>470000000</v>
      </c>
      <c r="F4" s="47">
        <v>1</v>
      </c>
      <c r="G4" s="116" t="s">
        <v>281</v>
      </c>
      <c r="H4" s="117">
        <f>D5*0.8</f>
        <v>64000000</v>
      </c>
    </row>
    <row r="5" spans="1:8">
      <c r="A5" s="118">
        <v>1</v>
      </c>
      <c r="B5" s="119" t="s">
        <v>281</v>
      </c>
      <c r="C5" s="120">
        <v>40000000</v>
      </c>
      <c r="D5" s="43">
        <f t="shared" ref="D5:D10" si="0">C5*2</f>
        <v>80000000</v>
      </c>
      <c r="E5" s="77"/>
      <c r="F5" s="47">
        <v>2</v>
      </c>
      <c r="G5" s="116" t="s">
        <v>282</v>
      </c>
      <c r="H5" s="117">
        <f>D6*0.8</f>
        <v>96000000</v>
      </c>
    </row>
    <row r="6" spans="1:8">
      <c r="A6" s="118">
        <v>2</v>
      </c>
      <c r="B6" s="119" t="s">
        <v>282</v>
      </c>
      <c r="C6" s="120">
        <v>60000000</v>
      </c>
      <c r="D6" s="43">
        <f t="shared" si="0"/>
        <v>120000000</v>
      </c>
      <c r="E6" s="77"/>
      <c r="F6" s="47">
        <v>3</v>
      </c>
      <c r="G6" s="116" t="s">
        <v>283</v>
      </c>
      <c r="H6" s="117">
        <f>D7*0.8</f>
        <v>80000000</v>
      </c>
    </row>
    <row r="7" spans="1:8">
      <c r="A7" s="118">
        <v>3</v>
      </c>
      <c r="B7" s="119" t="s">
        <v>283</v>
      </c>
      <c r="C7" s="120">
        <v>50000000</v>
      </c>
      <c r="D7" s="43">
        <f t="shared" si="0"/>
        <v>100000000</v>
      </c>
      <c r="F7" s="47">
        <v>4</v>
      </c>
      <c r="G7" s="116" t="s">
        <v>284</v>
      </c>
      <c r="H7" s="117">
        <f>D8*0.8</f>
        <v>32000000</v>
      </c>
    </row>
    <row r="8" spans="1:8">
      <c r="A8" s="118">
        <v>4</v>
      </c>
      <c r="B8" s="119" t="s">
        <v>284</v>
      </c>
      <c r="C8" s="120">
        <v>20000000</v>
      </c>
      <c r="D8" s="43">
        <f t="shared" si="0"/>
        <v>40000000</v>
      </c>
      <c r="F8" s="47">
        <v>5</v>
      </c>
      <c r="G8" s="116" t="s">
        <v>285</v>
      </c>
      <c r="H8" s="117">
        <f>D9*0.8</f>
        <v>40000000</v>
      </c>
    </row>
    <row r="9" spans="1:8">
      <c r="A9" s="118">
        <v>4</v>
      </c>
      <c r="B9" s="119" t="s">
        <v>285</v>
      </c>
      <c r="C9" s="120">
        <v>25000000</v>
      </c>
      <c r="D9" s="43">
        <f t="shared" si="0"/>
        <v>50000000</v>
      </c>
      <c r="F9" s="47">
        <v>6</v>
      </c>
      <c r="G9" s="116" t="s">
        <v>286</v>
      </c>
      <c r="H9" s="117">
        <v>150000000</v>
      </c>
    </row>
    <row r="10" spans="1:8">
      <c r="A10" s="118">
        <v>5</v>
      </c>
      <c r="B10" s="119" t="s">
        <v>287</v>
      </c>
      <c r="C10" s="120">
        <v>40000000</v>
      </c>
      <c r="D10" s="121">
        <f t="shared" si="0"/>
        <v>80000000</v>
      </c>
      <c r="F10" s="17"/>
      <c r="G10" s="122" t="s">
        <v>288</v>
      </c>
      <c r="H10" s="123">
        <f>SUM(H4:H9)</f>
        <v>462000000</v>
      </c>
    </row>
    <row r="11" spans="1:8" s="28" customFormat="1">
      <c r="A11" s="113" t="s">
        <v>215</v>
      </c>
      <c r="B11" s="114" t="s">
        <v>216</v>
      </c>
      <c r="C11" s="115">
        <f>SUM(C12:C16)</f>
        <v>212181250</v>
      </c>
      <c r="D11" s="115">
        <f>SUM(D12:D16)</f>
        <v>424362500</v>
      </c>
      <c r="F11" s="50"/>
      <c r="G11" s="124"/>
      <c r="H11" s="125"/>
    </row>
    <row r="12" spans="1:8">
      <c r="A12" s="118">
        <v>1</v>
      </c>
      <c r="B12" s="126" t="s">
        <v>289</v>
      </c>
      <c r="C12" s="120">
        <f>0.8*C4</f>
        <v>188000000</v>
      </c>
      <c r="D12" s="120">
        <f>C12*2</f>
        <v>376000000</v>
      </c>
      <c r="F12" s="28"/>
      <c r="G12" s="28"/>
      <c r="H12" s="28"/>
    </row>
    <row r="13" spans="1:8">
      <c r="A13" s="118">
        <v>3</v>
      </c>
      <c r="B13" s="126" t="s">
        <v>290</v>
      </c>
      <c r="C13" s="120">
        <v>15000000</v>
      </c>
      <c r="D13" s="120">
        <f>C13*2</f>
        <v>30000000</v>
      </c>
    </row>
    <row r="14" spans="1:8">
      <c r="A14" s="118">
        <v>4</v>
      </c>
      <c r="B14" s="126" t="s">
        <v>291</v>
      </c>
      <c r="C14" s="120">
        <f>E21*3</f>
        <v>6181250</v>
      </c>
      <c r="D14" s="120">
        <f>C14*2</f>
        <v>12362500</v>
      </c>
    </row>
    <row r="15" spans="1:8">
      <c r="A15" s="118">
        <v>6</v>
      </c>
      <c r="B15" s="126" t="s">
        <v>292</v>
      </c>
      <c r="C15" s="120">
        <v>1000000</v>
      </c>
      <c r="D15" s="120">
        <f>C15*2</f>
        <v>2000000</v>
      </c>
    </row>
    <row r="16" spans="1:8">
      <c r="A16" s="118">
        <v>7</v>
      </c>
      <c r="B16" s="126" t="s">
        <v>293</v>
      </c>
      <c r="C16" s="120">
        <v>2000000</v>
      </c>
      <c r="D16" s="120">
        <f>C16*2</f>
        <v>4000000</v>
      </c>
    </row>
    <row r="17" spans="1:8" s="28" customFormat="1" ht="17.25">
      <c r="A17" s="127" t="s">
        <v>219</v>
      </c>
      <c r="B17" s="128" t="s">
        <v>136</v>
      </c>
      <c r="C17" s="129">
        <f>C4-C11</f>
        <v>22818750</v>
      </c>
      <c r="D17" s="129">
        <f>D4-D11</f>
        <v>45637500</v>
      </c>
      <c r="F17" s="6"/>
      <c r="G17" s="6"/>
      <c r="H17" s="6"/>
    </row>
    <row r="18" spans="1:8">
      <c r="A18" s="4" t="s">
        <v>221</v>
      </c>
      <c r="B18" s="130" t="s">
        <v>222</v>
      </c>
      <c r="C18" s="2546">
        <f>D17/D4</f>
        <v>9.710106382978724E-2</v>
      </c>
      <c r="D18" s="2547"/>
      <c r="F18" s="28"/>
      <c r="G18" s="28"/>
      <c r="H18" s="28"/>
    </row>
    <row r="20" spans="1:8">
      <c r="C20" s="77">
        <f>H10</f>
        <v>462000000</v>
      </c>
    </row>
    <row r="21" spans="1:8">
      <c r="B21" s="6" t="s">
        <v>27</v>
      </c>
      <c r="C21" s="8">
        <v>215000000</v>
      </c>
      <c r="D21" s="6" t="s">
        <v>294</v>
      </c>
      <c r="E21" s="56">
        <f>C21*11.5%/12</f>
        <v>2060416.6666666667</v>
      </c>
    </row>
    <row r="22" spans="1:8">
      <c r="B22" s="6" t="s">
        <v>26</v>
      </c>
      <c r="C22" s="77">
        <f>C20-C21</f>
        <v>247000000</v>
      </c>
      <c r="D22" s="15">
        <f>C22/C20</f>
        <v>0.53463203463203468</v>
      </c>
    </row>
  </sheetData>
  <mergeCells count="1">
    <mergeCell ref="C18:D18"/>
  </mergeCells>
  <pageMargins left="0.75" right="0.75" top="1" bottom="1" header="0.5" footer="0.5"/>
  <pageSetup orientation="portrait" verticalDpi="0"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25"/>
  <sheetViews>
    <sheetView workbookViewId="0">
      <selection activeCell="C1" sqref="C1"/>
    </sheetView>
  </sheetViews>
  <sheetFormatPr defaultRowHeight="16.5"/>
  <cols>
    <col min="1" max="1" width="5" style="6" bestFit="1" customWidth="1"/>
    <col min="2" max="2" width="45.140625" style="6" customWidth="1"/>
    <col min="3" max="4" width="20.85546875" style="6" customWidth="1"/>
    <col min="5" max="5" width="13.28515625" style="6" customWidth="1"/>
    <col min="6" max="16384" width="9.140625" style="6"/>
  </cols>
  <sheetData>
    <row r="1" spans="1:7">
      <c r="C1" s="6" t="s">
        <v>3208</v>
      </c>
      <c r="G1" s="308" t="s">
        <v>1020</v>
      </c>
    </row>
    <row r="3" spans="1:7" s="109" customFormat="1">
      <c r="A3" s="53" t="s">
        <v>0</v>
      </c>
      <c r="B3" s="53" t="s">
        <v>103</v>
      </c>
      <c r="C3" s="53" t="s">
        <v>208</v>
      </c>
      <c r="D3" s="53" t="s">
        <v>106</v>
      </c>
    </row>
    <row r="4" spans="1:7">
      <c r="A4" s="5" t="s">
        <v>109</v>
      </c>
      <c r="B4" s="31" t="s">
        <v>359</v>
      </c>
      <c r="C4" s="40">
        <f>SUM(C5:C12)</f>
        <v>96500000</v>
      </c>
      <c r="D4" s="40">
        <f>SUM(D5:D12)</f>
        <v>193000000</v>
      </c>
    </row>
    <row r="5" spans="1:7">
      <c r="A5" s="4">
        <v>1</v>
      </c>
      <c r="B5" s="34" t="s">
        <v>360</v>
      </c>
      <c r="C5" s="41">
        <v>25000000</v>
      </c>
      <c r="D5" s="48">
        <f>C5*2</f>
        <v>50000000</v>
      </c>
    </row>
    <row r="6" spans="1:7">
      <c r="A6" s="4">
        <v>2</v>
      </c>
      <c r="B6" s="34" t="s">
        <v>361</v>
      </c>
      <c r="C6" s="41">
        <v>10000000</v>
      </c>
      <c r="D6" s="48">
        <f t="shared" ref="D6:D12" si="0">C6*2</f>
        <v>20000000</v>
      </c>
    </row>
    <row r="7" spans="1:7">
      <c r="A7" s="4">
        <v>3</v>
      </c>
      <c r="B7" s="34" t="s">
        <v>362</v>
      </c>
      <c r="C7" s="41">
        <v>15000000</v>
      </c>
      <c r="D7" s="48">
        <f t="shared" si="0"/>
        <v>30000000</v>
      </c>
    </row>
    <row r="8" spans="1:7">
      <c r="A8" s="4">
        <v>4</v>
      </c>
      <c r="B8" s="34" t="s">
        <v>363</v>
      </c>
      <c r="C8" s="41">
        <v>15000000</v>
      </c>
      <c r="D8" s="48">
        <f t="shared" si="0"/>
        <v>30000000</v>
      </c>
    </row>
    <row r="9" spans="1:7">
      <c r="A9" s="4">
        <v>5</v>
      </c>
      <c r="B9" s="34" t="s">
        <v>364</v>
      </c>
      <c r="C9" s="41">
        <v>10000000</v>
      </c>
      <c r="D9" s="48">
        <f t="shared" si="0"/>
        <v>20000000</v>
      </c>
    </row>
    <row r="10" spans="1:7">
      <c r="A10" s="4">
        <v>6</v>
      </c>
      <c r="B10" s="34" t="s">
        <v>365</v>
      </c>
      <c r="C10" s="41">
        <v>15000000</v>
      </c>
      <c r="D10" s="48">
        <f t="shared" si="0"/>
        <v>30000000</v>
      </c>
    </row>
    <row r="11" spans="1:7">
      <c r="A11" s="4">
        <v>7</v>
      </c>
      <c r="B11" s="34" t="s">
        <v>194</v>
      </c>
      <c r="C11" s="41">
        <v>500000</v>
      </c>
      <c r="D11" s="48">
        <f t="shared" si="0"/>
        <v>1000000</v>
      </c>
    </row>
    <row r="12" spans="1:7">
      <c r="A12" s="4">
        <v>8</v>
      </c>
      <c r="B12" s="34" t="s">
        <v>21</v>
      </c>
      <c r="C12" s="41">
        <v>6000000</v>
      </c>
      <c r="D12" s="48">
        <f t="shared" si="0"/>
        <v>12000000</v>
      </c>
    </row>
    <row r="13" spans="1:7">
      <c r="A13" s="5" t="s">
        <v>116</v>
      </c>
      <c r="B13" s="31" t="s">
        <v>242</v>
      </c>
      <c r="C13" s="40">
        <f>SUM(C14:C19)</f>
        <v>139500000</v>
      </c>
      <c r="D13" s="40">
        <f>SUM(D14:D19)</f>
        <v>279000000</v>
      </c>
    </row>
    <row r="14" spans="1:7">
      <c r="A14" s="4">
        <v>1</v>
      </c>
      <c r="B14" s="34" t="s">
        <v>360</v>
      </c>
      <c r="C14" s="41">
        <f t="shared" ref="C14:C19" si="1">C5*1.55</f>
        <v>38750000</v>
      </c>
      <c r="D14" s="48">
        <f t="shared" ref="D14:D19" si="2">C14*2</f>
        <v>77500000</v>
      </c>
    </row>
    <row r="15" spans="1:7">
      <c r="A15" s="4">
        <v>2</v>
      </c>
      <c r="B15" s="34" t="s">
        <v>361</v>
      </c>
      <c r="C15" s="41">
        <f t="shared" si="1"/>
        <v>15500000</v>
      </c>
      <c r="D15" s="48">
        <f t="shared" si="2"/>
        <v>31000000</v>
      </c>
    </row>
    <row r="16" spans="1:7">
      <c r="A16" s="4">
        <v>3</v>
      </c>
      <c r="B16" s="34" t="s">
        <v>362</v>
      </c>
      <c r="C16" s="41">
        <f t="shared" si="1"/>
        <v>23250000</v>
      </c>
      <c r="D16" s="48">
        <f t="shared" si="2"/>
        <v>46500000</v>
      </c>
    </row>
    <row r="17" spans="1:4">
      <c r="A17" s="4">
        <v>4</v>
      </c>
      <c r="B17" s="34" t="s">
        <v>363</v>
      </c>
      <c r="C17" s="41">
        <f t="shared" si="1"/>
        <v>23250000</v>
      </c>
      <c r="D17" s="48">
        <f t="shared" si="2"/>
        <v>46500000</v>
      </c>
    </row>
    <row r="18" spans="1:4">
      <c r="A18" s="4">
        <v>5</v>
      </c>
      <c r="B18" s="34" t="s">
        <v>364</v>
      </c>
      <c r="C18" s="41">
        <f t="shared" si="1"/>
        <v>15500000</v>
      </c>
      <c r="D18" s="48">
        <f t="shared" si="2"/>
        <v>31000000</v>
      </c>
    </row>
    <row r="19" spans="1:4">
      <c r="A19" s="4">
        <v>6</v>
      </c>
      <c r="B19" s="34" t="s">
        <v>365</v>
      </c>
      <c r="C19" s="41">
        <f t="shared" si="1"/>
        <v>23250000</v>
      </c>
      <c r="D19" s="48">
        <f t="shared" si="2"/>
        <v>46500000</v>
      </c>
    </row>
    <row r="20" spans="1:4" s="110" customFormat="1" ht="17.25">
      <c r="A20" s="44" t="s">
        <v>135</v>
      </c>
      <c r="B20" s="14" t="s">
        <v>220</v>
      </c>
      <c r="C20" s="45">
        <f>C13-C4</f>
        <v>43000000</v>
      </c>
      <c r="D20" s="45">
        <f>D13-D4</f>
        <v>86000000</v>
      </c>
    </row>
    <row r="23" spans="1:4">
      <c r="B23" s="8" t="s">
        <v>366</v>
      </c>
      <c r="C23" s="8">
        <f>SUM(C5:C10)</f>
        <v>90000000</v>
      </c>
    </row>
    <row r="24" spans="1:4">
      <c r="B24" s="8" t="s">
        <v>27</v>
      </c>
      <c r="C24" s="8">
        <v>50000000</v>
      </c>
      <c r="D24" s="56">
        <f>C23-C24</f>
        <v>40000000</v>
      </c>
    </row>
    <row r="25" spans="1:4">
      <c r="B25" s="8" t="s">
        <v>268</v>
      </c>
      <c r="C25" s="15">
        <f>C24/C23</f>
        <v>0.55555555555555558</v>
      </c>
    </row>
  </sheetData>
  <pageMargins left="0.75" right="0.75" top="1" bottom="1" header="0.5" footer="0.5"/>
  <pageSetup orientation="portrait" verticalDpi="0"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6"/>
  <dimension ref="A1:H49"/>
  <sheetViews>
    <sheetView zoomScaleNormal="100" workbookViewId="0">
      <selection activeCell="H8" sqref="H8"/>
    </sheetView>
  </sheetViews>
  <sheetFormatPr defaultRowHeight="16.5"/>
  <cols>
    <col min="1" max="1" width="6" style="1762" customWidth="1"/>
    <col min="2" max="2" width="33.42578125" style="1763" customWidth="1"/>
    <col min="3" max="3" width="17.85546875" style="1763" bestFit="1" customWidth="1"/>
    <col min="4" max="4" width="10.5703125" style="1763" bestFit="1" customWidth="1"/>
    <col min="5" max="5" width="12.5703125" style="1763" bestFit="1" customWidth="1"/>
    <col min="6" max="6" width="16" style="1763" bestFit="1" customWidth="1"/>
    <col min="7" max="7" width="9.140625" style="1762"/>
    <col min="8" max="8" width="16.140625" style="1762" bestFit="1" customWidth="1"/>
    <col min="9" max="256" width="9.140625" style="1762"/>
    <col min="257" max="257" width="6" style="1762" customWidth="1"/>
    <col min="258" max="258" width="33.42578125" style="1762" customWidth="1"/>
    <col min="259" max="259" width="17.85546875" style="1762" bestFit="1" customWidth="1"/>
    <col min="260" max="260" width="10.5703125" style="1762" bestFit="1" customWidth="1"/>
    <col min="261" max="261" width="12.5703125" style="1762" bestFit="1" customWidth="1"/>
    <col min="262" max="262" width="16" style="1762" bestFit="1" customWidth="1"/>
    <col min="263" max="263" width="9.140625" style="1762"/>
    <col min="264" max="264" width="16.140625" style="1762" bestFit="1" customWidth="1"/>
    <col min="265" max="512" width="9.140625" style="1762"/>
    <col min="513" max="513" width="6" style="1762" customWidth="1"/>
    <col min="514" max="514" width="33.42578125" style="1762" customWidth="1"/>
    <col min="515" max="515" width="17.85546875" style="1762" bestFit="1" customWidth="1"/>
    <col min="516" max="516" width="10.5703125" style="1762" bestFit="1" customWidth="1"/>
    <col min="517" max="517" width="12.5703125" style="1762" bestFit="1" customWidth="1"/>
    <col min="518" max="518" width="16" style="1762" bestFit="1" customWidth="1"/>
    <col min="519" max="519" width="9.140625" style="1762"/>
    <col min="520" max="520" width="16.140625" style="1762" bestFit="1" customWidth="1"/>
    <col min="521" max="768" width="9.140625" style="1762"/>
    <col min="769" max="769" width="6" style="1762" customWidth="1"/>
    <col min="770" max="770" width="33.42578125" style="1762" customWidth="1"/>
    <col min="771" max="771" width="17.85546875" style="1762" bestFit="1" customWidth="1"/>
    <col min="772" max="772" width="10.5703125" style="1762" bestFit="1" customWidth="1"/>
    <col min="773" max="773" width="12.5703125" style="1762" bestFit="1" customWidth="1"/>
    <col min="774" max="774" width="16" style="1762" bestFit="1" customWidth="1"/>
    <col min="775" max="775" width="9.140625" style="1762"/>
    <col min="776" max="776" width="16.140625" style="1762" bestFit="1" customWidth="1"/>
    <col min="777" max="1024" width="9.140625" style="1762"/>
    <col min="1025" max="1025" width="6" style="1762" customWidth="1"/>
    <col min="1026" max="1026" width="33.42578125" style="1762" customWidth="1"/>
    <col min="1027" max="1027" width="17.85546875" style="1762" bestFit="1" customWidth="1"/>
    <col min="1028" max="1028" width="10.5703125" style="1762" bestFit="1" customWidth="1"/>
    <col min="1029" max="1029" width="12.5703125" style="1762" bestFit="1" customWidth="1"/>
    <col min="1030" max="1030" width="16" style="1762" bestFit="1" customWidth="1"/>
    <col min="1031" max="1031" width="9.140625" style="1762"/>
    <col min="1032" max="1032" width="16.140625" style="1762" bestFit="1" customWidth="1"/>
    <col min="1033" max="1280" width="9.140625" style="1762"/>
    <col min="1281" max="1281" width="6" style="1762" customWidth="1"/>
    <col min="1282" max="1282" width="33.42578125" style="1762" customWidth="1"/>
    <col min="1283" max="1283" width="17.85546875" style="1762" bestFit="1" customWidth="1"/>
    <col min="1284" max="1284" width="10.5703125" style="1762" bestFit="1" customWidth="1"/>
    <col min="1285" max="1285" width="12.5703125" style="1762" bestFit="1" customWidth="1"/>
    <col min="1286" max="1286" width="16" style="1762" bestFit="1" customWidth="1"/>
    <col min="1287" max="1287" width="9.140625" style="1762"/>
    <col min="1288" max="1288" width="16.140625" style="1762" bestFit="1" customWidth="1"/>
    <col min="1289" max="1536" width="9.140625" style="1762"/>
    <col min="1537" max="1537" width="6" style="1762" customWidth="1"/>
    <col min="1538" max="1538" width="33.42578125" style="1762" customWidth="1"/>
    <col min="1539" max="1539" width="17.85546875" style="1762" bestFit="1" customWidth="1"/>
    <col min="1540" max="1540" width="10.5703125" style="1762" bestFit="1" customWidth="1"/>
    <col min="1541" max="1541" width="12.5703125" style="1762" bestFit="1" customWidth="1"/>
    <col min="1542" max="1542" width="16" style="1762" bestFit="1" customWidth="1"/>
    <col min="1543" max="1543" width="9.140625" style="1762"/>
    <col min="1544" max="1544" width="16.140625" style="1762" bestFit="1" customWidth="1"/>
    <col min="1545" max="1792" width="9.140625" style="1762"/>
    <col min="1793" max="1793" width="6" style="1762" customWidth="1"/>
    <col min="1794" max="1794" width="33.42578125" style="1762" customWidth="1"/>
    <col min="1795" max="1795" width="17.85546875" style="1762" bestFit="1" customWidth="1"/>
    <col min="1796" max="1796" width="10.5703125" style="1762" bestFit="1" customWidth="1"/>
    <col min="1797" max="1797" width="12.5703125" style="1762" bestFit="1" customWidth="1"/>
    <col min="1798" max="1798" width="16" style="1762" bestFit="1" customWidth="1"/>
    <col min="1799" max="1799" width="9.140625" style="1762"/>
    <col min="1800" max="1800" width="16.140625" style="1762" bestFit="1" customWidth="1"/>
    <col min="1801" max="2048" width="9.140625" style="1762"/>
    <col min="2049" max="2049" width="6" style="1762" customWidth="1"/>
    <col min="2050" max="2050" width="33.42578125" style="1762" customWidth="1"/>
    <col min="2051" max="2051" width="17.85546875" style="1762" bestFit="1" customWidth="1"/>
    <col min="2052" max="2052" width="10.5703125" style="1762" bestFit="1" customWidth="1"/>
    <col min="2053" max="2053" width="12.5703125" style="1762" bestFit="1" customWidth="1"/>
    <col min="2054" max="2054" width="16" style="1762" bestFit="1" customWidth="1"/>
    <col min="2055" max="2055" width="9.140625" style="1762"/>
    <col min="2056" max="2056" width="16.140625" style="1762" bestFit="1" customWidth="1"/>
    <col min="2057" max="2304" width="9.140625" style="1762"/>
    <col min="2305" max="2305" width="6" style="1762" customWidth="1"/>
    <col min="2306" max="2306" width="33.42578125" style="1762" customWidth="1"/>
    <col min="2307" max="2307" width="17.85546875" style="1762" bestFit="1" customWidth="1"/>
    <col min="2308" max="2308" width="10.5703125" style="1762" bestFit="1" customWidth="1"/>
    <col min="2309" max="2309" width="12.5703125" style="1762" bestFit="1" customWidth="1"/>
    <col min="2310" max="2310" width="16" style="1762" bestFit="1" customWidth="1"/>
    <col min="2311" max="2311" width="9.140625" style="1762"/>
    <col min="2312" max="2312" width="16.140625" style="1762" bestFit="1" customWidth="1"/>
    <col min="2313" max="2560" width="9.140625" style="1762"/>
    <col min="2561" max="2561" width="6" style="1762" customWidth="1"/>
    <col min="2562" max="2562" width="33.42578125" style="1762" customWidth="1"/>
    <col min="2563" max="2563" width="17.85546875" style="1762" bestFit="1" customWidth="1"/>
    <col min="2564" max="2564" width="10.5703125" style="1762" bestFit="1" customWidth="1"/>
    <col min="2565" max="2565" width="12.5703125" style="1762" bestFit="1" customWidth="1"/>
    <col min="2566" max="2566" width="16" style="1762" bestFit="1" customWidth="1"/>
    <col min="2567" max="2567" width="9.140625" style="1762"/>
    <col min="2568" max="2568" width="16.140625" style="1762" bestFit="1" customWidth="1"/>
    <col min="2569" max="2816" width="9.140625" style="1762"/>
    <col min="2817" max="2817" width="6" style="1762" customWidth="1"/>
    <col min="2818" max="2818" width="33.42578125" style="1762" customWidth="1"/>
    <col min="2819" max="2819" width="17.85546875" style="1762" bestFit="1" customWidth="1"/>
    <col min="2820" max="2820" width="10.5703125" style="1762" bestFit="1" customWidth="1"/>
    <col min="2821" max="2821" width="12.5703125" style="1762" bestFit="1" customWidth="1"/>
    <col min="2822" max="2822" width="16" style="1762" bestFit="1" customWidth="1"/>
    <col min="2823" max="2823" width="9.140625" style="1762"/>
    <col min="2824" max="2824" width="16.140625" style="1762" bestFit="1" customWidth="1"/>
    <col min="2825" max="3072" width="9.140625" style="1762"/>
    <col min="3073" max="3073" width="6" style="1762" customWidth="1"/>
    <col min="3074" max="3074" width="33.42578125" style="1762" customWidth="1"/>
    <col min="3075" max="3075" width="17.85546875" style="1762" bestFit="1" customWidth="1"/>
    <col min="3076" max="3076" width="10.5703125" style="1762" bestFit="1" customWidth="1"/>
    <col min="3077" max="3077" width="12.5703125" style="1762" bestFit="1" customWidth="1"/>
    <col min="3078" max="3078" width="16" style="1762" bestFit="1" customWidth="1"/>
    <col min="3079" max="3079" width="9.140625" style="1762"/>
    <col min="3080" max="3080" width="16.140625" style="1762" bestFit="1" customWidth="1"/>
    <col min="3081" max="3328" width="9.140625" style="1762"/>
    <col min="3329" max="3329" width="6" style="1762" customWidth="1"/>
    <col min="3330" max="3330" width="33.42578125" style="1762" customWidth="1"/>
    <col min="3331" max="3331" width="17.85546875" style="1762" bestFit="1" customWidth="1"/>
    <col min="3332" max="3332" width="10.5703125" style="1762" bestFit="1" customWidth="1"/>
    <col min="3333" max="3333" width="12.5703125" style="1762" bestFit="1" customWidth="1"/>
    <col min="3334" max="3334" width="16" style="1762" bestFit="1" customWidth="1"/>
    <col min="3335" max="3335" width="9.140625" style="1762"/>
    <col min="3336" max="3336" width="16.140625" style="1762" bestFit="1" customWidth="1"/>
    <col min="3337" max="3584" width="9.140625" style="1762"/>
    <col min="3585" max="3585" width="6" style="1762" customWidth="1"/>
    <col min="3586" max="3586" width="33.42578125" style="1762" customWidth="1"/>
    <col min="3587" max="3587" width="17.85546875" style="1762" bestFit="1" customWidth="1"/>
    <col min="3588" max="3588" width="10.5703125" style="1762" bestFit="1" customWidth="1"/>
    <col min="3589" max="3589" width="12.5703125" style="1762" bestFit="1" customWidth="1"/>
    <col min="3590" max="3590" width="16" style="1762" bestFit="1" customWidth="1"/>
    <col min="3591" max="3591" width="9.140625" style="1762"/>
    <col min="3592" max="3592" width="16.140625" style="1762" bestFit="1" customWidth="1"/>
    <col min="3593" max="3840" width="9.140625" style="1762"/>
    <col min="3841" max="3841" width="6" style="1762" customWidth="1"/>
    <col min="3842" max="3842" width="33.42578125" style="1762" customWidth="1"/>
    <col min="3843" max="3843" width="17.85546875" style="1762" bestFit="1" customWidth="1"/>
    <col min="3844" max="3844" width="10.5703125" style="1762" bestFit="1" customWidth="1"/>
    <col min="3845" max="3845" width="12.5703125" style="1762" bestFit="1" customWidth="1"/>
    <col min="3846" max="3846" width="16" style="1762" bestFit="1" customWidth="1"/>
    <col min="3847" max="3847" width="9.140625" style="1762"/>
    <col min="3848" max="3848" width="16.140625" style="1762" bestFit="1" customWidth="1"/>
    <col min="3849" max="4096" width="9.140625" style="1762"/>
    <col min="4097" max="4097" width="6" style="1762" customWidth="1"/>
    <col min="4098" max="4098" width="33.42578125" style="1762" customWidth="1"/>
    <col min="4099" max="4099" width="17.85546875" style="1762" bestFit="1" customWidth="1"/>
    <col min="4100" max="4100" width="10.5703125" style="1762" bestFit="1" customWidth="1"/>
    <col min="4101" max="4101" width="12.5703125" style="1762" bestFit="1" customWidth="1"/>
    <col min="4102" max="4102" width="16" style="1762" bestFit="1" customWidth="1"/>
    <col min="4103" max="4103" width="9.140625" style="1762"/>
    <col min="4104" max="4104" width="16.140625" style="1762" bestFit="1" customWidth="1"/>
    <col min="4105" max="4352" width="9.140625" style="1762"/>
    <col min="4353" max="4353" width="6" style="1762" customWidth="1"/>
    <col min="4354" max="4354" width="33.42578125" style="1762" customWidth="1"/>
    <col min="4355" max="4355" width="17.85546875" style="1762" bestFit="1" customWidth="1"/>
    <col min="4356" max="4356" width="10.5703125" style="1762" bestFit="1" customWidth="1"/>
    <col min="4357" max="4357" width="12.5703125" style="1762" bestFit="1" customWidth="1"/>
    <col min="4358" max="4358" width="16" style="1762" bestFit="1" customWidth="1"/>
    <col min="4359" max="4359" width="9.140625" style="1762"/>
    <col min="4360" max="4360" width="16.140625" style="1762" bestFit="1" customWidth="1"/>
    <col min="4361" max="4608" width="9.140625" style="1762"/>
    <col min="4609" max="4609" width="6" style="1762" customWidth="1"/>
    <col min="4610" max="4610" width="33.42578125" style="1762" customWidth="1"/>
    <col min="4611" max="4611" width="17.85546875" style="1762" bestFit="1" customWidth="1"/>
    <col min="4612" max="4612" width="10.5703125" style="1762" bestFit="1" customWidth="1"/>
    <col min="4613" max="4613" width="12.5703125" style="1762" bestFit="1" customWidth="1"/>
    <col min="4614" max="4614" width="16" style="1762" bestFit="1" customWidth="1"/>
    <col min="4615" max="4615" width="9.140625" style="1762"/>
    <col min="4616" max="4616" width="16.140625" style="1762" bestFit="1" customWidth="1"/>
    <col min="4617" max="4864" width="9.140625" style="1762"/>
    <col min="4865" max="4865" width="6" style="1762" customWidth="1"/>
    <col min="4866" max="4866" width="33.42578125" style="1762" customWidth="1"/>
    <col min="4867" max="4867" width="17.85546875" style="1762" bestFit="1" customWidth="1"/>
    <col min="4868" max="4868" width="10.5703125" style="1762" bestFit="1" customWidth="1"/>
    <col min="4869" max="4869" width="12.5703125" style="1762" bestFit="1" customWidth="1"/>
    <col min="4870" max="4870" width="16" style="1762" bestFit="1" customWidth="1"/>
    <col min="4871" max="4871" width="9.140625" style="1762"/>
    <col min="4872" max="4872" width="16.140625" style="1762" bestFit="1" customWidth="1"/>
    <col min="4873" max="5120" width="9.140625" style="1762"/>
    <col min="5121" max="5121" width="6" style="1762" customWidth="1"/>
    <col min="5122" max="5122" width="33.42578125" style="1762" customWidth="1"/>
    <col min="5123" max="5123" width="17.85546875" style="1762" bestFit="1" customWidth="1"/>
    <col min="5124" max="5124" width="10.5703125" style="1762" bestFit="1" customWidth="1"/>
    <col min="5125" max="5125" width="12.5703125" style="1762" bestFit="1" customWidth="1"/>
    <col min="5126" max="5126" width="16" style="1762" bestFit="1" customWidth="1"/>
    <col min="5127" max="5127" width="9.140625" style="1762"/>
    <col min="5128" max="5128" width="16.140625" style="1762" bestFit="1" customWidth="1"/>
    <col min="5129" max="5376" width="9.140625" style="1762"/>
    <col min="5377" max="5377" width="6" style="1762" customWidth="1"/>
    <col min="5378" max="5378" width="33.42578125" style="1762" customWidth="1"/>
    <col min="5379" max="5379" width="17.85546875" style="1762" bestFit="1" customWidth="1"/>
    <col min="5380" max="5380" width="10.5703125" style="1762" bestFit="1" customWidth="1"/>
    <col min="5381" max="5381" width="12.5703125" style="1762" bestFit="1" customWidth="1"/>
    <col min="5382" max="5382" width="16" style="1762" bestFit="1" customWidth="1"/>
    <col min="5383" max="5383" width="9.140625" style="1762"/>
    <col min="5384" max="5384" width="16.140625" style="1762" bestFit="1" customWidth="1"/>
    <col min="5385" max="5632" width="9.140625" style="1762"/>
    <col min="5633" max="5633" width="6" style="1762" customWidth="1"/>
    <col min="5634" max="5634" width="33.42578125" style="1762" customWidth="1"/>
    <col min="5635" max="5635" width="17.85546875" style="1762" bestFit="1" customWidth="1"/>
    <col min="5636" max="5636" width="10.5703125" style="1762" bestFit="1" customWidth="1"/>
    <col min="5637" max="5637" width="12.5703125" style="1762" bestFit="1" customWidth="1"/>
    <col min="5638" max="5638" width="16" style="1762" bestFit="1" customWidth="1"/>
    <col min="5639" max="5639" width="9.140625" style="1762"/>
    <col min="5640" max="5640" width="16.140625" style="1762" bestFit="1" customWidth="1"/>
    <col min="5641" max="5888" width="9.140625" style="1762"/>
    <col min="5889" max="5889" width="6" style="1762" customWidth="1"/>
    <col min="5890" max="5890" width="33.42578125" style="1762" customWidth="1"/>
    <col min="5891" max="5891" width="17.85546875" style="1762" bestFit="1" customWidth="1"/>
    <col min="5892" max="5892" width="10.5703125" style="1762" bestFit="1" customWidth="1"/>
    <col min="5893" max="5893" width="12.5703125" style="1762" bestFit="1" customWidth="1"/>
    <col min="5894" max="5894" width="16" style="1762" bestFit="1" customWidth="1"/>
    <col min="5895" max="5895" width="9.140625" style="1762"/>
    <col min="5896" max="5896" width="16.140625" style="1762" bestFit="1" customWidth="1"/>
    <col min="5897" max="6144" width="9.140625" style="1762"/>
    <col min="6145" max="6145" width="6" style="1762" customWidth="1"/>
    <col min="6146" max="6146" width="33.42578125" style="1762" customWidth="1"/>
    <col min="6147" max="6147" width="17.85546875" style="1762" bestFit="1" customWidth="1"/>
    <col min="6148" max="6148" width="10.5703125" style="1762" bestFit="1" customWidth="1"/>
    <col min="6149" max="6149" width="12.5703125" style="1762" bestFit="1" customWidth="1"/>
    <col min="6150" max="6150" width="16" style="1762" bestFit="1" customWidth="1"/>
    <col min="6151" max="6151" width="9.140625" style="1762"/>
    <col min="6152" max="6152" width="16.140625" style="1762" bestFit="1" customWidth="1"/>
    <col min="6153" max="6400" width="9.140625" style="1762"/>
    <col min="6401" max="6401" width="6" style="1762" customWidth="1"/>
    <col min="6402" max="6402" width="33.42578125" style="1762" customWidth="1"/>
    <col min="6403" max="6403" width="17.85546875" style="1762" bestFit="1" customWidth="1"/>
    <col min="6404" max="6404" width="10.5703125" style="1762" bestFit="1" customWidth="1"/>
    <col min="6405" max="6405" width="12.5703125" style="1762" bestFit="1" customWidth="1"/>
    <col min="6406" max="6406" width="16" style="1762" bestFit="1" customWidth="1"/>
    <col min="6407" max="6407" width="9.140625" style="1762"/>
    <col min="6408" max="6408" width="16.140625" style="1762" bestFit="1" customWidth="1"/>
    <col min="6409" max="6656" width="9.140625" style="1762"/>
    <col min="6657" max="6657" width="6" style="1762" customWidth="1"/>
    <col min="6658" max="6658" width="33.42578125" style="1762" customWidth="1"/>
    <col min="6659" max="6659" width="17.85546875" style="1762" bestFit="1" customWidth="1"/>
    <col min="6660" max="6660" width="10.5703125" style="1762" bestFit="1" customWidth="1"/>
    <col min="6661" max="6661" width="12.5703125" style="1762" bestFit="1" customWidth="1"/>
    <col min="6662" max="6662" width="16" style="1762" bestFit="1" customWidth="1"/>
    <col min="6663" max="6663" width="9.140625" style="1762"/>
    <col min="6664" max="6664" width="16.140625" style="1762" bestFit="1" customWidth="1"/>
    <col min="6665" max="6912" width="9.140625" style="1762"/>
    <col min="6913" max="6913" width="6" style="1762" customWidth="1"/>
    <col min="6914" max="6914" width="33.42578125" style="1762" customWidth="1"/>
    <col min="6915" max="6915" width="17.85546875" style="1762" bestFit="1" customWidth="1"/>
    <col min="6916" max="6916" width="10.5703125" style="1762" bestFit="1" customWidth="1"/>
    <col min="6917" max="6917" width="12.5703125" style="1762" bestFit="1" customWidth="1"/>
    <col min="6918" max="6918" width="16" style="1762" bestFit="1" customWidth="1"/>
    <col min="6919" max="6919" width="9.140625" style="1762"/>
    <col min="6920" max="6920" width="16.140625" style="1762" bestFit="1" customWidth="1"/>
    <col min="6921" max="7168" width="9.140625" style="1762"/>
    <col min="7169" max="7169" width="6" style="1762" customWidth="1"/>
    <col min="7170" max="7170" width="33.42578125" style="1762" customWidth="1"/>
    <col min="7171" max="7171" width="17.85546875" style="1762" bestFit="1" customWidth="1"/>
    <col min="7172" max="7172" width="10.5703125" style="1762" bestFit="1" customWidth="1"/>
    <col min="7173" max="7173" width="12.5703125" style="1762" bestFit="1" customWidth="1"/>
    <col min="7174" max="7174" width="16" style="1762" bestFit="1" customWidth="1"/>
    <col min="7175" max="7175" width="9.140625" style="1762"/>
    <col min="7176" max="7176" width="16.140625" style="1762" bestFit="1" customWidth="1"/>
    <col min="7177" max="7424" width="9.140625" style="1762"/>
    <col min="7425" max="7425" width="6" style="1762" customWidth="1"/>
    <col min="7426" max="7426" width="33.42578125" style="1762" customWidth="1"/>
    <col min="7427" max="7427" width="17.85546875" style="1762" bestFit="1" customWidth="1"/>
    <col min="7428" max="7428" width="10.5703125" style="1762" bestFit="1" customWidth="1"/>
    <col min="7429" max="7429" width="12.5703125" style="1762" bestFit="1" customWidth="1"/>
    <col min="7430" max="7430" width="16" style="1762" bestFit="1" customWidth="1"/>
    <col min="7431" max="7431" width="9.140625" style="1762"/>
    <col min="7432" max="7432" width="16.140625" style="1762" bestFit="1" customWidth="1"/>
    <col min="7433" max="7680" width="9.140625" style="1762"/>
    <col min="7681" max="7681" width="6" style="1762" customWidth="1"/>
    <col min="7682" max="7682" width="33.42578125" style="1762" customWidth="1"/>
    <col min="7683" max="7683" width="17.85546875" style="1762" bestFit="1" customWidth="1"/>
    <col min="7684" max="7684" width="10.5703125" style="1762" bestFit="1" customWidth="1"/>
    <col min="7685" max="7685" width="12.5703125" style="1762" bestFit="1" customWidth="1"/>
    <col min="7686" max="7686" width="16" style="1762" bestFit="1" customWidth="1"/>
    <col min="7687" max="7687" width="9.140625" style="1762"/>
    <col min="7688" max="7688" width="16.140625" style="1762" bestFit="1" customWidth="1"/>
    <col min="7689" max="7936" width="9.140625" style="1762"/>
    <col min="7937" max="7937" width="6" style="1762" customWidth="1"/>
    <col min="7938" max="7938" width="33.42578125" style="1762" customWidth="1"/>
    <col min="7939" max="7939" width="17.85546875" style="1762" bestFit="1" customWidth="1"/>
    <col min="7940" max="7940" width="10.5703125" style="1762" bestFit="1" customWidth="1"/>
    <col min="7941" max="7941" width="12.5703125" style="1762" bestFit="1" customWidth="1"/>
    <col min="7942" max="7942" width="16" style="1762" bestFit="1" customWidth="1"/>
    <col min="7943" max="7943" width="9.140625" style="1762"/>
    <col min="7944" max="7944" width="16.140625" style="1762" bestFit="1" customWidth="1"/>
    <col min="7945" max="8192" width="9.140625" style="1762"/>
    <col min="8193" max="8193" width="6" style="1762" customWidth="1"/>
    <col min="8194" max="8194" width="33.42578125" style="1762" customWidth="1"/>
    <col min="8195" max="8195" width="17.85546875" style="1762" bestFit="1" customWidth="1"/>
    <col min="8196" max="8196" width="10.5703125" style="1762" bestFit="1" customWidth="1"/>
    <col min="8197" max="8197" width="12.5703125" style="1762" bestFit="1" customWidth="1"/>
    <col min="8198" max="8198" width="16" style="1762" bestFit="1" customWidth="1"/>
    <col min="8199" max="8199" width="9.140625" style="1762"/>
    <col min="8200" max="8200" width="16.140625" style="1762" bestFit="1" customWidth="1"/>
    <col min="8201" max="8448" width="9.140625" style="1762"/>
    <col min="8449" max="8449" width="6" style="1762" customWidth="1"/>
    <col min="8450" max="8450" width="33.42578125" style="1762" customWidth="1"/>
    <col min="8451" max="8451" width="17.85546875" style="1762" bestFit="1" customWidth="1"/>
    <col min="8452" max="8452" width="10.5703125" style="1762" bestFit="1" customWidth="1"/>
    <col min="8453" max="8453" width="12.5703125" style="1762" bestFit="1" customWidth="1"/>
    <col min="8454" max="8454" width="16" style="1762" bestFit="1" customWidth="1"/>
    <col min="8455" max="8455" width="9.140625" style="1762"/>
    <col min="8456" max="8456" width="16.140625" style="1762" bestFit="1" customWidth="1"/>
    <col min="8457" max="8704" width="9.140625" style="1762"/>
    <col min="8705" max="8705" width="6" style="1762" customWidth="1"/>
    <col min="8706" max="8706" width="33.42578125" style="1762" customWidth="1"/>
    <col min="8707" max="8707" width="17.85546875" style="1762" bestFit="1" customWidth="1"/>
    <col min="8708" max="8708" width="10.5703125" style="1762" bestFit="1" customWidth="1"/>
    <col min="8709" max="8709" width="12.5703125" style="1762" bestFit="1" customWidth="1"/>
    <col min="8710" max="8710" width="16" style="1762" bestFit="1" customWidth="1"/>
    <col min="8711" max="8711" width="9.140625" style="1762"/>
    <col min="8712" max="8712" width="16.140625" style="1762" bestFit="1" customWidth="1"/>
    <col min="8713" max="8960" width="9.140625" style="1762"/>
    <col min="8961" max="8961" width="6" style="1762" customWidth="1"/>
    <col min="8962" max="8962" width="33.42578125" style="1762" customWidth="1"/>
    <col min="8963" max="8963" width="17.85546875" style="1762" bestFit="1" customWidth="1"/>
    <col min="8964" max="8964" width="10.5703125" style="1762" bestFit="1" customWidth="1"/>
    <col min="8965" max="8965" width="12.5703125" style="1762" bestFit="1" customWidth="1"/>
    <col min="8966" max="8966" width="16" style="1762" bestFit="1" customWidth="1"/>
    <col min="8967" max="8967" width="9.140625" style="1762"/>
    <col min="8968" max="8968" width="16.140625" style="1762" bestFit="1" customWidth="1"/>
    <col min="8969" max="9216" width="9.140625" style="1762"/>
    <col min="9217" max="9217" width="6" style="1762" customWidth="1"/>
    <col min="9218" max="9218" width="33.42578125" style="1762" customWidth="1"/>
    <col min="9219" max="9219" width="17.85546875" style="1762" bestFit="1" customWidth="1"/>
    <col min="9220" max="9220" width="10.5703125" style="1762" bestFit="1" customWidth="1"/>
    <col min="9221" max="9221" width="12.5703125" style="1762" bestFit="1" customWidth="1"/>
    <col min="9222" max="9222" width="16" style="1762" bestFit="1" customWidth="1"/>
    <col min="9223" max="9223" width="9.140625" style="1762"/>
    <col min="9224" max="9224" width="16.140625" style="1762" bestFit="1" customWidth="1"/>
    <col min="9225" max="9472" width="9.140625" style="1762"/>
    <col min="9473" max="9473" width="6" style="1762" customWidth="1"/>
    <col min="9474" max="9474" width="33.42578125" style="1762" customWidth="1"/>
    <col min="9475" max="9475" width="17.85546875" style="1762" bestFit="1" customWidth="1"/>
    <col min="9476" max="9476" width="10.5703125" style="1762" bestFit="1" customWidth="1"/>
    <col min="9477" max="9477" width="12.5703125" style="1762" bestFit="1" customWidth="1"/>
    <col min="9478" max="9478" width="16" style="1762" bestFit="1" customWidth="1"/>
    <col min="9479" max="9479" width="9.140625" style="1762"/>
    <col min="9480" max="9480" width="16.140625" style="1762" bestFit="1" customWidth="1"/>
    <col min="9481" max="9728" width="9.140625" style="1762"/>
    <col min="9729" max="9729" width="6" style="1762" customWidth="1"/>
    <col min="9730" max="9730" width="33.42578125" style="1762" customWidth="1"/>
    <col min="9731" max="9731" width="17.85546875" style="1762" bestFit="1" customWidth="1"/>
    <col min="9732" max="9732" width="10.5703125" style="1762" bestFit="1" customWidth="1"/>
    <col min="9733" max="9733" width="12.5703125" style="1762" bestFit="1" customWidth="1"/>
    <col min="9734" max="9734" width="16" style="1762" bestFit="1" customWidth="1"/>
    <col min="9735" max="9735" width="9.140625" style="1762"/>
    <col min="9736" max="9736" width="16.140625" style="1762" bestFit="1" customWidth="1"/>
    <col min="9737" max="9984" width="9.140625" style="1762"/>
    <col min="9985" max="9985" width="6" style="1762" customWidth="1"/>
    <col min="9986" max="9986" width="33.42578125" style="1762" customWidth="1"/>
    <col min="9987" max="9987" width="17.85546875" style="1762" bestFit="1" customWidth="1"/>
    <col min="9988" max="9988" width="10.5703125" style="1762" bestFit="1" customWidth="1"/>
    <col min="9989" max="9989" width="12.5703125" style="1762" bestFit="1" customWidth="1"/>
    <col min="9990" max="9990" width="16" style="1762" bestFit="1" customWidth="1"/>
    <col min="9991" max="9991" width="9.140625" style="1762"/>
    <col min="9992" max="9992" width="16.140625" style="1762" bestFit="1" customWidth="1"/>
    <col min="9993" max="10240" width="9.140625" style="1762"/>
    <col min="10241" max="10241" width="6" style="1762" customWidth="1"/>
    <col min="10242" max="10242" width="33.42578125" style="1762" customWidth="1"/>
    <col min="10243" max="10243" width="17.85546875" style="1762" bestFit="1" customWidth="1"/>
    <col min="10244" max="10244" width="10.5703125" style="1762" bestFit="1" customWidth="1"/>
    <col min="10245" max="10245" width="12.5703125" style="1762" bestFit="1" customWidth="1"/>
    <col min="10246" max="10246" width="16" style="1762" bestFit="1" customWidth="1"/>
    <col min="10247" max="10247" width="9.140625" style="1762"/>
    <col min="10248" max="10248" width="16.140625" style="1762" bestFit="1" customWidth="1"/>
    <col min="10249" max="10496" width="9.140625" style="1762"/>
    <col min="10497" max="10497" width="6" style="1762" customWidth="1"/>
    <col min="10498" max="10498" width="33.42578125" style="1762" customWidth="1"/>
    <col min="10499" max="10499" width="17.85546875" style="1762" bestFit="1" customWidth="1"/>
    <col min="10500" max="10500" width="10.5703125" style="1762" bestFit="1" customWidth="1"/>
    <col min="10501" max="10501" width="12.5703125" style="1762" bestFit="1" customWidth="1"/>
    <col min="10502" max="10502" width="16" style="1762" bestFit="1" customWidth="1"/>
    <col min="10503" max="10503" width="9.140625" style="1762"/>
    <col min="10504" max="10504" width="16.140625" style="1762" bestFit="1" customWidth="1"/>
    <col min="10505" max="10752" width="9.140625" style="1762"/>
    <col min="10753" max="10753" width="6" style="1762" customWidth="1"/>
    <col min="10754" max="10754" width="33.42578125" style="1762" customWidth="1"/>
    <col min="10755" max="10755" width="17.85546875" style="1762" bestFit="1" customWidth="1"/>
    <col min="10756" max="10756" width="10.5703125" style="1762" bestFit="1" customWidth="1"/>
    <col min="10757" max="10757" width="12.5703125" style="1762" bestFit="1" customWidth="1"/>
    <col min="10758" max="10758" width="16" style="1762" bestFit="1" customWidth="1"/>
    <col min="10759" max="10759" width="9.140625" style="1762"/>
    <col min="10760" max="10760" width="16.140625" style="1762" bestFit="1" customWidth="1"/>
    <col min="10761" max="11008" width="9.140625" style="1762"/>
    <col min="11009" max="11009" width="6" style="1762" customWidth="1"/>
    <col min="11010" max="11010" width="33.42578125" style="1762" customWidth="1"/>
    <col min="11011" max="11011" width="17.85546875" style="1762" bestFit="1" customWidth="1"/>
    <col min="11012" max="11012" width="10.5703125" style="1762" bestFit="1" customWidth="1"/>
    <col min="11013" max="11013" width="12.5703125" style="1762" bestFit="1" customWidth="1"/>
    <col min="11014" max="11014" width="16" style="1762" bestFit="1" customWidth="1"/>
    <col min="11015" max="11015" width="9.140625" style="1762"/>
    <col min="11016" max="11016" width="16.140625" style="1762" bestFit="1" customWidth="1"/>
    <col min="11017" max="11264" width="9.140625" style="1762"/>
    <col min="11265" max="11265" width="6" style="1762" customWidth="1"/>
    <col min="11266" max="11266" width="33.42578125" style="1762" customWidth="1"/>
    <col min="11267" max="11267" width="17.85546875" style="1762" bestFit="1" customWidth="1"/>
    <col min="11268" max="11268" width="10.5703125" style="1762" bestFit="1" customWidth="1"/>
    <col min="11269" max="11269" width="12.5703125" style="1762" bestFit="1" customWidth="1"/>
    <col min="11270" max="11270" width="16" style="1762" bestFit="1" customWidth="1"/>
    <col min="11271" max="11271" width="9.140625" style="1762"/>
    <col min="11272" max="11272" width="16.140625" style="1762" bestFit="1" customWidth="1"/>
    <col min="11273" max="11520" width="9.140625" style="1762"/>
    <col min="11521" max="11521" width="6" style="1762" customWidth="1"/>
    <col min="11522" max="11522" width="33.42578125" style="1762" customWidth="1"/>
    <col min="11523" max="11523" width="17.85546875" style="1762" bestFit="1" customWidth="1"/>
    <col min="11524" max="11524" width="10.5703125" style="1762" bestFit="1" customWidth="1"/>
    <col min="11525" max="11525" width="12.5703125" style="1762" bestFit="1" customWidth="1"/>
    <col min="11526" max="11526" width="16" style="1762" bestFit="1" customWidth="1"/>
    <col min="11527" max="11527" width="9.140625" style="1762"/>
    <col min="11528" max="11528" width="16.140625" style="1762" bestFit="1" customWidth="1"/>
    <col min="11529" max="11776" width="9.140625" style="1762"/>
    <col min="11777" max="11777" width="6" style="1762" customWidth="1"/>
    <col min="11778" max="11778" width="33.42578125" style="1762" customWidth="1"/>
    <col min="11779" max="11779" width="17.85546875" style="1762" bestFit="1" customWidth="1"/>
    <col min="11780" max="11780" width="10.5703125" style="1762" bestFit="1" customWidth="1"/>
    <col min="11781" max="11781" width="12.5703125" style="1762" bestFit="1" customWidth="1"/>
    <col min="11782" max="11782" width="16" style="1762" bestFit="1" customWidth="1"/>
    <col min="11783" max="11783" width="9.140625" style="1762"/>
    <col min="11784" max="11784" width="16.140625" style="1762" bestFit="1" customWidth="1"/>
    <col min="11785" max="12032" width="9.140625" style="1762"/>
    <col min="12033" max="12033" width="6" style="1762" customWidth="1"/>
    <col min="12034" max="12034" width="33.42578125" style="1762" customWidth="1"/>
    <col min="12035" max="12035" width="17.85546875" style="1762" bestFit="1" customWidth="1"/>
    <col min="12036" max="12036" width="10.5703125" style="1762" bestFit="1" customWidth="1"/>
    <col min="12037" max="12037" width="12.5703125" style="1762" bestFit="1" customWidth="1"/>
    <col min="12038" max="12038" width="16" style="1762" bestFit="1" customWidth="1"/>
    <col min="12039" max="12039" width="9.140625" style="1762"/>
    <col min="12040" max="12040" width="16.140625" style="1762" bestFit="1" customWidth="1"/>
    <col min="12041" max="12288" width="9.140625" style="1762"/>
    <col min="12289" max="12289" width="6" style="1762" customWidth="1"/>
    <col min="12290" max="12290" width="33.42578125" style="1762" customWidth="1"/>
    <col min="12291" max="12291" width="17.85546875" style="1762" bestFit="1" customWidth="1"/>
    <col min="12292" max="12292" width="10.5703125" style="1762" bestFit="1" customWidth="1"/>
    <col min="12293" max="12293" width="12.5703125" style="1762" bestFit="1" customWidth="1"/>
    <col min="12294" max="12294" width="16" style="1762" bestFit="1" customWidth="1"/>
    <col min="12295" max="12295" width="9.140625" style="1762"/>
    <col min="12296" max="12296" width="16.140625" style="1762" bestFit="1" customWidth="1"/>
    <col min="12297" max="12544" width="9.140625" style="1762"/>
    <col min="12545" max="12545" width="6" style="1762" customWidth="1"/>
    <col min="12546" max="12546" width="33.42578125" style="1762" customWidth="1"/>
    <col min="12547" max="12547" width="17.85546875" style="1762" bestFit="1" customWidth="1"/>
    <col min="12548" max="12548" width="10.5703125" style="1762" bestFit="1" customWidth="1"/>
    <col min="12549" max="12549" width="12.5703125" style="1762" bestFit="1" customWidth="1"/>
    <col min="12550" max="12550" width="16" style="1762" bestFit="1" customWidth="1"/>
    <col min="12551" max="12551" width="9.140625" style="1762"/>
    <col min="12552" max="12552" width="16.140625" style="1762" bestFit="1" customWidth="1"/>
    <col min="12553" max="12800" width="9.140625" style="1762"/>
    <col min="12801" max="12801" width="6" style="1762" customWidth="1"/>
    <col min="12802" max="12802" width="33.42578125" style="1762" customWidth="1"/>
    <col min="12803" max="12803" width="17.85546875" style="1762" bestFit="1" customWidth="1"/>
    <col min="12804" max="12804" width="10.5703125" style="1762" bestFit="1" customWidth="1"/>
    <col min="12805" max="12805" width="12.5703125" style="1762" bestFit="1" customWidth="1"/>
    <col min="12806" max="12806" width="16" style="1762" bestFit="1" customWidth="1"/>
    <col min="12807" max="12807" width="9.140625" style="1762"/>
    <col min="12808" max="12808" width="16.140625" style="1762" bestFit="1" customWidth="1"/>
    <col min="12809" max="13056" width="9.140625" style="1762"/>
    <col min="13057" max="13057" width="6" style="1762" customWidth="1"/>
    <col min="13058" max="13058" width="33.42578125" style="1762" customWidth="1"/>
    <col min="13059" max="13059" width="17.85546875" style="1762" bestFit="1" customWidth="1"/>
    <col min="13060" max="13060" width="10.5703125" style="1762" bestFit="1" customWidth="1"/>
    <col min="13061" max="13061" width="12.5703125" style="1762" bestFit="1" customWidth="1"/>
    <col min="13062" max="13062" width="16" style="1762" bestFit="1" customWidth="1"/>
    <col min="13063" max="13063" width="9.140625" style="1762"/>
    <col min="13064" max="13064" width="16.140625" style="1762" bestFit="1" customWidth="1"/>
    <col min="13065" max="13312" width="9.140625" style="1762"/>
    <col min="13313" max="13313" width="6" style="1762" customWidth="1"/>
    <col min="13314" max="13314" width="33.42578125" style="1762" customWidth="1"/>
    <col min="13315" max="13315" width="17.85546875" style="1762" bestFit="1" customWidth="1"/>
    <col min="13316" max="13316" width="10.5703125" style="1762" bestFit="1" customWidth="1"/>
    <col min="13317" max="13317" width="12.5703125" style="1762" bestFit="1" customWidth="1"/>
    <col min="13318" max="13318" width="16" style="1762" bestFit="1" customWidth="1"/>
    <col min="13319" max="13319" width="9.140625" style="1762"/>
    <col min="13320" max="13320" width="16.140625" style="1762" bestFit="1" customWidth="1"/>
    <col min="13321" max="13568" width="9.140625" style="1762"/>
    <col min="13569" max="13569" width="6" style="1762" customWidth="1"/>
    <col min="13570" max="13570" width="33.42578125" style="1762" customWidth="1"/>
    <col min="13571" max="13571" width="17.85546875" style="1762" bestFit="1" customWidth="1"/>
    <col min="13572" max="13572" width="10.5703125" style="1762" bestFit="1" customWidth="1"/>
    <col min="13573" max="13573" width="12.5703125" style="1762" bestFit="1" customWidth="1"/>
    <col min="13574" max="13574" width="16" style="1762" bestFit="1" customWidth="1"/>
    <col min="13575" max="13575" width="9.140625" style="1762"/>
    <col min="13576" max="13576" width="16.140625" style="1762" bestFit="1" customWidth="1"/>
    <col min="13577" max="13824" width="9.140625" style="1762"/>
    <col min="13825" max="13825" width="6" style="1762" customWidth="1"/>
    <col min="13826" max="13826" width="33.42578125" style="1762" customWidth="1"/>
    <col min="13827" max="13827" width="17.85546875" style="1762" bestFit="1" customWidth="1"/>
    <col min="13828" max="13828" width="10.5703125" style="1762" bestFit="1" customWidth="1"/>
    <col min="13829" max="13829" width="12.5703125" style="1762" bestFit="1" customWidth="1"/>
    <col min="13830" max="13830" width="16" style="1762" bestFit="1" customWidth="1"/>
    <col min="13831" max="13831" width="9.140625" style="1762"/>
    <col min="13832" max="13832" width="16.140625" style="1762" bestFit="1" customWidth="1"/>
    <col min="13833" max="14080" width="9.140625" style="1762"/>
    <col min="14081" max="14081" width="6" style="1762" customWidth="1"/>
    <col min="14082" max="14082" width="33.42578125" style="1762" customWidth="1"/>
    <col min="14083" max="14083" width="17.85546875" style="1762" bestFit="1" customWidth="1"/>
    <col min="14084" max="14084" width="10.5703125" style="1762" bestFit="1" customWidth="1"/>
    <col min="14085" max="14085" width="12.5703125" style="1762" bestFit="1" customWidth="1"/>
    <col min="14086" max="14086" width="16" style="1762" bestFit="1" customWidth="1"/>
    <col min="14087" max="14087" width="9.140625" style="1762"/>
    <col min="14088" max="14088" width="16.140625" style="1762" bestFit="1" customWidth="1"/>
    <col min="14089" max="14336" width="9.140625" style="1762"/>
    <col min="14337" max="14337" width="6" style="1762" customWidth="1"/>
    <col min="14338" max="14338" width="33.42578125" style="1762" customWidth="1"/>
    <col min="14339" max="14339" width="17.85546875" style="1762" bestFit="1" customWidth="1"/>
    <col min="14340" max="14340" width="10.5703125" style="1762" bestFit="1" customWidth="1"/>
    <col min="14341" max="14341" width="12.5703125" style="1762" bestFit="1" customWidth="1"/>
    <col min="14342" max="14342" width="16" style="1762" bestFit="1" customWidth="1"/>
    <col min="14343" max="14343" width="9.140625" style="1762"/>
    <col min="14344" max="14344" width="16.140625" style="1762" bestFit="1" customWidth="1"/>
    <col min="14345" max="14592" width="9.140625" style="1762"/>
    <col min="14593" max="14593" width="6" style="1762" customWidth="1"/>
    <col min="14594" max="14594" width="33.42578125" style="1762" customWidth="1"/>
    <col min="14595" max="14595" width="17.85546875" style="1762" bestFit="1" customWidth="1"/>
    <col min="14596" max="14596" width="10.5703125" style="1762" bestFit="1" customWidth="1"/>
    <col min="14597" max="14597" width="12.5703125" style="1762" bestFit="1" customWidth="1"/>
    <col min="14598" max="14598" width="16" style="1762" bestFit="1" customWidth="1"/>
    <col min="14599" max="14599" width="9.140625" style="1762"/>
    <col min="14600" max="14600" width="16.140625" style="1762" bestFit="1" customWidth="1"/>
    <col min="14601" max="14848" width="9.140625" style="1762"/>
    <col min="14849" max="14849" width="6" style="1762" customWidth="1"/>
    <col min="14850" max="14850" width="33.42578125" style="1762" customWidth="1"/>
    <col min="14851" max="14851" width="17.85546875" style="1762" bestFit="1" customWidth="1"/>
    <col min="14852" max="14852" width="10.5703125" style="1762" bestFit="1" customWidth="1"/>
    <col min="14853" max="14853" width="12.5703125" style="1762" bestFit="1" customWidth="1"/>
    <col min="14854" max="14854" width="16" style="1762" bestFit="1" customWidth="1"/>
    <col min="14855" max="14855" width="9.140625" style="1762"/>
    <col min="14856" max="14856" width="16.140625" style="1762" bestFit="1" customWidth="1"/>
    <col min="14857" max="15104" width="9.140625" style="1762"/>
    <col min="15105" max="15105" width="6" style="1762" customWidth="1"/>
    <col min="15106" max="15106" width="33.42578125" style="1762" customWidth="1"/>
    <col min="15107" max="15107" width="17.85546875" style="1762" bestFit="1" customWidth="1"/>
    <col min="15108" max="15108" width="10.5703125" style="1762" bestFit="1" customWidth="1"/>
    <col min="15109" max="15109" width="12.5703125" style="1762" bestFit="1" customWidth="1"/>
    <col min="15110" max="15110" width="16" style="1762" bestFit="1" customWidth="1"/>
    <col min="15111" max="15111" width="9.140625" style="1762"/>
    <col min="15112" max="15112" width="16.140625" style="1762" bestFit="1" customWidth="1"/>
    <col min="15113" max="15360" width="9.140625" style="1762"/>
    <col min="15361" max="15361" width="6" style="1762" customWidth="1"/>
    <col min="15362" max="15362" width="33.42578125" style="1762" customWidth="1"/>
    <col min="15363" max="15363" width="17.85546875" style="1762" bestFit="1" customWidth="1"/>
    <col min="15364" max="15364" width="10.5703125" style="1762" bestFit="1" customWidth="1"/>
    <col min="15365" max="15365" width="12.5703125" style="1762" bestFit="1" customWidth="1"/>
    <col min="15366" max="15366" width="16" style="1762" bestFit="1" customWidth="1"/>
    <col min="15367" max="15367" width="9.140625" style="1762"/>
    <col min="15368" max="15368" width="16.140625" style="1762" bestFit="1" customWidth="1"/>
    <col min="15369" max="15616" width="9.140625" style="1762"/>
    <col min="15617" max="15617" width="6" style="1762" customWidth="1"/>
    <col min="15618" max="15618" width="33.42578125" style="1762" customWidth="1"/>
    <col min="15619" max="15619" width="17.85546875" style="1762" bestFit="1" customWidth="1"/>
    <col min="15620" max="15620" width="10.5703125" style="1762" bestFit="1" customWidth="1"/>
    <col min="15621" max="15621" width="12.5703125" style="1762" bestFit="1" customWidth="1"/>
    <col min="15622" max="15622" width="16" style="1762" bestFit="1" customWidth="1"/>
    <col min="15623" max="15623" width="9.140625" style="1762"/>
    <col min="15624" max="15624" width="16.140625" style="1762" bestFit="1" customWidth="1"/>
    <col min="15625" max="15872" width="9.140625" style="1762"/>
    <col min="15873" max="15873" width="6" style="1762" customWidth="1"/>
    <col min="15874" max="15874" width="33.42578125" style="1762" customWidth="1"/>
    <col min="15875" max="15875" width="17.85546875" style="1762" bestFit="1" customWidth="1"/>
    <col min="15876" max="15876" width="10.5703125" style="1762" bestFit="1" customWidth="1"/>
    <col min="15877" max="15877" width="12.5703125" style="1762" bestFit="1" customWidth="1"/>
    <col min="15878" max="15878" width="16" style="1762" bestFit="1" customWidth="1"/>
    <col min="15879" max="15879" width="9.140625" style="1762"/>
    <col min="15880" max="15880" width="16.140625" style="1762" bestFit="1" customWidth="1"/>
    <col min="15881" max="16128" width="9.140625" style="1762"/>
    <col min="16129" max="16129" width="6" style="1762" customWidth="1"/>
    <col min="16130" max="16130" width="33.42578125" style="1762" customWidth="1"/>
    <col min="16131" max="16131" width="17.85546875" style="1762" bestFit="1" customWidth="1"/>
    <col min="16132" max="16132" width="10.5703125" style="1762" bestFit="1" customWidth="1"/>
    <col min="16133" max="16133" width="12.5703125" style="1762" bestFit="1" customWidth="1"/>
    <col min="16134" max="16134" width="16" style="1762" bestFit="1" customWidth="1"/>
    <col min="16135" max="16135" width="9.140625" style="1762"/>
    <col min="16136" max="16136" width="16.140625" style="1762" bestFit="1" customWidth="1"/>
    <col min="16137" max="16384" width="9.140625" style="1762"/>
  </cols>
  <sheetData>
    <row r="1" spans="1:7">
      <c r="C1" s="1763" t="s">
        <v>3209</v>
      </c>
      <c r="G1" s="1764" t="s">
        <v>1020</v>
      </c>
    </row>
    <row r="6" spans="1:7" ht="33">
      <c r="A6" s="1765" t="s">
        <v>0</v>
      </c>
      <c r="B6" s="1765" t="s">
        <v>1105</v>
      </c>
      <c r="C6" s="1765" t="s">
        <v>235</v>
      </c>
      <c r="D6" s="1765" t="s">
        <v>1</v>
      </c>
      <c r="E6" s="1795" t="s">
        <v>2622</v>
      </c>
      <c r="F6" s="1796" t="s">
        <v>4</v>
      </c>
    </row>
    <row r="7" spans="1:7">
      <c r="A7" s="1765" t="s">
        <v>480</v>
      </c>
      <c r="B7" s="2523" t="s">
        <v>2621</v>
      </c>
      <c r="C7" s="2524"/>
      <c r="D7" s="2524"/>
      <c r="E7" s="2525"/>
      <c r="F7" s="1766">
        <f>SUM(F8:F20)</f>
        <v>713000000</v>
      </c>
    </row>
    <row r="8" spans="1:7">
      <c r="A8" s="1767">
        <v>1</v>
      </c>
      <c r="B8" s="1797" t="s">
        <v>2619</v>
      </c>
      <c r="C8" s="1798" t="s">
        <v>248</v>
      </c>
      <c r="D8" s="1798">
        <v>100</v>
      </c>
      <c r="E8" s="1799">
        <v>600000</v>
      </c>
      <c r="F8" s="1768">
        <f t="shared" ref="F8:F18" si="0">E8*D8</f>
        <v>60000000</v>
      </c>
    </row>
    <row r="9" spans="1:7">
      <c r="A9" s="1767">
        <v>2</v>
      </c>
      <c r="B9" s="1797" t="s">
        <v>2618</v>
      </c>
      <c r="C9" s="1798" t="s">
        <v>248</v>
      </c>
      <c r="D9" s="1798">
        <v>100</v>
      </c>
      <c r="E9" s="1799">
        <v>2200000</v>
      </c>
      <c r="F9" s="1768">
        <f t="shared" si="0"/>
        <v>220000000</v>
      </c>
    </row>
    <row r="10" spans="1:7">
      <c r="A10" s="1767">
        <v>3</v>
      </c>
      <c r="B10" s="1797" t="s">
        <v>2617</v>
      </c>
      <c r="C10" s="1798" t="s">
        <v>248</v>
      </c>
      <c r="D10" s="1798">
        <v>100</v>
      </c>
      <c r="E10" s="1799">
        <v>150000</v>
      </c>
      <c r="F10" s="1768">
        <f t="shared" si="0"/>
        <v>15000000</v>
      </c>
    </row>
    <row r="11" spans="1:7">
      <c r="A11" s="1767">
        <v>4</v>
      </c>
      <c r="B11" s="1797" t="s">
        <v>2616</v>
      </c>
      <c r="C11" s="1798" t="s">
        <v>2615</v>
      </c>
      <c r="D11" s="1798">
        <v>200</v>
      </c>
      <c r="E11" s="1799">
        <v>200000</v>
      </c>
      <c r="F11" s="1768">
        <f t="shared" si="0"/>
        <v>40000000</v>
      </c>
    </row>
    <row r="12" spans="1:7">
      <c r="A12" s="1767">
        <v>5</v>
      </c>
      <c r="B12" s="1797" t="s">
        <v>2614</v>
      </c>
      <c r="C12" s="1798" t="s">
        <v>244</v>
      </c>
      <c r="D12" s="1798">
        <v>200</v>
      </c>
      <c r="E12" s="1799">
        <v>100000</v>
      </c>
      <c r="F12" s="1768">
        <f t="shared" si="0"/>
        <v>20000000</v>
      </c>
    </row>
    <row r="13" spans="1:7">
      <c r="A13" s="1767">
        <v>6</v>
      </c>
      <c r="B13" s="1797" t="s">
        <v>2613</v>
      </c>
      <c r="C13" s="1798" t="s">
        <v>244</v>
      </c>
      <c r="D13" s="1798">
        <v>200</v>
      </c>
      <c r="E13" s="1799">
        <v>150000</v>
      </c>
      <c r="F13" s="1768">
        <f t="shared" si="0"/>
        <v>30000000</v>
      </c>
    </row>
    <row r="14" spans="1:7">
      <c r="A14" s="1767">
        <v>7</v>
      </c>
      <c r="B14" s="1800" t="s">
        <v>2612</v>
      </c>
      <c r="C14" s="1801" t="s">
        <v>244</v>
      </c>
      <c r="D14" s="1767">
        <v>100</v>
      </c>
      <c r="E14" s="1802">
        <v>300000</v>
      </c>
      <c r="F14" s="1768">
        <f t="shared" si="0"/>
        <v>30000000</v>
      </c>
    </row>
    <row r="15" spans="1:7">
      <c r="A15" s="1767">
        <v>8</v>
      </c>
      <c r="B15" s="1800" t="s">
        <v>2611</v>
      </c>
      <c r="C15" s="1801" t="s">
        <v>244</v>
      </c>
      <c r="D15" s="1767">
        <v>50</v>
      </c>
      <c r="E15" s="1802">
        <v>1500000</v>
      </c>
      <c r="F15" s="1768">
        <f t="shared" si="0"/>
        <v>75000000</v>
      </c>
    </row>
    <row r="16" spans="1:7">
      <c r="A16" s="1767">
        <v>9</v>
      </c>
      <c r="B16" s="1800" t="s">
        <v>2610</v>
      </c>
      <c r="C16" s="1801" t="s">
        <v>244</v>
      </c>
      <c r="D16" s="1767">
        <v>100</v>
      </c>
      <c r="E16" s="1802">
        <v>150000</v>
      </c>
      <c r="F16" s="1768">
        <f t="shared" si="0"/>
        <v>15000000</v>
      </c>
    </row>
    <row r="17" spans="1:6">
      <c r="A17" s="1767">
        <v>10</v>
      </c>
      <c r="B17" s="1797" t="s">
        <v>2609</v>
      </c>
      <c r="C17" s="1801" t="s">
        <v>244</v>
      </c>
      <c r="D17" s="1767">
        <v>200</v>
      </c>
      <c r="E17" s="1802">
        <v>40000</v>
      </c>
      <c r="F17" s="1768">
        <f t="shared" si="0"/>
        <v>8000000</v>
      </c>
    </row>
    <row r="18" spans="1:6">
      <c r="A18" s="1767">
        <v>11</v>
      </c>
      <c r="B18" s="1797" t="s">
        <v>2608</v>
      </c>
      <c r="C18" s="1801" t="s">
        <v>244</v>
      </c>
      <c r="D18" s="1767">
        <v>200</v>
      </c>
      <c r="E18" s="1802">
        <v>200000</v>
      </c>
      <c r="F18" s="1768">
        <f t="shared" si="0"/>
        <v>40000000</v>
      </c>
    </row>
    <row r="19" spans="1:6">
      <c r="A19" s="1767">
        <v>12</v>
      </c>
      <c r="B19" s="1797" t="s">
        <v>2607</v>
      </c>
      <c r="C19" s="1801"/>
      <c r="D19" s="1767"/>
      <c r="E19" s="1802"/>
      <c r="F19" s="1768">
        <v>60000000</v>
      </c>
    </row>
    <row r="20" spans="1:6">
      <c r="A20" s="1767">
        <v>13</v>
      </c>
      <c r="B20" s="1800" t="s">
        <v>868</v>
      </c>
      <c r="C20" s="1801"/>
      <c r="D20" s="1767"/>
      <c r="E20" s="1803"/>
      <c r="F20" s="1768">
        <v>100000000</v>
      </c>
    </row>
    <row r="21" spans="1:6" s="1770" customFormat="1">
      <c r="A21" s="1769" t="s">
        <v>485</v>
      </c>
      <c r="B21" s="2523" t="s">
        <v>2620</v>
      </c>
      <c r="C21" s="2524"/>
      <c r="D21" s="2524"/>
      <c r="E21" s="2525"/>
      <c r="F21" s="1766">
        <f>SUM(F22:F34)</f>
        <v>950000000</v>
      </c>
    </row>
    <row r="22" spans="1:6">
      <c r="A22" s="1767">
        <v>1</v>
      </c>
      <c r="B22" s="1797" t="s">
        <v>2619</v>
      </c>
      <c r="C22" s="1798" t="s">
        <v>248</v>
      </c>
      <c r="D22" s="1767">
        <f t="shared" ref="D22:D32" si="1">D8</f>
        <v>100</v>
      </c>
      <c r="E22" s="1803">
        <v>900000</v>
      </c>
      <c r="F22" s="1768">
        <f t="shared" ref="F22:F32" si="2">E22*D22</f>
        <v>90000000</v>
      </c>
    </row>
    <row r="23" spans="1:6">
      <c r="A23" s="1767">
        <v>2</v>
      </c>
      <c r="B23" s="1797" t="s">
        <v>2618</v>
      </c>
      <c r="C23" s="1798" t="s">
        <v>248</v>
      </c>
      <c r="D23" s="1767">
        <f t="shared" si="1"/>
        <v>100</v>
      </c>
      <c r="E23" s="1803">
        <v>2600000</v>
      </c>
      <c r="F23" s="1768">
        <f t="shared" si="2"/>
        <v>260000000</v>
      </c>
    </row>
    <row r="24" spans="1:6">
      <c r="A24" s="1767">
        <v>3</v>
      </c>
      <c r="B24" s="1797" t="s">
        <v>2617</v>
      </c>
      <c r="C24" s="1798" t="s">
        <v>248</v>
      </c>
      <c r="D24" s="1767">
        <f t="shared" si="1"/>
        <v>100</v>
      </c>
      <c r="E24" s="1803">
        <v>300000</v>
      </c>
      <c r="F24" s="1768">
        <f t="shared" si="2"/>
        <v>30000000</v>
      </c>
    </row>
    <row r="25" spans="1:6">
      <c r="A25" s="1767">
        <v>4</v>
      </c>
      <c r="B25" s="1797" t="s">
        <v>2616</v>
      </c>
      <c r="C25" s="1798" t="s">
        <v>2615</v>
      </c>
      <c r="D25" s="1767">
        <f t="shared" si="1"/>
        <v>200</v>
      </c>
      <c r="E25" s="1803">
        <v>300000</v>
      </c>
      <c r="F25" s="1768">
        <f t="shared" si="2"/>
        <v>60000000</v>
      </c>
    </row>
    <row r="26" spans="1:6">
      <c r="A26" s="1767">
        <v>5</v>
      </c>
      <c r="B26" s="1797" t="s">
        <v>2614</v>
      </c>
      <c r="C26" s="1798" t="s">
        <v>244</v>
      </c>
      <c r="D26" s="1767">
        <f t="shared" si="1"/>
        <v>200</v>
      </c>
      <c r="E26" s="1803">
        <v>200000</v>
      </c>
      <c r="F26" s="1768">
        <f t="shared" si="2"/>
        <v>40000000</v>
      </c>
    </row>
    <row r="27" spans="1:6">
      <c r="A27" s="1767">
        <v>6</v>
      </c>
      <c r="B27" s="1797" t="s">
        <v>2613</v>
      </c>
      <c r="C27" s="1798" t="s">
        <v>244</v>
      </c>
      <c r="D27" s="1767">
        <f t="shared" si="1"/>
        <v>200</v>
      </c>
      <c r="E27" s="1803">
        <v>200000</v>
      </c>
      <c r="F27" s="1768">
        <f t="shared" si="2"/>
        <v>40000000</v>
      </c>
    </row>
    <row r="28" spans="1:6">
      <c r="A28" s="1767">
        <v>7</v>
      </c>
      <c r="B28" s="1800" t="s">
        <v>2612</v>
      </c>
      <c r="C28" s="1801" t="s">
        <v>244</v>
      </c>
      <c r="D28" s="1767">
        <f t="shared" si="1"/>
        <v>100</v>
      </c>
      <c r="E28" s="1803">
        <v>400000</v>
      </c>
      <c r="F28" s="1768">
        <f t="shared" si="2"/>
        <v>40000000</v>
      </c>
    </row>
    <row r="29" spans="1:6">
      <c r="A29" s="1767">
        <v>8</v>
      </c>
      <c r="B29" s="1800" t="s">
        <v>2611</v>
      </c>
      <c r="C29" s="1801" t="s">
        <v>244</v>
      </c>
      <c r="D29" s="1767">
        <f t="shared" si="1"/>
        <v>50</v>
      </c>
      <c r="E29" s="1803">
        <v>1900000</v>
      </c>
      <c r="F29" s="1768">
        <f t="shared" si="2"/>
        <v>95000000</v>
      </c>
    </row>
    <row r="30" spans="1:6">
      <c r="A30" s="1767">
        <v>9</v>
      </c>
      <c r="B30" s="1800" t="s">
        <v>2610</v>
      </c>
      <c r="C30" s="1801" t="s">
        <v>244</v>
      </c>
      <c r="D30" s="1767">
        <f t="shared" si="1"/>
        <v>100</v>
      </c>
      <c r="E30" s="1803">
        <v>200000</v>
      </c>
      <c r="F30" s="1768">
        <f t="shared" si="2"/>
        <v>20000000</v>
      </c>
    </row>
    <row r="31" spans="1:6">
      <c r="A31" s="1767">
        <v>10</v>
      </c>
      <c r="B31" s="1797" t="s">
        <v>2609</v>
      </c>
      <c r="C31" s="1801" t="s">
        <v>244</v>
      </c>
      <c r="D31" s="1767">
        <f t="shared" si="1"/>
        <v>200</v>
      </c>
      <c r="E31" s="1803">
        <v>100000</v>
      </c>
      <c r="F31" s="1768">
        <f t="shared" si="2"/>
        <v>20000000</v>
      </c>
    </row>
    <row r="32" spans="1:6">
      <c r="A32" s="1767">
        <v>11</v>
      </c>
      <c r="B32" s="1797" t="s">
        <v>2608</v>
      </c>
      <c r="C32" s="1801" t="s">
        <v>244</v>
      </c>
      <c r="D32" s="1767">
        <f t="shared" si="1"/>
        <v>200</v>
      </c>
      <c r="E32" s="1803">
        <v>300000</v>
      </c>
      <c r="F32" s="1768">
        <f t="shared" si="2"/>
        <v>60000000</v>
      </c>
    </row>
    <row r="33" spans="1:8">
      <c r="A33" s="1767">
        <v>12</v>
      </c>
      <c r="B33" s="1797" t="s">
        <v>2607</v>
      </c>
      <c r="C33" s="1801"/>
      <c r="D33" s="1767"/>
      <c r="E33" s="1803"/>
      <c r="F33" s="1768">
        <v>65000000</v>
      </c>
    </row>
    <row r="34" spans="1:8">
      <c r="A34" s="1767">
        <v>13</v>
      </c>
      <c r="B34" s="1800" t="s">
        <v>868</v>
      </c>
      <c r="C34" s="1801"/>
      <c r="D34" s="1767"/>
      <c r="E34" s="1803"/>
      <c r="F34" s="1768">
        <v>130000000</v>
      </c>
    </row>
    <row r="35" spans="1:8" s="1770" customFormat="1">
      <c r="A35" s="1765" t="s">
        <v>489</v>
      </c>
      <c r="B35" s="2523" t="s">
        <v>2606</v>
      </c>
      <c r="C35" s="2524"/>
      <c r="D35" s="2524"/>
      <c r="E35" s="2525"/>
      <c r="F35" s="1766">
        <f>F21-F7</f>
        <v>237000000</v>
      </c>
    </row>
    <row r="36" spans="1:8" s="1770" customFormat="1">
      <c r="A36" s="1765" t="s">
        <v>547</v>
      </c>
      <c r="B36" s="2523" t="s">
        <v>2605</v>
      </c>
      <c r="C36" s="2524"/>
      <c r="D36" s="2524"/>
      <c r="E36" s="2525"/>
      <c r="F36" s="1766">
        <f>SUM(F37:F41)</f>
        <v>161000000</v>
      </c>
    </row>
    <row r="37" spans="1:8">
      <c r="A37" s="1771" t="s">
        <v>615</v>
      </c>
      <c r="B37" s="2526" t="s">
        <v>2604</v>
      </c>
      <c r="C37" s="2527"/>
      <c r="D37" s="2527"/>
      <c r="E37" s="2528"/>
      <c r="F37" s="1768">
        <v>60000000</v>
      </c>
    </row>
    <row r="38" spans="1:8">
      <c r="A38" s="1771" t="s">
        <v>615</v>
      </c>
      <c r="B38" s="2526" t="s">
        <v>2603</v>
      </c>
      <c r="C38" s="2527"/>
      <c r="D38" s="2527"/>
      <c r="E38" s="2528"/>
      <c r="F38" s="1768">
        <f>C48*11/100</f>
        <v>66000000</v>
      </c>
    </row>
    <row r="39" spans="1:8">
      <c r="A39" s="1771" t="s">
        <v>615</v>
      </c>
      <c r="B39" s="2526" t="s">
        <v>2602</v>
      </c>
      <c r="C39" s="2527"/>
      <c r="D39" s="2527"/>
      <c r="E39" s="2528"/>
      <c r="F39" s="1768">
        <v>15000000</v>
      </c>
    </row>
    <row r="40" spans="1:8">
      <c r="A40" s="1771" t="s">
        <v>615</v>
      </c>
      <c r="B40" s="2526" t="s">
        <v>2601</v>
      </c>
      <c r="C40" s="2527"/>
      <c r="D40" s="2527"/>
      <c r="E40" s="2528"/>
      <c r="F40" s="1768">
        <v>10000000</v>
      </c>
    </row>
    <row r="41" spans="1:8">
      <c r="A41" s="1771" t="s">
        <v>615</v>
      </c>
      <c r="B41" s="2526" t="s">
        <v>2600</v>
      </c>
      <c r="C41" s="2527"/>
      <c r="D41" s="2527"/>
      <c r="E41" s="2528"/>
      <c r="F41" s="1768">
        <v>10000000</v>
      </c>
    </row>
    <row r="42" spans="1:8" s="1770" customFormat="1">
      <c r="A42" s="1769" t="s">
        <v>582</v>
      </c>
      <c r="B42" s="2523" t="s">
        <v>2599</v>
      </c>
      <c r="C42" s="2524"/>
      <c r="D42" s="2524"/>
      <c r="E42" s="2525"/>
      <c r="F42" s="1766">
        <f>F35-F36</f>
        <v>76000000</v>
      </c>
      <c r="H42" s="1804">
        <f>F7+F36</f>
        <v>874000000</v>
      </c>
    </row>
    <row r="43" spans="1:8" ht="17.100000000000001" customHeight="1">
      <c r="A43" s="1774" t="s">
        <v>2598</v>
      </c>
      <c r="B43" s="1775"/>
      <c r="C43" s="1775"/>
      <c r="D43" s="1775"/>
    </row>
    <row r="44" spans="1:8" ht="17.100000000000001" customHeight="1">
      <c r="A44" s="1762" t="s">
        <v>2597</v>
      </c>
      <c r="C44" s="1763">
        <f>F7+F36-F38-F39</f>
        <v>793000000</v>
      </c>
      <c r="D44" s="1776" t="s">
        <v>202</v>
      </c>
    </row>
    <row r="45" spans="1:8" ht="17.100000000000001" customHeight="1">
      <c r="A45" s="1762" t="s">
        <v>2596</v>
      </c>
      <c r="C45" s="1777">
        <v>1.2</v>
      </c>
      <c r="D45" s="1776" t="s">
        <v>2411</v>
      </c>
    </row>
    <row r="46" spans="1:8" ht="16.5" customHeight="1">
      <c r="A46" s="1762" t="s">
        <v>2595</v>
      </c>
      <c r="C46" s="1763">
        <f>C44/C45</f>
        <v>660833333.33333337</v>
      </c>
      <c r="D46" s="1776" t="s">
        <v>202</v>
      </c>
      <c r="F46" s="1778"/>
    </row>
    <row r="47" spans="1:8" ht="17.100000000000001" customHeight="1">
      <c r="A47" s="1762" t="s">
        <v>2594</v>
      </c>
      <c r="C47" s="1763">
        <f>C46-C48</f>
        <v>60833333.333333373</v>
      </c>
      <c r="D47" s="1776" t="s">
        <v>202</v>
      </c>
      <c r="E47" s="1805">
        <f>C47/C46*100</f>
        <v>9.2055485498108514</v>
      </c>
    </row>
    <row r="48" spans="1:8" ht="17.100000000000001" customHeight="1">
      <c r="A48" s="1762" t="s">
        <v>2593</v>
      </c>
      <c r="C48" s="1763">
        <v>600000000</v>
      </c>
      <c r="D48" s="1776" t="s">
        <v>202</v>
      </c>
    </row>
    <row r="49" spans="1:3" ht="17.100000000000001" customHeight="1">
      <c r="A49" s="1762" t="s">
        <v>2592</v>
      </c>
      <c r="C49" s="1780" t="s">
        <v>1159</v>
      </c>
    </row>
  </sheetData>
  <mergeCells count="10">
    <mergeCell ref="B39:E39"/>
    <mergeCell ref="B40:E40"/>
    <mergeCell ref="B41:E41"/>
    <mergeCell ref="B42:E42"/>
    <mergeCell ref="B7:E7"/>
    <mergeCell ref="B21:E21"/>
    <mergeCell ref="B35:E35"/>
    <mergeCell ref="B36:E36"/>
    <mergeCell ref="B37:E37"/>
    <mergeCell ref="B38:E38"/>
  </mergeCells>
  <pageMargins left="0.27083333333333331" right="6.25E-2" top="0.16666666666666666" bottom="8.3333333333333329E-2" header="0.3" footer="0.3"/>
  <pageSetup paperSize="9" orientation="landscape"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dimension ref="A1:K77"/>
  <sheetViews>
    <sheetView zoomScaleNormal="100" workbookViewId="0">
      <selection activeCell="C2" sqref="C2"/>
    </sheetView>
  </sheetViews>
  <sheetFormatPr defaultRowHeight="16.5"/>
  <cols>
    <col min="1" max="1" width="7.140625" style="1421" customWidth="1"/>
    <col min="2" max="2" width="27.7109375" style="1421" bestFit="1" customWidth="1"/>
    <col min="3" max="3" width="13.5703125" style="1421" customWidth="1"/>
    <col min="4" max="4" width="10.42578125" style="1421" customWidth="1"/>
    <col min="5" max="5" width="15.85546875" style="1421" bestFit="1" customWidth="1"/>
    <col min="6" max="6" width="22.140625" style="1421" customWidth="1"/>
    <col min="7" max="7" width="12.28515625" style="1421" bestFit="1" customWidth="1"/>
    <col min="8" max="8" width="23.85546875" style="1421" bestFit="1" customWidth="1"/>
    <col min="9" max="9" width="21" style="1421" bestFit="1" customWidth="1"/>
    <col min="10" max="10" width="19.140625" style="1421" bestFit="1" customWidth="1"/>
    <col min="11" max="11" width="23.140625" style="1421" bestFit="1" customWidth="1"/>
    <col min="12" max="255" width="9.140625" style="1421"/>
    <col min="256" max="256" width="7.140625" style="1421" customWidth="1"/>
    <col min="257" max="257" width="31.5703125" style="1421" customWidth="1"/>
    <col min="258" max="258" width="12.5703125" style="1421" customWidth="1"/>
    <col min="259" max="259" width="10.42578125" style="1421" customWidth="1"/>
    <col min="260" max="260" width="16.140625" style="1421" customWidth="1"/>
    <col min="261" max="261" width="18.42578125" style="1421" customWidth="1"/>
    <col min="262" max="262" width="12.28515625" style="1421" bestFit="1" customWidth="1"/>
    <col min="263" max="263" width="9.140625" style="1421"/>
    <col min="264" max="264" width="19.140625" style="1421" bestFit="1" customWidth="1"/>
    <col min="265" max="265" width="15.7109375" style="1421" bestFit="1" customWidth="1"/>
    <col min="266" max="266" width="9.140625" style="1421"/>
    <col min="267" max="267" width="14.7109375" style="1421" bestFit="1" customWidth="1"/>
    <col min="268" max="511" width="9.140625" style="1421"/>
    <col min="512" max="512" width="7.140625" style="1421" customWidth="1"/>
    <col min="513" max="513" width="31.5703125" style="1421" customWidth="1"/>
    <col min="514" max="514" width="12.5703125" style="1421" customWidth="1"/>
    <col min="515" max="515" width="10.42578125" style="1421" customWidth="1"/>
    <col min="516" max="516" width="16.140625" style="1421" customWidth="1"/>
    <col min="517" max="517" width="18.42578125" style="1421" customWidth="1"/>
    <col min="518" max="518" width="12.28515625" style="1421" bestFit="1" customWidth="1"/>
    <col min="519" max="519" width="9.140625" style="1421"/>
    <col min="520" max="520" width="19.140625" style="1421" bestFit="1" customWidth="1"/>
    <col min="521" max="521" width="15.7109375" style="1421" bestFit="1" customWidth="1"/>
    <col min="522" max="522" width="9.140625" style="1421"/>
    <col min="523" max="523" width="14.7109375" style="1421" bestFit="1" customWidth="1"/>
    <col min="524" max="767" width="9.140625" style="1421"/>
    <col min="768" max="768" width="7.140625" style="1421" customWidth="1"/>
    <col min="769" max="769" width="31.5703125" style="1421" customWidth="1"/>
    <col min="770" max="770" width="12.5703125" style="1421" customWidth="1"/>
    <col min="771" max="771" width="10.42578125" style="1421" customWidth="1"/>
    <col min="772" max="772" width="16.140625" style="1421" customWidth="1"/>
    <col min="773" max="773" width="18.42578125" style="1421" customWidth="1"/>
    <col min="774" max="774" width="12.28515625" style="1421" bestFit="1" customWidth="1"/>
    <col min="775" max="775" width="9.140625" style="1421"/>
    <col min="776" max="776" width="19.140625" style="1421" bestFit="1" customWidth="1"/>
    <col min="777" max="777" width="15.7109375" style="1421" bestFit="1" customWidth="1"/>
    <col min="778" max="778" width="9.140625" style="1421"/>
    <col min="779" max="779" width="14.7109375" style="1421" bestFit="1" customWidth="1"/>
    <col min="780" max="1023" width="9.140625" style="1421"/>
    <col min="1024" max="1024" width="7.140625" style="1421" customWidth="1"/>
    <col min="1025" max="1025" width="31.5703125" style="1421" customWidth="1"/>
    <col min="1026" max="1026" width="12.5703125" style="1421" customWidth="1"/>
    <col min="1027" max="1027" width="10.42578125" style="1421" customWidth="1"/>
    <col min="1028" max="1028" width="16.140625" style="1421" customWidth="1"/>
    <col min="1029" max="1029" width="18.42578125" style="1421" customWidth="1"/>
    <col min="1030" max="1030" width="12.28515625" style="1421" bestFit="1" customWidth="1"/>
    <col min="1031" max="1031" width="9.140625" style="1421"/>
    <col min="1032" max="1032" width="19.140625" style="1421" bestFit="1" customWidth="1"/>
    <col min="1033" max="1033" width="15.7109375" style="1421" bestFit="1" customWidth="1"/>
    <col min="1034" max="1034" width="9.140625" style="1421"/>
    <col min="1035" max="1035" width="14.7109375" style="1421" bestFit="1" customWidth="1"/>
    <col min="1036" max="1279" width="9.140625" style="1421"/>
    <col min="1280" max="1280" width="7.140625" style="1421" customWidth="1"/>
    <col min="1281" max="1281" width="31.5703125" style="1421" customWidth="1"/>
    <col min="1282" max="1282" width="12.5703125" style="1421" customWidth="1"/>
    <col min="1283" max="1283" width="10.42578125" style="1421" customWidth="1"/>
    <col min="1284" max="1284" width="16.140625" style="1421" customWidth="1"/>
    <col min="1285" max="1285" width="18.42578125" style="1421" customWidth="1"/>
    <col min="1286" max="1286" width="12.28515625" style="1421" bestFit="1" customWidth="1"/>
    <col min="1287" max="1287" width="9.140625" style="1421"/>
    <col min="1288" max="1288" width="19.140625" style="1421" bestFit="1" customWidth="1"/>
    <col min="1289" max="1289" width="15.7109375" style="1421" bestFit="1" customWidth="1"/>
    <col min="1290" max="1290" width="9.140625" style="1421"/>
    <col min="1291" max="1291" width="14.7109375" style="1421" bestFit="1" customWidth="1"/>
    <col min="1292" max="1535" width="9.140625" style="1421"/>
    <col min="1536" max="1536" width="7.140625" style="1421" customWidth="1"/>
    <col min="1537" max="1537" width="31.5703125" style="1421" customWidth="1"/>
    <col min="1538" max="1538" width="12.5703125" style="1421" customWidth="1"/>
    <col min="1539" max="1539" width="10.42578125" style="1421" customWidth="1"/>
    <col min="1540" max="1540" width="16.140625" style="1421" customWidth="1"/>
    <col min="1541" max="1541" width="18.42578125" style="1421" customWidth="1"/>
    <col min="1542" max="1542" width="12.28515625" style="1421" bestFit="1" customWidth="1"/>
    <col min="1543" max="1543" width="9.140625" style="1421"/>
    <col min="1544" max="1544" width="19.140625" style="1421" bestFit="1" customWidth="1"/>
    <col min="1545" max="1545" width="15.7109375" style="1421" bestFit="1" customWidth="1"/>
    <col min="1546" max="1546" width="9.140625" style="1421"/>
    <col min="1547" max="1547" width="14.7109375" style="1421" bestFit="1" customWidth="1"/>
    <col min="1548" max="1791" width="9.140625" style="1421"/>
    <col min="1792" max="1792" width="7.140625" style="1421" customWidth="1"/>
    <col min="1793" max="1793" width="31.5703125" style="1421" customWidth="1"/>
    <col min="1794" max="1794" width="12.5703125" style="1421" customWidth="1"/>
    <col min="1795" max="1795" width="10.42578125" style="1421" customWidth="1"/>
    <col min="1796" max="1796" width="16.140625" style="1421" customWidth="1"/>
    <col min="1797" max="1797" width="18.42578125" style="1421" customWidth="1"/>
    <col min="1798" max="1798" width="12.28515625" style="1421" bestFit="1" customWidth="1"/>
    <col min="1799" max="1799" width="9.140625" style="1421"/>
    <col min="1800" max="1800" width="19.140625" style="1421" bestFit="1" customWidth="1"/>
    <col min="1801" max="1801" width="15.7109375" style="1421" bestFit="1" customWidth="1"/>
    <col min="1802" max="1802" width="9.140625" style="1421"/>
    <col min="1803" max="1803" width="14.7109375" style="1421" bestFit="1" customWidth="1"/>
    <col min="1804" max="2047" width="9.140625" style="1421"/>
    <col min="2048" max="2048" width="7.140625" style="1421" customWidth="1"/>
    <col min="2049" max="2049" width="31.5703125" style="1421" customWidth="1"/>
    <col min="2050" max="2050" width="12.5703125" style="1421" customWidth="1"/>
    <col min="2051" max="2051" width="10.42578125" style="1421" customWidth="1"/>
    <col min="2052" max="2052" width="16.140625" style="1421" customWidth="1"/>
    <col min="2053" max="2053" width="18.42578125" style="1421" customWidth="1"/>
    <col min="2054" max="2054" width="12.28515625" style="1421" bestFit="1" customWidth="1"/>
    <col min="2055" max="2055" width="9.140625" style="1421"/>
    <col min="2056" max="2056" width="19.140625" style="1421" bestFit="1" customWidth="1"/>
    <col min="2057" max="2057" width="15.7109375" style="1421" bestFit="1" customWidth="1"/>
    <col min="2058" max="2058" width="9.140625" style="1421"/>
    <col min="2059" max="2059" width="14.7109375" style="1421" bestFit="1" customWidth="1"/>
    <col min="2060" max="2303" width="9.140625" style="1421"/>
    <col min="2304" max="2304" width="7.140625" style="1421" customWidth="1"/>
    <col min="2305" max="2305" width="31.5703125" style="1421" customWidth="1"/>
    <col min="2306" max="2306" width="12.5703125" style="1421" customWidth="1"/>
    <col min="2307" max="2307" width="10.42578125" style="1421" customWidth="1"/>
    <col min="2308" max="2308" width="16.140625" style="1421" customWidth="1"/>
    <col min="2309" max="2309" width="18.42578125" style="1421" customWidth="1"/>
    <col min="2310" max="2310" width="12.28515625" style="1421" bestFit="1" customWidth="1"/>
    <col min="2311" max="2311" width="9.140625" style="1421"/>
    <col min="2312" max="2312" width="19.140625" style="1421" bestFit="1" customWidth="1"/>
    <col min="2313" max="2313" width="15.7109375" style="1421" bestFit="1" customWidth="1"/>
    <col min="2314" max="2314" width="9.140625" style="1421"/>
    <col min="2315" max="2315" width="14.7109375" style="1421" bestFit="1" customWidth="1"/>
    <col min="2316" max="2559" width="9.140625" style="1421"/>
    <col min="2560" max="2560" width="7.140625" style="1421" customWidth="1"/>
    <col min="2561" max="2561" width="31.5703125" style="1421" customWidth="1"/>
    <col min="2562" max="2562" width="12.5703125" style="1421" customWidth="1"/>
    <col min="2563" max="2563" width="10.42578125" style="1421" customWidth="1"/>
    <col min="2564" max="2564" width="16.140625" style="1421" customWidth="1"/>
    <col min="2565" max="2565" width="18.42578125" style="1421" customWidth="1"/>
    <col min="2566" max="2566" width="12.28515625" style="1421" bestFit="1" customWidth="1"/>
    <col min="2567" max="2567" width="9.140625" style="1421"/>
    <col min="2568" max="2568" width="19.140625" style="1421" bestFit="1" customWidth="1"/>
    <col min="2569" max="2569" width="15.7109375" style="1421" bestFit="1" customWidth="1"/>
    <col min="2570" max="2570" width="9.140625" style="1421"/>
    <col min="2571" max="2571" width="14.7109375" style="1421" bestFit="1" customWidth="1"/>
    <col min="2572" max="2815" width="9.140625" style="1421"/>
    <col min="2816" max="2816" width="7.140625" style="1421" customWidth="1"/>
    <col min="2817" max="2817" width="31.5703125" style="1421" customWidth="1"/>
    <col min="2818" max="2818" width="12.5703125" style="1421" customWidth="1"/>
    <col min="2819" max="2819" width="10.42578125" style="1421" customWidth="1"/>
    <col min="2820" max="2820" width="16.140625" style="1421" customWidth="1"/>
    <col min="2821" max="2821" width="18.42578125" style="1421" customWidth="1"/>
    <col min="2822" max="2822" width="12.28515625" style="1421" bestFit="1" customWidth="1"/>
    <col min="2823" max="2823" width="9.140625" style="1421"/>
    <col min="2824" max="2824" width="19.140625" style="1421" bestFit="1" customWidth="1"/>
    <col min="2825" max="2825" width="15.7109375" style="1421" bestFit="1" customWidth="1"/>
    <col min="2826" max="2826" width="9.140625" style="1421"/>
    <col min="2827" max="2827" width="14.7109375" style="1421" bestFit="1" customWidth="1"/>
    <col min="2828" max="3071" width="9.140625" style="1421"/>
    <col min="3072" max="3072" width="7.140625" style="1421" customWidth="1"/>
    <col min="3073" max="3073" width="31.5703125" style="1421" customWidth="1"/>
    <col min="3074" max="3074" width="12.5703125" style="1421" customWidth="1"/>
    <col min="3075" max="3075" width="10.42578125" style="1421" customWidth="1"/>
    <col min="3076" max="3076" width="16.140625" style="1421" customWidth="1"/>
    <col min="3077" max="3077" width="18.42578125" style="1421" customWidth="1"/>
    <col min="3078" max="3078" width="12.28515625" style="1421" bestFit="1" customWidth="1"/>
    <col min="3079" max="3079" width="9.140625" style="1421"/>
    <col min="3080" max="3080" width="19.140625" style="1421" bestFit="1" customWidth="1"/>
    <col min="3081" max="3081" width="15.7109375" style="1421" bestFit="1" customWidth="1"/>
    <col min="3082" max="3082" width="9.140625" style="1421"/>
    <col min="3083" max="3083" width="14.7109375" style="1421" bestFit="1" customWidth="1"/>
    <col min="3084" max="3327" width="9.140625" style="1421"/>
    <col min="3328" max="3328" width="7.140625" style="1421" customWidth="1"/>
    <col min="3329" max="3329" width="31.5703125" style="1421" customWidth="1"/>
    <col min="3330" max="3330" width="12.5703125" style="1421" customWidth="1"/>
    <col min="3331" max="3331" width="10.42578125" style="1421" customWidth="1"/>
    <col min="3332" max="3332" width="16.140625" style="1421" customWidth="1"/>
    <col min="3333" max="3333" width="18.42578125" style="1421" customWidth="1"/>
    <col min="3334" max="3334" width="12.28515625" style="1421" bestFit="1" customWidth="1"/>
    <col min="3335" max="3335" width="9.140625" style="1421"/>
    <col min="3336" max="3336" width="19.140625" style="1421" bestFit="1" customWidth="1"/>
    <col min="3337" max="3337" width="15.7109375" style="1421" bestFit="1" customWidth="1"/>
    <col min="3338" max="3338" width="9.140625" style="1421"/>
    <col min="3339" max="3339" width="14.7109375" style="1421" bestFit="1" customWidth="1"/>
    <col min="3340" max="3583" width="9.140625" style="1421"/>
    <col min="3584" max="3584" width="7.140625" style="1421" customWidth="1"/>
    <col min="3585" max="3585" width="31.5703125" style="1421" customWidth="1"/>
    <col min="3586" max="3586" width="12.5703125" style="1421" customWidth="1"/>
    <col min="3587" max="3587" width="10.42578125" style="1421" customWidth="1"/>
    <col min="3588" max="3588" width="16.140625" style="1421" customWidth="1"/>
    <col min="3589" max="3589" width="18.42578125" style="1421" customWidth="1"/>
    <col min="3590" max="3590" width="12.28515625" style="1421" bestFit="1" customWidth="1"/>
    <col min="3591" max="3591" width="9.140625" style="1421"/>
    <col min="3592" max="3592" width="19.140625" style="1421" bestFit="1" customWidth="1"/>
    <col min="3593" max="3593" width="15.7109375" style="1421" bestFit="1" customWidth="1"/>
    <col min="3594" max="3594" width="9.140625" style="1421"/>
    <col min="3595" max="3595" width="14.7109375" style="1421" bestFit="1" customWidth="1"/>
    <col min="3596" max="3839" width="9.140625" style="1421"/>
    <col min="3840" max="3840" width="7.140625" style="1421" customWidth="1"/>
    <col min="3841" max="3841" width="31.5703125" style="1421" customWidth="1"/>
    <col min="3842" max="3842" width="12.5703125" style="1421" customWidth="1"/>
    <col min="3843" max="3843" width="10.42578125" style="1421" customWidth="1"/>
    <col min="3844" max="3844" width="16.140625" style="1421" customWidth="1"/>
    <col min="3845" max="3845" width="18.42578125" style="1421" customWidth="1"/>
    <col min="3846" max="3846" width="12.28515625" style="1421" bestFit="1" customWidth="1"/>
    <col min="3847" max="3847" width="9.140625" style="1421"/>
    <col min="3848" max="3848" width="19.140625" style="1421" bestFit="1" customWidth="1"/>
    <col min="3849" max="3849" width="15.7109375" style="1421" bestFit="1" customWidth="1"/>
    <col min="3850" max="3850" width="9.140625" style="1421"/>
    <col min="3851" max="3851" width="14.7109375" style="1421" bestFit="1" customWidth="1"/>
    <col min="3852" max="4095" width="9.140625" style="1421"/>
    <col min="4096" max="4096" width="7.140625" style="1421" customWidth="1"/>
    <col min="4097" max="4097" width="31.5703125" style="1421" customWidth="1"/>
    <col min="4098" max="4098" width="12.5703125" style="1421" customWidth="1"/>
    <col min="4099" max="4099" width="10.42578125" style="1421" customWidth="1"/>
    <col min="4100" max="4100" width="16.140625" style="1421" customWidth="1"/>
    <col min="4101" max="4101" width="18.42578125" style="1421" customWidth="1"/>
    <col min="4102" max="4102" width="12.28515625" style="1421" bestFit="1" customWidth="1"/>
    <col min="4103" max="4103" width="9.140625" style="1421"/>
    <col min="4104" max="4104" width="19.140625" style="1421" bestFit="1" customWidth="1"/>
    <col min="4105" max="4105" width="15.7109375" style="1421" bestFit="1" customWidth="1"/>
    <col min="4106" max="4106" width="9.140625" style="1421"/>
    <col min="4107" max="4107" width="14.7109375" style="1421" bestFit="1" customWidth="1"/>
    <col min="4108" max="4351" width="9.140625" style="1421"/>
    <col min="4352" max="4352" width="7.140625" style="1421" customWidth="1"/>
    <col min="4353" max="4353" width="31.5703125" style="1421" customWidth="1"/>
    <col min="4354" max="4354" width="12.5703125" style="1421" customWidth="1"/>
    <col min="4355" max="4355" width="10.42578125" style="1421" customWidth="1"/>
    <col min="4356" max="4356" width="16.140625" style="1421" customWidth="1"/>
    <col min="4357" max="4357" width="18.42578125" style="1421" customWidth="1"/>
    <col min="4358" max="4358" width="12.28515625" style="1421" bestFit="1" customWidth="1"/>
    <col min="4359" max="4359" width="9.140625" style="1421"/>
    <col min="4360" max="4360" width="19.140625" style="1421" bestFit="1" customWidth="1"/>
    <col min="4361" max="4361" width="15.7109375" style="1421" bestFit="1" customWidth="1"/>
    <col min="4362" max="4362" width="9.140625" style="1421"/>
    <col min="4363" max="4363" width="14.7109375" style="1421" bestFit="1" customWidth="1"/>
    <col min="4364" max="4607" width="9.140625" style="1421"/>
    <col min="4608" max="4608" width="7.140625" style="1421" customWidth="1"/>
    <col min="4609" max="4609" width="31.5703125" style="1421" customWidth="1"/>
    <col min="4610" max="4610" width="12.5703125" style="1421" customWidth="1"/>
    <col min="4611" max="4611" width="10.42578125" style="1421" customWidth="1"/>
    <col min="4612" max="4612" width="16.140625" style="1421" customWidth="1"/>
    <col min="4613" max="4613" width="18.42578125" style="1421" customWidth="1"/>
    <col min="4614" max="4614" width="12.28515625" style="1421" bestFit="1" customWidth="1"/>
    <col min="4615" max="4615" width="9.140625" style="1421"/>
    <col min="4616" max="4616" width="19.140625" style="1421" bestFit="1" customWidth="1"/>
    <col min="4617" max="4617" width="15.7109375" style="1421" bestFit="1" customWidth="1"/>
    <col min="4618" max="4618" width="9.140625" style="1421"/>
    <col min="4619" max="4619" width="14.7109375" style="1421" bestFit="1" customWidth="1"/>
    <col min="4620" max="4863" width="9.140625" style="1421"/>
    <col min="4864" max="4864" width="7.140625" style="1421" customWidth="1"/>
    <col min="4865" max="4865" width="31.5703125" style="1421" customWidth="1"/>
    <col min="4866" max="4866" width="12.5703125" style="1421" customWidth="1"/>
    <col min="4867" max="4867" width="10.42578125" style="1421" customWidth="1"/>
    <col min="4868" max="4868" width="16.140625" style="1421" customWidth="1"/>
    <col min="4869" max="4869" width="18.42578125" style="1421" customWidth="1"/>
    <col min="4870" max="4870" width="12.28515625" style="1421" bestFit="1" customWidth="1"/>
    <col min="4871" max="4871" width="9.140625" style="1421"/>
    <col min="4872" max="4872" width="19.140625" style="1421" bestFit="1" customWidth="1"/>
    <col min="4873" max="4873" width="15.7109375" style="1421" bestFit="1" customWidth="1"/>
    <col min="4874" max="4874" width="9.140625" style="1421"/>
    <col min="4875" max="4875" width="14.7109375" style="1421" bestFit="1" customWidth="1"/>
    <col min="4876" max="5119" width="9.140625" style="1421"/>
    <col min="5120" max="5120" width="7.140625" style="1421" customWidth="1"/>
    <col min="5121" max="5121" width="31.5703125" style="1421" customWidth="1"/>
    <col min="5122" max="5122" width="12.5703125" style="1421" customWidth="1"/>
    <col min="5123" max="5123" width="10.42578125" style="1421" customWidth="1"/>
    <col min="5124" max="5124" width="16.140625" style="1421" customWidth="1"/>
    <col min="5125" max="5125" width="18.42578125" style="1421" customWidth="1"/>
    <col min="5126" max="5126" width="12.28515625" style="1421" bestFit="1" customWidth="1"/>
    <col min="5127" max="5127" width="9.140625" style="1421"/>
    <col min="5128" max="5128" width="19.140625" style="1421" bestFit="1" customWidth="1"/>
    <col min="5129" max="5129" width="15.7109375" style="1421" bestFit="1" customWidth="1"/>
    <col min="5130" max="5130" width="9.140625" style="1421"/>
    <col min="5131" max="5131" width="14.7109375" style="1421" bestFit="1" customWidth="1"/>
    <col min="5132" max="5375" width="9.140625" style="1421"/>
    <col min="5376" max="5376" width="7.140625" style="1421" customWidth="1"/>
    <col min="5377" max="5377" width="31.5703125" style="1421" customWidth="1"/>
    <col min="5378" max="5378" width="12.5703125" style="1421" customWidth="1"/>
    <col min="5379" max="5379" width="10.42578125" style="1421" customWidth="1"/>
    <col min="5380" max="5380" width="16.140625" style="1421" customWidth="1"/>
    <col min="5381" max="5381" width="18.42578125" style="1421" customWidth="1"/>
    <col min="5382" max="5382" width="12.28515625" style="1421" bestFit="1" customWidth="1"/>
    <col min="5383" max="5383" width="9.140625" style="1421"/>
    <col min="5384" max="5384" width="19.140625" style="1421" bestFit="1" customWidth="1"/>
    <col min="5385" max="5385" width="15.7109375" style="1421" bestFit="1" customWidth="1"/>
    <col min="5386" max="5386" width="9.140625" style="1421"/>
    <col min="5387" max="5387" width="14.7109375" style="1421" bestFit="1" customWidth="1"/>
    <col min="5388" max="5631" width="9.140625" style="1421"/>
    <col min="5632" max="5632" width="7.140625" style="1421" customWidth="1"/>
    <col min="5633" max="5633" width="31.5703125" style="1421" customWidth="1"/>
    <col min="5634" max="5634" width="12.5703125" style="1421" customWidth="1"/>
    <col min="5635" max="5635" width="10.42578125" style="1421" customWidth="1"/>
    <col min="5636" max="5636" width="16.140625" style="1421" customWidth="1"/>
    <col min="5637" max="5637" width="18.42578125" style="1421" customWidth="1"/>
    <col min="5638" max="5638" width="12.28515625" style="1421" bestFit="1" customWidth="1"/>
    <col min="5639" max="5639" width="9.140625" style="1421"/>
    <col min="5640" max="5640" width="19.140625" style="1421" bestFit="1" customWidth="1"/>
    <col min="5641" max="5641" width="15.7109375" style="1421" bestFit="1" customWidth="1"/>
    <col min="5642" max="5642" width="9.140625" style="1421"/>
    <col min="5643" max="5643" width="14.7109375" style="1421" bestFit="1" customWidth="1"/>
    <col min="5644" max="5887" width="9.140625" style="1421"/>
    <col min="5888" max="5888" width="7.140625" style="1421" customWidth="1"/>
    <col min="5889" max="5889" width="31.5703125" style="1421" customWidth="1"/>
    <col min="5890" max="5890" width="12.5703125" style="1421" customWidth="1"/>
    <col min="5891" max="5891" width="10.42578125" style="1421" customWidth="1"/>
    <col min="5892" max="5892" width="16.140625" style="1421" customWidth="1"/>
    <col min="5893" max="5893" width="18.42578125" style="1421" customWidth="1"/>
    <col min="5894" max="5894" width="12.28515625" style="1421" bestFit="1" customWidth="1"/>
    <col min="5895" max="5895" width="9.140625" style="1421"/>
    <col min="5896" max="5896" width="19.140625" style="1421" bestFit="1" customWidth="1"/>
    <col min="5897" max="5897" width="15.7109375" style="1421" bestFit="1" customWidth="1"/>
    <col min="5898" max="5898" width="9.140625" style="1421"/>
    <col min="5899" max="5899" width="14.7109375" style="1421" bestFit="1" customWidth="1"/>
    <col min="5900" max="6143" width="9.140625" style="1421"/>
    <col min="6144" max="6144" width="7.140625" style="1421" customWidth="1"/>
    <col min="6145" max="6145" width="31.5703125" style="1421" customWidth="1"/>
    <col min="6146" max="6146" width="12.5703125" style="1421" customWidth="1"/>
    <col min="6147" max="6147" width="10.42578125" style="1421" customWidth="1"/>
    <col min="6148" max="6148" width="16.140625" style="1421" customWidth="1"/>
    <col min="6149" max="6149" width="18.42578125" style="1421" customWidth="1"/>
    <col min="6150" max="6150" width="12.28515625" style="1421" bestFit="1" customWidth="1"/>
    <col min="6151" max="6151" width="9.140625" style="1421"/>
    <col min="6152" max="6152" width="19.140625" style="1421" bestFit="1" customWidth="1"/>
    <col min="6153" max="6153" width="15.7109375" style="1421" bestFit="1" customWidth="1"/>
    <col min="6154" max="6154" width="9.140625" style="1421"/>
    <col min="6155" max="6155" width="14.7109375" style="1421" bestFit="1" customWidth="1"/>
    <col min="6156" max="6399" width="9.140625" style="1421"/>
    <col min="6400" max="6400" width="7.140625" style="1421" customWidth="1"/>
    <col min="6401" max="6401" width="31.5703125" style="1421" customWidth="1"/>
    <col min="6402" max="6402" width="12.5703125" style="1421" customWidth="1"/>
    <col min="6403" max="6403" width="10.42578125" style="1421" customWidth="1"/>
    <col min="6404" max="6404" width="16.140625" style="1421" customWidth="1"/>
    <col min="6405" max="6405" width="18.42578125" style="1421" customWidth="1"/>
    <col min="6406" max="6406" width="12.28515625" style="1421" bestFit="1" customWidth="1"/>
    <col min="6407" max="6407" width="9.140625" style="1421"/>
    <col min="6408" max="6408" width="19.140625" style="1421" bestFit="1" customWidth="1"/>
    <col min="6409" max="6409" width="15.7109375" style="1421" bestFit="1" customWidth="1"/>
    <col min="6410" max="6410" width="9.140625" style="1421"/>
    <col min="6411" max="6411" width="14.7109375" style="1421" bestFit="1" customWidth="1"/>
    <col min="6412" max="6655" width="9.140625" style="1421"/>
    <col min="6656" max="6656" width="7.140625" style="1421" customWidth="1"/>
    <col min="6657" max="6657" width="31.5703125" style="1421" customWidth="1"/>
    <col min="6658" max="6658" width="12.5703125" style="1421" customWidth="1"/>
    <col min="6659" max="6659" width="10.42578125" style="1421" customWidth="1"/>
    <col min="6660" max="6660" width="16.140625" style="1421" customWidth="1"/>
    <col min="6661" max="6661" width="18.42578125" style="1421" customWidth="1"/>
    <col min="6662" max="6662" width="12.28515625" style="1421" bestFit="1" customWidth="1"/>
    <col min="6663" max="6663" width="9.140625" style="1421"/>
    <col min="6664" max="6664" width="19.140625" style="1421" bestFit="1" customWidth="1"/>
    <col min="6665" max="6665" width="15.7109375" style="1421" bestFit="1" customWidth="1"/>
    <col min="6666" max="6666" width="9.140625" style="1421"/>
    <col min="6667" max="6667" width="14.7109375" style="1421" bestFit="1" customWidth="1"/>
    <col min="6668" max="6911" width="9.140625" style="1421"/>
    <col min="6912" max="6912" width="7.140625" style="1421" customWidth="1"/>
    <col min="6913" max="6913" width="31.5703125" style="1421" customWidth="1"/>
    <col min="6914" max="6914" width="12.5703125" style="1421" customWidth="1"/>
    <col min="6915" max="6915" width="10.42578125" style="1421" customWidth="1"/>
    <col min="6916" max="6916" width="16.140625" style="1421" customWidth="1"/>
    <col min="6917" max="6917" width="18.42578125" style="1421" customWidth="1"/>
    <col min="6918" max="6918" width="12.28515625" style="1421" bestFit="1" customWidth="1"/>
    <col min="6919" max="6919" width="9.140625" style="1421"/>
    <col min="6920" max="6920" width="19.140625" style="1421" bestFit="1" customWidth="1"/>
    <col min="6921" max="6921" width="15.7109375" style="1421" bestFit="1" customWidth="1"/>
    <col min="6922" max="6922" width="9.140625" style="1421"/>
    <col min="6923" max="6923" width="14.7109375" style="1421" bestFit="1" customWidth="1"/>
    <col min="6924" max="7167" width="9.140625" style="1421"/>
    <col min="7168" max="7168" width="7.140625" style="1421" customWidth="1"/>
    <col min="7169" max="7169" width="31.5703125" style="1421" customWidth="1"/>
    <col min="7170" max="7170" width="12.5703125" style="1421" customWidth="1"/>
    <col min="7171" max="7171" width="10.42578125" style="1421" customWidth="1"/>
    <col min="7172" max="7172" width="16.140625" style="1421" customWidth="1"/>
    <col min="7173" max="7173" width="18.42578125" style="1421" customWidth="1"/>
    <col min="7174" max="7174" width="12.28515625" style="1421" bestFit="1" customWidth="1"/>
    <col min="7175" max="7175" width="9.140625" style="1421"/>
    <col min="7176" max="7176" width="19.140625" style="1421" bestFit="1" customWidth="1"/>
    <col min="7177" max="7177" width="15.7109375" style="1421" bestFit="1" customWidth="1"/>
    <col min="7178" max="7178" width="9.140625" style="1421"/>
    <col min="7179" max="7179" width="14.7109375" style="1421" bestFit="1" customWidth="1"/>
    <col min="7180" max="7423" width="9.140625" style="1421"/>
    <col min="7424" max="7424" width="7.140625" style="1421" customWidth="1"/>
    <col min="7425" max="7425" width="31.5703125" style="1421" customWidth="1"/>
    <col min="7426" max="7426" width="12.5703125" style="1421" customWidth="1"/>
    <col min="7427" max="7427" width="10.42578125" style="1421" customWidth="1"/>
    <col min="7428" max="7428" width="16.140625" style="1421" customWidth="1"/>
    <col min="7429" max="7429" width="18.42578125" style="1421" customWidth="1"/>
    <col min="7430" max="7430" width="12.28515625" style="1421" bestFit="1" customWidth="1"/>
    <col min="7431" max="7431" width="9.140625" style="1421"/>
    <col min="7432" max="7432" width="19.140625" style="1421" bestFit="1" customWidth="1"/>
    <col min="7433" max="7433" width="15.7109375" style="1421" bestFit="1" customWidth="1"/>
    <col min="7434" max="7434" width="9.140625" style="1421"/>
    <col min="7435" max="7435" width="14.7109375" style="1421" bestFit="1" customWidth="1"/>
    <col min="7436" max="7679" width="9.140625" style="1421"/>
    <col min="7680" max="7680" width="7.140625" style="1421" customWidth="1"/>
    <col min="7681" max="7681" width="31.5703125" style="1421" customWidth="1"/>
    <col min="7682" max="7682" width="12.5703125" style="1421" customWidth="1"/>
    <col min="7683" max="7683" width="10.42578125" style="1421" customWidth="1"/>
    <col min="7684" max="7684" width="16.140625" style="1421" customWidth="1"/>
    <col min="7685" max="7685" width="18.42578125" style="1421" customWidth="1"/>
    <col min="7686" max="7686" width="12.28515625" style="1421" bestFit="1" customWidth="1"/>
    <col min="7687" max="7687" width="9.140625" style="1421"/>
    <col min="7688" max="7688" width="19.140625" style="1421" bestFit="1" customWidth="1"/>
    <col min="7689" max="7689" width="15.7109375" style="1421" bestFit="1" customWidth="1"/>
    <col min="7690" max="7690" width="9.140625" style="1421"/>
    <col min="7691" max="7691" width="14.7109375" style="1421" bestFit="1" customWidth="1"/>
    <col min="7692" max="7935" width="9.140625" style="1421"/>
    <col min="7936" max="7936" width="7.140625" style="1421" customWidth="1"/>
    <col min="7937" max="7937" width="31.5703125" style="1421" customWidth="1"/>
    <col min="7938" max="7938" width="12.5703125" style="1421" customWidth="1"/>
    <col min="7939" max="7939" width="10.42578125" style="1421" customWidth="1"/>
    <col min="7940" max="7940" width="16.140625" style="1421" customWidth="1"/>
    <col min="7941" max="7941" width="18.42578125" style="1421" customWidth="1"/>
    <col min="7942" max="7942" width="12.28515625" style="1421" bestFit="1" customWidth="1"/>
    <col min="7943" max="7943" width="9.140625" style="1421"/>
    <col min="7944" max="7944" width="19.140625" style="1421" bestFit="1" customWidth="1"/>
    <col min="7945" max="7945" width="15.7109375" style="1421" bestFit="1" customWidth="1"/>
    <col min="7946" max="7946" width="9.140625" style="1421"/>
    <col min="7947" max="7947" width="14.7109375" style="1421" bestFit="1" customWidth="1"/>
    <col min="7948" max="8191" width="9.140625" style="1421"/>
    <col min="8192" max="8192" width="7.140625" style="1421" customWidth="1"/>
    <col min="8193" max="8193" width="31.5703125" style="1421" customWidth="1"/>
    <col min="8194" max="8194" width="12.5703125" style="1421" customWidth="1"/>
    <col min="8195" max="8195" width="10.42578125" style="1421" customWidth="1"/>
    <col min="8196" max="8196" width="16.140625" style="1421" customWidth="1"/>
    <col min="8197" max="8197" width="18.42578125" style="1421" customWidth="1"/>
    <col min="8198" max="8198" width="12.28515625" style="1421" bestFit="1" customWidth="1"/>
    <col min="8199" max="8199" width="9.140625" style="1421"/>
    <col min="8200" max="8200" width="19.140625" style="1421" bestFit="1" customWidth="1"/>
    <col min="8201" max="8201" width="15.7109375" style="1421" bestFit="1" customWidth="1"/>
    <col min="8202" max="8202" width="9.140625" style="1421"/>
    <col min="8203" max="8203" width="14.7109375" style="1421" bestFit="1" customWidth="1"/>
    <col min="8204" max="8447" width="9.140625" style="1421"/>
    <col min="8448" max="8448" width="7.140625" style="1421" customWidth="1"/>
    <col min="8449" max="8449" width="31.5703125" style="1421" customWidth="1"/>
    <col min="8450" max="8450" width="12.5703125" style="1421" customWidth="1"/>
    <col min="8451" max="8451" width="10.42578125" style="1421" customWidth="1"/>
    <col min="8452" max="8452" width="16.140625" style="1421" customWidth="1"/>
    <col min="8453" max="8453" width="18.42578125" style="1421" customWidth="1"/>
    <col min="8454" max="8454" width="12.28515625" style="1421" bestFit="1" customWidth="1"/>
    <col min="8455" max="8455" width="9.140625" style="1421"/>
    <col min="8456" max="8456" width="19.140625" style="1421" bestFit="1" customWidth="1"/>
    <col min="8457" max="8457" width="15.7109375" style="1421" bestFit="1" customWidth="1"/>
    <col min="8458" max="8458" width="9.140625" style="1421"/>
    <col min="8459" max="8459" width="14.7109375" style="1421" bestFit="1" customWidth="1"/>
    <col min="8460" max="8703" width="9.140625" style="1421"/>
    <col min="8704" max="8704" width="7.140625" style="1421" customWidth="1"/>
    <col min="8705" max="8705" width="31.5703125" style="1421" customWidth="1"/>
    <col min="8706" max="8706" width="12.5703125" style="1421" customWidth="1"/>
    <col min="8707" max="8707" width="10.42578125" style="1421" customWidth="1"/>
    <col min="8708" max="8708" width="16.140625" style="1421" customWidth="1"/>
    <col min="8709" max="8709" width="18.42578125" style="1421" customWidth="1"/>
    <col min="8710" max="8710" width="12.28515625" style="1421" bestFit="1" customWidth="1"/>
    <col min="8711" max="8711" width="9.140625" style="1421"/>
    <col min="8712" max="8712" width="19.140625" style="1421" bestFit="1" customWidth="1"/>
    <col min="8713" max="8713" width="15.7109375" style="1421" bestFit="1" customWidth="1"/>
    <col min="8714" max="8714" width="9.140625" style="1421"/>
    <col min="8715" max="8715" width="14.7109375" style="1421" bestFit="1" customWidth="1"/>
    <col min="8716" max="8959" width="9.140625" style="1421"/>
    <col min="8960" max="8960" width="7.140625" style="1421" customWidth="1"/>
    <col min="8961" max="8961" width="31.5703125" style="1421" customWidth="1"/>
    <col min="8962" max="8962" width="12.5703125" style="1421" customWidth="1"/>
    <col min="8963" max="8963" width="10.42578125" style="1421" customWidth="1"/>
    <col min="8964" max="8964" width="16.140625" style="1421" customWidth="1"/>
    <col min="8965" max="8965" width="18.42578125" style="1421" customWidth="1"/>
    <col min="8966" max="8966" width="12.28515625" style="1421" bestFit="1" customWidth="1"/>
    <col min="8967" max="8967" width="9.140625" style="1421"/>
    <col min="8968" max="8968" width="19.140625" style="1421" bestFit="1" customWidth="1"/>
    <col min="8969" max="8969" width="15.7109375" style="1421" bestFit="1" customWidth="1"/>
    <col min="8970" max="8970" width="9.140625" style="1421"/>
    <col min="8971" max="8971" width="14.7109375" style="1421" bestFit="1" customWidth="1"/>
    <col min="8972" max="9215" width="9.140625" style="1421"/>
    <col min="9216" max="9216" width="7.140625" style="1421" customWidth="1"/>
    <col min="9217" max="9217" width="31.5703125" style="1421" customWidth="1"/>
    <col min="9218" max="9218" width="12.5703125" style="1421" customWidth="1"/>
    <col min="9219" max="9219" width="10.42578125" style="1421" customWidth="1"/>
    <col min="9220" max="9220" width="16.140625" style="1421" customWidth="1"/>
    <col min="9221" max="9221" width="18.42578125" style="1421" customWidth="1"/>
    <col min="9222" max="9222" width="12.28515625" style="1421" bestFit="1" customWidth="1"/>
    <col min="9223" max="9223" width="9.140625" style="1421"/>
    <col min="9224" max="9224" width="19.140625" style="1421" bestFit="1" customWidth="1"/>
    <col min="9225" max="9225" width="15.7109375" style="1421" bestFit="1" customWidth="1"/>
    <col min="9226" max="9226" width="9.140625" style="1421"/>
    <col min="9227" max="9227" width="14.7109375" style="1421" bestFit="1" customWidth="1"/>
    <col min="9228" max="9471" width="9.140625" style="1421"/>
    <col min="9472" max="9472" width="7.140625" style="1421" customWidth="1"/>
    <col min="9473" max="9473" width="31.5703125" style="1421" customWidth="1"/>
    <col min="9474" max="9474" width="12.5703125" style="1421" customWidth="1"/>
    <col min="9475" max="9475" width="10.42578125" style="1421" customWidth="1"/>
    <col min="9476" max="9476" width="16.140625" style="1421" customWidth="1"/>
    <col min="9477" max="9477" width="18.42578125" style="1421" customWidth="1"/>
    <col min="9478" max="9478" width="12.28515625" style="1421" bestFit="1" customWidth="1"/>
    <col min="9479" max="9479" width="9.140625" style="1421"/>
    <col min="9480" max="9480" width="19.140625" style="1421" bestFit="1" customWidth="1"/>
    <col min="9481" max="9481" width="15.7109375" style="1421" bestFit="1" customWidth="1"/>
    <col min="9482" max="9482" width="9.140625" style="1421"/>
    <col min="9483" max="9483" width="14.7109375" style="1421" bestFit="1" customWidth="1"/>
    <col min="9484" max="9727" width="9.140625" style="1421"/>
    <col min="9728" max="9728" width="7.140625" style="1421" customWidth="1"/>
    <col min="9729" max="9729" width="31.5703125" style="1421" customWidth="1"/>
    <col min="9730" max="9730" width="12.5703125" style="1421" customWidth="1"/>
    <col min="9731" max="9731" width="10.42578125" style="1421" customWidth="1"/>
    <col min="9732" max="9732" width="16.140625" style="1421" customWidth="1"/>
    <col min="9733" max="9733" width="18.42578125" style="1421" customWidth="1"/>
    <col min="9734" max="9734" width="12.28515625" style="1421" bestFit="1" customWidth="1"/>
    <col min="9735" max="9735" width="9.140625" style="1421"/>
    <col min="9736" max="9736" width="19.140625" style="1421" bestFit="1" customWidth="1"/>
    <col min="9737" max="9737" width="15.7109375" style="1421" bestFit="1" customWidth="1"/>
    <col min="9738" max="9738" width="9.140625" style="1421"/>
    <col min="9739" max="9739" width="14.7109375" style="1421" bestFit="1" customWidth="1"/>
    <col min="9740" max="9983" width="9.140625" style="1421"/>
    <col min="9984" max="9984" width="7.140625" style="1421" customWidth="1"/>
    <col min="9985" max="9985" width="31.5703125" style="1421" customWidth="1"/>
    <col min="9986" max="9986" width="12.5703125" style="1421" customWidth="1"/>
    <col min="9987" max="9987" width="10.42578125" style="1421" customWidth="1"/>
    <col min="9988" max="9988" width="16.140625" style="1421" customWidth="1"/>
    <col min="9989" max="9989" width="18.42578125" style="1421" customWidth="1"/>
    <col min="9990" max="9990" width="12.28515625" style="1421" bestFit="1" customWidth="1"/>
    <col min="9991" max="9991" width="9.140625" style="1421"/>
    <col min="9992" max="9992" width="19.140625" style="1421" bestFit="1" customWidth="1"/>
    <col min="9993" max="9993" width="15.7109375" style="1421" bestFit="1" customWidth="1"/>
    <col min="9994" max="9994" width="9.140625" style="1421"/>
    <col min="9995" max="9995" width="14.7109375" style="1421" bestFit="1" customWidth="1"/>
    <col min="9996" max="10239" width="9.140625" style="1421"/>
    <col min="10240" max="10240" width="7.140625" style="1421" customWidth="1"/>
    <col min="10241" max="10241" width="31.5703125" style="1421" customWidth="1"/>
    <col min="10242" max="10242" width="12.5703125" style="1421" customWidth="1"/>
    <col min="10243" max="10243" width="10.42578125" style="1421" customWidth="1"/>
    <col min="10244" max="10244" width="16.140625" style="1421" customWidth="1"/>
    <col min="10245" max="10245" width="18.42578125" style="1421" customWidth="1"/>
    <col min="10246" max="10246" width="12.28515625" style="1421" bestFit="1" customWidth="1"/>
    <col min="10247" max="10247" width="9.140625" style="1421"/>
    <col min="10248" max="10248" width="19.140625" style="1421" bestFit="1" customWidth="1"/>
    <col min="10249" max="10249" width="15.7109375" style="1421" bestFit="1" customWidth="1"/>
    <col min="10250" max="10250" width="9.140625" style="1421"/>
    <col min="10251" max="10251" width="14.7109375" style="1421" bestFit="1" customWidth="1"/>
    <col min="10252" max="10495" width="9.140625" style="1421"/>
    <col min="10496" max="10496" width="7.140625" style="1421" customWidth="1"/>
    <col min="10497" max="10497" width="31.5703125" style="1421" customWidth="1"/>
    <col min="10498" max="10498" width="12.5703125" style="1421" customWidth="1"/>
    <col min="10499" max="10499" width="10.42578125" style="1421" customWidth="1"/>
    <col min="10500" max="10500" width="16.140625" style="1421" customWidth="1"/>
    <col min="10501" max="10501" width="18.42578125" style="1421" customWidth="1"/>
    <col min="10502" max="10502" width="12.28515625" style="1421" bestFit="1" customWidth="1"/>
    <col min="10503" max="10503" width="9.140625" style="1421"/>
    <col min="10504" max="10504" width="19.140625" style="1421" bestFit="1" customWidth="1"/>
    <col min="10505" max="10505" width="15.7109375" style="1421" bestFit="1" customWidth="1"/>
    <col min="10506" max="10506" width="9.140625" style="1421"/>
    <col min="10507" max="10507" width="14.7109375" style="1421" bestFit="1" customWidth="1"/>
    <col min="10508" max="10751" width="9.140625" style="1421"/>
    <col min="10752" max="10752" width="7.140625" style="1421" customWidth="1"/>
    <col min="10753" max="10753" width="31.5703125" style="1421" customWidth="1"/>
    <col min="10754" max="10754" width="12.5703125" style="1421" customWidth="1"/>
    <col min="10755" max="10755" width="10.42578125" style="1421" customWidth="1"/>
    <col min="10756" max="10756" width="16.140625" style="1421" customWidth="1"/>
    <col min="10757" max="10757" width="18.42578125" style="1421" customWidth="1"/>
    <col min="10758" max="10758" width="12.28515625" style="1421" bestFit="1" customWidth="1"/>
    <col min="10759" max="10759" width="9.140625" style="1421"/>
    <col min="10760" max="10760" width="19.140625" style="1421" bestFit="1" customWidth="1"/>
    <col min="10761" max="10761" width="15.7109375" style="1421" bestFit="1" customWidth="1"/>
    <col min="10762" max="10762" width="9.140625" style="1421"/>
    <col min="10763" max="10763" width="14.7109375" style="1421" bestFit="1" customWidth="1"/>
    <col min="10764" max="11007" width="9.140625" style="1421"/>
    <col min="11008" max="11008" width="7.140625" style="1421" customWidth="1"/>
    <col min="11009" max="11009" width="31.5703125" style="1421" customWidth="1"/>
    <col min="11010" max="11010" width="12.5703125" style="1421" customWidth="1"/>
    <col min="11011" max="11011" width="10.42578125" style="1421" customWidth="1"/>
    <col min="11012" max="11012" width="16.140625" style="1421" customWidth="1"/>
    <col min="11013" max="11013" width="18.42578125" style="1421" customWidth="1"/>
    <col min="11014" max="11014" width="12.28515625" style="1421" bestFit="1" customWidth="1"/>
    <col min="11015" max="11015" width="9.140625" style="1421"/>
    <col min="11016" max="11016" width="19.140625" style="1421" bestFit="1" customWidth="1"/>
    <col min="11017" max="11017" width="15.7109375" style="1421" bestFit="1" customWidth="1"/>
    <col min="11018" max="11018" width="9.140625" style="1421"/>
    <col min="11019" max="11019" width="14.7109375" style="1421" bestFit="1" customWidth="1"/>
    <col min="11020" max="11263" width="9.140625" style="1421"/>
    <col min="11264" max="11264" width="7.140625" style="1421" customWidth="1"/>
    <col min="11265" max="11265" width="31.5703125" style="1421" customWidth="1"/>
    <col min="11266" max="11266" width="12.5703125" style="1421" customWidth="1"/>
    <col min="11267" max="11267" width="10.42578125" style="1421" customWidth="1"/>
    <col min="11268" max="11268" width="16.140625" style="1421" customWidth="1"/>
    <col min="11269" max="11269" width="18.42578125" style="1421" customWidth="1"/>
    <col min="11270" max="11270" width="12.28515625" style="1421" bestFit="1" customWidth="1"/>
    <col min="11271" max="11271" width="9.140625" style="1421"/>
    <col min="11272" max="11272" width="19.140625" style="1421" bestFit="1" customWidth="1"/>
    <col min="11273" max="11273" width="15.7109375" style="1421" bestFit="1" customWidth="1"/>
    <col min="11274" max="11274" width="9.140625" style="1421"/>
    <col min="11275" max="11275" width="14.7109375" style="1421" bestFit="1" customWidth="1"/>
    <col min="11276" max="11519" width="9.140625" style="1421"/>
    <col min="11520" max="11520" width="7.140625" style="1421" customWidth="1"/>
    <col min="11521" max="11521" width="31.5703125" style="1421" customWidth="1"/>
    <col min="11522" max="11522" width="12.5703125" style="1421" customWidth="1"/>
    <col min="11523" max="11523" width="10.42578125" style="1421" customWidth="1"/>
    <col min="11524" max="11524" width="16.140625" style="1421" customWidth="1"/>
    <col min="11525" max="11525" width="18.42578125" style="1421" customWidth="1"/>
    <col min="11526" max="11526" width="12.28515625" style="1421" bestFit="1" customWidth="1"/>
    <col min="11527" max="11527" width="9.140625" style="1421"/>
    <col min="11528" max="11528" width="19.140625" style="1421" bestFit="1" customWidth="1"/>
    <col min="11529" max="11529" width="15.7109375" style="1421" bestFit="1" customWidth="1"/>
    <col min="11530" max="11530" width="9.140625" style="1421"/>
    <col min="11531" max="11531" width="14.7109375" style="1421" bestFit="1" customWidth="1"/>
    <col min="11532" max="11775" width="9.140625" style="1421"/>
    <col min="11776" max="11776" width="7.140625" style="1421" customWidth="1"/>
    <col min="11777" max="11777" width="31.5703125" style="1421" customWidth="1"/>
    <col min="11778" max="11778" width="12.5703125" style="1421" customWidth="1"/>
    <col min="11779" max="11779" width="10.42578125" style="1421" customWidth="1"/>
    <col min="11780" max="11780" width="16.140625" style="1421" customWidth="1"/>
    <col min="11781" max="11781" width="18.42578125" style="1421" customWidth="1"/>
    <col min="11782" max="11782" width="12.28515625" style="1421" bestFit="1" customWidth="1"/>
    <col min="11783" max="11783" width="9.140625" style="1421"/>
    <col min="11784" max="11784" width="19.140625" style="1421" bestFit="1" customWidth="1"/>
    <col min="11785" max="11785" width="15.7109375" style="1421" bestFit="1" customWidth="1"/>
    <col min="11786" max="11786" width="9.140625" style="1421"/>
    <col min="11787" max="11787" width="14.7109375" style="1421" bestFit="1" customWidth="1"/>
    <col min="11788" max="12031" width="9.140625" style="1421"/>
    <col min="12032" max="12032" width="7.140625" style="1421" customWidth="1"/>
    <col min="12033" max="12033" width="31.5703125" style="1421" customWidth="1"/>
    <col min="12034" max="12034" width="12.5703125" style="1421" customWidth="1"/>
    <col min="12035" max="12035" width="10.42578125" style="1421" customWidth="1"/>
    <col min="12036" max="12036" width="16.140625" style="1421" customWidth="1"/>
    <col min="12037" max="12037" width="18.42578125" style="1421" customWidth="1"/>
    <col min="12038" max="12038" width="12.28515625" style="1421" bestFit="1" customWidth="1"/>
    <col min="12039" max="12039" width="9.140625" style="1421"/>
    <col min="12040" max="12040" width="19.140625" style="1421" bestFit="1" customWidth="1"/>
    <col min="12041" max="12041" width="15.7109375" style="1421" bestFit="1" customWidth="1"/>
    <col min="12042" max="12042" width="9.140625" style="1421"/>
    <col min="12043" max="12043" width="14.7109375" style="1421" bestFit="1" customWidth="1"/>
    <col min="12044" max="12287" width="9.140625" style="1421"/>
    <col min="12288" max="12288" width="7.140625" style="1421" customWidth="1"/>
    <col min="12289" max="12289" width="31.5703125" style="1421" customWidth="1"/>
    <col min="12290" max="12290" width="12.5703125" style="1421" customWidth="1"/>
    <col min="12291" max="12291" width="10.42578125" style="1421" customWidth="1"/>
    <col min="12292" max="12292" width="16.140625" style="1421" customWidth="1"/>
    <col min="12293" max="12293" width="18.42578125" style="1421" customWidth="1"/>
    <col min="12294" max="12294" width="12.28515625" style="1421" bestFit="1" customWidth="1"/>
    <col min="12295" max="12295" width="9.140625" style="1421"/>
    <col min="12296" max="12296" width="19.140625" style="1421" bestFit="1" customWidth="1"/>
    <col min="12297" max="12297" width="15.7109375" style="1421" bestFit="1" customWidth="1"/>
    <col min="12298" max="12298" width="9.140625" style="1421"/>
    <col min="12299" max="12299" width="14.7109375" style="1421" bestFit="1" customWidth="1"/>
    <col min="12300" max="12543" width="9.140625" style="1421"/>
    <col min="12544" max="12544" width="7.140625" style="1421" customWidth="1"/>
    <col min="12545" max="12545" width="31.5703125" style="1421" customWidth="1"/>
    <col min="12546" max="12546" width="12.5703125" style="1421" customWidth="1"/>
    <col min="12547" max="12547" width="10.42578125" style="1421" customWidth="1"/>
    <col min="12548" max="12548" width="16.140625" style="1421" customWidth="1"/>
    <col min="12549" max="12549" width="18.42578125" style="1421" customWidth="1"/>
    <col min="12550" max="12550" width="12.28515625" style="1421" bestFit="1" customWidth="1"/>
    <col min="12551" max="12551" width="9.140625" style="1421"/>
    <col min="12552" max="12552" width="19.140625" style="1421" bestFit="1" customWidth="1"/>
    <col min="12553" max="12553" width="15.7109375" style="1421" bestFit="1" customWidth="1"/>
    <col min="12554" max="12554" width="9.140625" style="1421"/>
    <col min="12555" max="12555" width="14.7109375" style="1421" bestFit="1" customWidth="1"/>
    <col min="12556" max="12799" width="9.140625" style="1421"/>
    <col min="12800" max="12800" width="7.140625" style="1421" customWidth="1"/>
    <col min="12801" max="12801" width="31.5703125" style="1421" customWidth="1"/>
    <col min="12802" max="12802" width="12.5703125" style="1421" customWidth="1"/>
    <col min="12803" max="12803" width="10.42578125" style="1421" customWidth="1"/>
    <col min="12804" max="12804" width="16.140625" style="1421" customWidth="1"/>
    <col min="12805" max="12805" width="18.42578125" style="1421" customWidth="1"/>
    <col min="12806" max="12806" width="12.28515625" style="1421" bestFit="1" customWidth="1"/>
    <col min="12807" max="12807" width="9.140625" style="1421"/>
    <col min="12808" max="12808" width="19.140625" style="1421" bestFit="1" customWidth="1"/>
    <col min="12809" max="12809" width="15.7109375" style="1421" bestFit="1" customWidth="1"/>
    <col min="12810" max="12810" width="9.140625" style="1421"/>
    <col min="12811" max="12811" width="14.7109375" style="1421" bestFit="1" customWidth="1"/>
    <col min="12812" max="13055" width="9.140625" style="1421"/>
    <col min="13056" max="13056" width="7.140625" style="1421" customWidth="1"/>
    <col min="13057" max="13057" width="31.5703125" style="1421" customWidth="1"/>
    <col min="13058" max="13058" width="12.5703125" style="1421" customWidth="1"/>
    <col min="13059" max="13059" width="10.42578125" style="1421" customWidth="1"/>
    <col min="13060" max="13060" width="16.140625" style="1421" customWidth="1"/>
    <col min="13061" max="13061" width="18.42578125" style="1421" customWidth="1"/>
    <col min="13062" max="13062" width="12.28515625" style="1421" bestFit="1" customWidth="1"/>
    <col min="13063" max="13063" width="9.140625" style="1421"/>
    <col min="13064" max="13064" width="19.140625" style="1421" bestFit="1" customWidth="1"/>
    <col min="13065" max="13065" width="15.7109375" style="1421" bestFit="1" customWidth="1"/>
    <col min="13066" max="13066" width="9.140625" style="1421"/>
    <col min="13067" max="13067" width="14.7109375" style="1421" bestFit="1" customWidth="1"/>
    <col min="13068" max="13311" width="9.140625" style="1421"/>
    <col min="13312" max="13312" width="7.140625" style="1421" customWidth="1"/>
    <col min="13313" max="13313" width="31.5703125" style="1421" customWidth="1"/>
    <col min="13314" max="13314" width="12.5703125" style="1421" customWidth="1"/>
    <col min="13315" max="13315" width="10.42578125" style="1421" customWidth="1"/>
    <col min="13316" max="13316" width="16.140625" style="1421" customWidth="1"/>
    <col min="13317" max="13317" width="18.42578125" style="1421" customWidth="1"/>
    <col min="13318" max="13318" width="12.28515625" style="1421" bestFit="1" customWidth="1"/>
    <col min="13319" max="13319" width="9.140625" style="1421"/>
    <col min="13320" max="13320" width="19.140625" style="1421" bestFit="1" customWidth="1"/>
    <col min="13321" max="13321" width="15.7109375" style="1421" bestFit="1" customWidth="1"/>
    <col min="13322" max="13322" width="9.140625" style="1421"/>
    <col min="13323" max="13323" width="14.7109375" style="1421" bestFit="1" customWidth="1"/>
    <col min="13324" max="13567" width="9.140625" style="1421"/>
    <col min="13568" max="13568" width="7.140625" style="1421" customWidth="1"/>
    <col min="13569" max="13569" width="31.5703125" style="1421" customWidth="1"/>
    <col min="13570" max="13570" width="12.5703125" style="1421" customWidth="1"/>
    <col min="13571" max="13571" width="10.42578125" style="1421" customWidth="1"/>
    <col min="13572" max="13572" width="16.140625" style="1421" customWidth="1"/>
    <col min="13573" max="13573" width="18.42578125" style="1421" customWidth="1"/>
    <col min="13574" max="13574" width="12.28515625" style="1421" bestFit="1" customWidth="1"/>
    <col min="13575" max="13575" width="9.140625" style="1421"/>
    <col min="13576" max="13576" width="19.140625" style="1421" bestFit="1" customWidth="1"/>
    <col min="13577" max="13577" width="15.7109375" style="1421" bestFit="1" customWidth="1"/>
    <col min="13578" max="13578" width="9.140625" style="1421"/>
    <col min="13579" max="13579" width="14.7109375" style="1421" bestFit="1" customWidth="1"/>
    <col min="13580" max="13823" width="9.140625" style="1421"/>
    <col min="13824" max="13824" width="7.140625" style="1421" customWidth="1"/>
    <col min="13825" max="13825" width="31.5703125" style="1421" customWidth="1"/>
    <col min="13826" max="13826" width="12.5703125" style="1421" customWidth="1"/>
    <col min="13827" max="13827" width="10.42578125" style="1421" customWidth="1"/>
    <col min="13828" max="13828" width="16.140625" style="1421" customWidth="1"/>
    <col min="13829" max="13829" width="18.42578125" style="1421" customWidth="1"/>
    <col min="13830" max="13830" width="12.28515625" style="1421" bestFit="1" customWidth="1"/>
    <col min="13831" max="13831" width="9.140625" style="1421"/>
    <col min="13832" max="13832" width="19.140625" style="1421" bestFit="1" customWidth="1"/>
    <col min="13833" max="13833" width="15.7109375" style="1421" bestFit="1" customWidth="1"/>
    <col min="13834" max="13834" width="9.140625" style="1421"/>
    <col min="13835" max="13835" width="14.7109375" style="1421" bestFit="1" customWidth="1"/>
    <col min="13836" max="14079" width="9.140625" style="1421"/>
    <col min="14080" max="14080" width="7.140625" style="1421" customWidth="1"/>
    <col min="14081" max="14081" width="31.5703125" style="1421" customWidth="1"/>
    <col min="14082" max="14082" width="12.5703125" style="1421" customWidth="1"/>
    <col min="14083" max="14083" width="10.42578125" style="1421" customWidth="1"/>
    <col min="14084" max="14084" width="16.140625" style="1421" customWidth="1"/>
    <col min="14085" max="14085" width="18.42578125" style="1421" customWidth="1"/>
    <col min="14086" max="14086" width="12.28515625" style="1421" bestFit="1" customWidth="1"/>
    <col min="14087" max="14087" width="9.140625" style="1421"/>
    <col min="14088" max="14088" width="19.140625" style="1421" bestFit="1" customWidth="1"/>
    <col min="14089" max="14089" width="15.7109375" style="1421" bestFit="1" customWidth="1"/>
    <col min="14090" max="14090" width="9.140625" style="1421"/>
    <col min="14091" max="14091" width="14.7109375" style="1421" bestFit="1" customWidth="1"/>
    <col min="14092" max="14335" width="9.140625" style="1421"/>
    <col min="14336" max="14336" width="7.140625" style="1421" customWidth="1"/>
    <col min="14337" max="14337" width="31.5703125" style="1421" customWidth="1"/>
    <col min="14338" max="14338" width="12.5703125" style="1421" customWidth="1"/>
    <col min="14339" max="14339" width="10.42578125" style="1421" customWidth="1"/>
    <col min="14340" max="14340" width="16.140625" style="1421" customWidth="1"/>
    <col min="14341" max="14341" width="18.42578125" style="1421" customWidth="1"/>
    <col min="14342" max="14342" width="12.28515625" style="1421" bestFit="1" customWidth="1"/>
    <col min="14343" max="14343" width="9.140625" style="1421"/>
    <col min="14344" max="14344" width="19.140625" style="1421" bestFit="1" customWidth="1"/>
    <col min="14345" max="14345" width="15.7109375" style="1421" bestFit="1" customWidth="1"/>
    <col min="14346" max="14346" width="9.140625" style="1421"/>
    <col min="14347" max="14347" width="14.7109375" style="1421" bestFit="1" customWidth="1"/>
    <col min="14348" max="14591" width="9.140625" style="1421"/>
    <col min="14592" max="14592" width="7.140625" style="1421" customWidth="1"/>
    <col min="14593" max="14593" width="31.5703125" style="1421" customWidth="1"/>
    <col min="14594" max="14594" width="12.5703125" style="1421" customWidth="1"/>
    <col min="14595" max="14595" width="10.42578125" style="1421" customWidth="1"/>
    <col min="14596" max="14596" width="16.140625" style="1421" customWidth="1"/>
    <col min="14597" max="14597" width="18.42578125" style="1421" customWidth="1"/>
    <col min="14598" max="14598" width="12.28515625" style="1421" bestFit="1" customWidth="1"/>
    <col min="14599" max="14599" width="9.140625" style="1421"/>
    <col min="14600" max="14600" width="19.140625" style="1421" bestFit="1" customWidth="1"/>
    <col min="14601" max="14601" width="15.7109375" style="1421" bestFit="1" customWidth="1"/>
    <col min="14602" max="14602" width="9.140625" style="1421"/>
    <col min="14603" max="14603" width="14.7109375" style="1421" bestFit="1" customWidth="1"/>
    <col min="14604" max="14847" width="9.140625" style="1421"/>
    <col min="14848" max="14848" width="7.140625" style="1421" customWidth="1"/>
    <col min="14849" max="14849" width="31.5703125" style="1421" customWidth="1"/>
    <col min="14850" max="14850" width="12.5703125" style="1421" customWidth="1"/>
    <col min="14851" max="14851" width="10.42578125" style="1421" customWidth="1"/>
    <col min="14852" max="14852" width="16.140625" style="1421" customWidth="1"/>
    <col min="14853" max="14853" width="18.42578125" style="1421" customWidth="1"/>
    <col min="14854" max="14854" width="12.28515625" style="1421" bestFit="1" customWidth="1"/>
    <col min="14855" max="14855" width="9.140625" style="1421"/>
    <col min="14856" max="14856" width="19.140625" style="1421" bestFit="1" customWidth="1"/>
    <col min="14857" max="14857" width="15.7109375" style="1421" bestFit="1" customWidth="1"/>
    <col min="14858" max="14858" width="9.140625" style="1421"/>
    <col min="14859" max="14859" width="14.7109375" style="1421" bestFit="1" customWidth="1"/>
    <col min="14860" max="15103" width="9.140625" style="1421"/>
    <col min="15104" max="15104" width="7.140625" style="1421" customWidth="1"/>
    <col min="15105" max="15105" width="31.5703125" style="1421" customWidth="1"/>
    <col min="15106" max="15106" width="12.5703125" style="1421" customWidth="1"/>
    <col min="15107" max="15107" width="10.42578125" style="1421" customWidth="1"/>
    <col min="15108" max="15108" width="16.140625" style="1421" customWidth="1"/>
    <col min="15109" max="15109" width="18.42578125" style="1421" customWidth="1"/>
    <col min="15110" max="15110" width="12.28515625" style="1421" bestFit="1" customWidth="1"/>
    <col min="15111" max="15111" width="9.140625" style="1421"/>
    <col min="15112" max="15112" width="19.140625" style="1421" bestFit="1" customWidth="1"/>
    <col min="15113" max="15113" width="15.7109375" style="1421" bestFit="1" customWidth="1"/>
    <col min="15114" max="15114" width="9.140625" style="1421"/>
    <col min="15115" max="15115" width="14.7109375" style="1421" bestFit="1" customWidth="1"/>
    <col min="15116" max="15359" width="9.140625" style="1421"/>
    <col min="15360" max="15360" width="7.140625" style="1421" customWidth="1"/>
    <col min="15361" max="15361" width="31.5703125" style="1421" customWidth="1"/>
    <col min="15362" max="15362" width="12.5703125" style="1421" customWidth="1"/>
    <col min="15363" max="15363" width="10.42578125" style="1421" customWidth="1"/>
    <col min="15364" max="15364" width="16.140625" style="1421" customWidth="1"/>
    <col min="15365" max="15365" width="18.42578125" style="1421" customWidth="1"/>
    <col min="15366" max="15366" width="12.28515625" style="1421" bestFit="1" customWidth="1"/>
    <col min="15367" max="15367" width="9.140625" style="1421"/>
    <col min="15368" max="15368" width="19.140625" style="1421" bestFit="1" customWidth="1"/>
    <col min="15369" max="15369" width="15.7109375" style="1421" bestFit="1" customWidth="1"/>
    <col min="15370" max="15370" width="9.140625" style="1421"/>
    <col min="15371" max="15371" width="14.7109375" style="1421" bestFit="1" customWidth="1"/>
    <col min="15372" max="15615" width="9.140625" style="1421"/>
    <col min="15616" max="15616" width="7.140625" style="1421" customWidth="1"/>
    <col min="15617" max="15617" width="31.5703125" style="1421" customWidth="1"/>
    <col min="15618" max="15618" width="12.5703125" style="1421" customWidth="1"/>
    <col min="15619" max="15619" width="10.42578125" style="1421" customWidth="1"/>
    <col min="15620" max="15620" width="16.140625" style="1421" customWidth="1"/>
    <col min="15621" max="15621" width="18.42578125" style="1421" customWidth="1"/>
    <col min="15622" max="15622" width="12.28515625" style="1421" bestFit="1" customWidth="1"/>
    <col min="15623" max="15623" width="9.140625" style="1421"/>
    <col min="15624" max="15624" width="19.140625" style="1421" bestFit="1" customWidth="1"/>
    <col min="15625" max="15625" width="15.7109375" style="1421" bestFit="1" customWidth="1"/>
    <col min="15626" max="15626" width="9.140625" style="1421"/>
    <col min="15627" max="15627" width="14.7109375" style="1421" bestFit="1" customWidth="1"/>
    <col min="15628" max="15871" width="9.140625" style="1421"/>
    <col min="15872" max="15872" width="7.140625" style="1421" customWidth="1"/>
    <col min="15873" max="15873" width="31.5703125" style="1421" customWidth="1"/>
    <col min="15874" max="15874" width="12.5703125" style="1421" customWidth="1"/>
    <col min="15875" max="15875" width="10.42578125" style="1421" customWidth="1"/>
    <col min="15876" max="15876" width="16.140625" style="1421" customWidth="1"/>
    <col min="15877" max="15877" width="18.42578125" style="1421" customWidth="1"/>
    <col min="15878" max="15878" width="12.28515625" style="1421" bestFit="1" customWidth="1"/>
    <col min="15879" max="15879" width="9.140625" style="1421"/>
    <col min="15880" max="15880" width="19.140625" style="1421" bestFit="1" customWidth="1"/>
    <col min="15881" max="15881" width="15.7109375" style="1421" bestFit="1" customWidth="1"/>
    <col min="15882" max="15882" width="9.140625" style="1421"/>
    <col min="15883" max="15883" width="14.7109375" style="1421" bestFit="1" customWidth="1"/>
    <col min="15884" max="16127" width="9.140625" style="1421"/>
    <col min="16128" max="16128" width="7.140625" style="1421" customWidth="1"/>
    <col min="16129" max="16129" width="31.5703125" style="1421" customWidth="1"/>
    <col min="16130" max="16130" width="12.5703125" style="1421" customWidth="1"/>
    <col min="16131" max="16131" width="10.42578125" style="1421" customWidth="1"/>
    <col min="16132" max="16132" width="16.140625" style="1421" customWidth="1"/>
    <col min="16133" max="16133" width="18.42578125" style="1421" customWidth="1"/>
    <col min="16134" max="16134" width="12.28515625" style="1421" bestFit="1" customWidth="1"/>
    <col min="16135" max="16135" width="9.140625" style="1421"/>
    <col min="16136" max="16136" width="19.140625" style="1421" bestFit="1" customWidth="1"/>
    <col min="16137" max="16137" width="15.7109375" style="1421" bestFit="1" customWidth="1"/>
    <col min="16138" max="16138" width="9.140625" style="1421"/>
    <col min="16139" max="16139" width="14.7109375" style="1421" bestFit="1" customWidth="1"/>
    <col min="16140" max="16384" width="9.140625" style="1421"/>
  </cols>
  <sheetData>
    <row r="1" spans="1:11">
      <c r="C1" s="1421" t="s">
        <v>2512</v>
      </c>
      <c r="G1" s="1467" t="s">
        <v>1020</v>
      </c>
    </row>
    <row r="4" spans="1:11" ht="28.5" customHeight="1">
      <c r="A4" s="1451" t="s">
        <v>97</v>
      </c>
      <c r="B4" s="1451" t="s">
        <v>2487</v>
      </c>
      <c r="C4" s="1451" t="s">
        <v>235</v>
      </c>
      <c r="D4" s="1451" t="s">
        <v>1055</v>
      </c>
      <c r="E4" s="1451" t="s">
        <v>15</v>
      </c>
      <c r="F4" s="1450" t="s">
        <v>2511</v>
      </c>
      <c r="G4" s="1428"/>
      <c r="I4" s="1425"/>
    </row>
    <row r="5" spans="1:11">
      <c r="A5" s="1439" t="s">
        <v>109</v>
      </c>
      <c r="B5" s="2512" t="s">
        <v>2510</v>
      </c>
      <c r="C5" s="2513"/>
      <c r="D5" s="2513"/>
      <c r="E5" s="2514"/>
      <c r="F5" s="1438">
        <f>SUM(F6:F15)</f>
        <v>116950000</v>
      </c>
      <c r="G5" s="1428"/>
      <c r="I5" s="1425"/>
    </row>
    <row r="6" spans="1:11">
      <c r="A6" s="1448">
        <v>1</v>
      </c>
      <c r="B6" s="1449" t="s">
        <v>2509</v>
      </c>
      <c r="C6" s="1448" t="s">
        <v>2129</v>
      </c>
      <c r="D6" s="1447">
        <v>200</v>
      </c>
      <c r="E6" s="1446">
        <v>135000</v>
      </c>
      <c r="F6" s="1445">
        <f t="shared" ref="F6:F15" si="0">D6*E6</f>
        <v>27000000</v>
      </c>
      <c r="G6" s="1428"/>
      <c r="I6" s="1425"/>
    </row>
    <row r="7" spans="1:11">
      <c r="A7" s="1448">
        <v>2</v>
      </c>
      <c r="B7" s="1449" t="s">
        <v>2508</v>
      </c>
      <c r="C7" s="1448" t="s">
        <v>2129</v>
      </c>
      <c r="D7" s="1447">
        <v>200</v>
      </c>
      <c r="E7" s="1446">
        <v>145000</v>
      </c>
      <c r="F7" s="1445">
        <f t="shared" si="0"/>
        <v>29000000</v>
      </c>
      <c r="G7" s="1428"/>
      <c r="I7" s="1425"/>
    </row>
    <row r="8" spans="1:11">
      <c r="A8" s="1448">
        <v>3</v>
      </c>
      <c r="B8" s="1449" t="s">
        <v>248</v>
      </c>
      <c r="C8" s="1448" t="s">
        <v>2129</v>
      </c>
      <c r="D8" s="1447">
        <v>200</v>
      </c>
      <c r="E8" s="1446">
        <v>93000</v>
      </c>
      <c r="F8" s="1445">
        <f t="shared" si="0"/>
        <v>18600000</v>
      </c>
      <c r="G8" s="1428"/>
      <c r="I8" s="1425"/>
    </row>
    <row r="9" spans="1:11">
      <c r="A9" s="1448">
        <v>4</v>
      </c>
      <c r="B9" s="1449" t="s">
        <v>2507</v>
      </c>
      <c r="C9" s="1448" t="s">
        <v>1320</v>
      </c>
      <c r="D9" s="1447">
        <v>100</v>
      </c>
      <c r="E9" s="1446">
        <v>22000</v>
      </c>
      <c r="F9" s="1445">
        <f t="shared" si="0"/>
        <v>2200000</v>
      </c>
      <c r="G9" s="1428"/>
      <c r="I9" s="1425"/>
    </row>
    <row r="10" spans="1:11">
      <c r="A10" s="1448">
        <v>5</v>
      </c>
      <c r="B10" s="1449" t="s">
        <v>2506</v>
      </c>
      <c r="C10" s="1448" t="s">
        <v>418</v>
      </c>
      <c r="D10" s="1447">
        <v>100</v>
      </c>
      <c r="E10" s="1446">
        <v>80000</v>
      </c>
      <c r="F10" s="1445">
        <f t="shared" si="0"/>
        <v>8000000</v>
      </c>
      <c r="G10" s="1428"/>
      <c r="I10" s="1425"/>
    </row>
    <row r="11" spans="1:11">
      <c r="A11" s="1448">
        <v>6</v>
      </c>
      <c r="B11" s="1449" t="s">
        <v>2505</v>
      </c>
      <c r="C11" s="1448" t="s">
        <v>2504</v>
      </c>
      <c r="D11" s="1447">
        <v>100</v>
      </c>
      <c r="E11" s="1446">
        <v>125000</v>
      </c>
      <c r="F11" s="1445">
        <f t="shared" si="0"/>
        <v>12500000</v>
      </c>
      <c r="G11" s="1428"/>
      <c r="I11" s="1425"/>
    </row>
    <row r="12" spans="1:11">
      <c r="A12" s="1448">
        <v>7</v>
      </c>
      <c r="B12" s="1449" t="s">
        <v>2503</v>
      </c>
      <c r="C12" s="1448" t="s">
        <v>244</v>
      </c>
      <c r="D12" s="1447">
        <v>100</v>
      </c>
      <c r="E12" s="1446">
        <v>80000</v>
      </c>
      <c r="F12" s="1445">
        <f t="shared" si="0"/>
        <v>8000000</v>
      </c>
      <c r="G12" s="1428"/>
      <c r="I12" s="1425"/>
    </row>
    <row r="13" spans="1:11">
      <c r="A13" s="1448">
        <v>8</v>
      </c>
      <c r="B13" s="1449" t="s">
        <v>2502</v>
      </c>
      <c r="C13" s="1448" t="s">
        <v>2501</v>
      </c>
      <c r="D13" s="1447">
        <v>100</v>
      </c>
      <c r="E13" s="1446">
        <v>70000</v>
      </c>
      <c r="F13" s="1445">
        <f t="shared" si="0"/>
        <v>7000000</v>
      </c>
      <c r="G13" s="1428"/>
      <c r="I13" s="1425"/>
    </row>
    <row r="14" spans="1:11">
      <c r="A14" s="1448">
        <v>9</v>
      </c>
      <c r="B14" s="1449" t="s">
        <v>2500</v>
      </c>
      <c r="C14" s="1448" t="s">
        <v>2499</v>
      </c>
      <c r="D14" s="1447">
        <v>500</v>
      </c>
      <c r="E14" s="1446">
        <v>5300</v>
      </c>
      <c r="F14" s="1445">
        <f t="shared" si="0"/>
        <v>2650000</v>
      </c>
      <c r="G14" s="1428"/>
      <c r="I14" s="1425"/>
    </row>
    <row r="15" spans="1:11">
      <c r="A15" s="1448">
        <v>10</v>
      </c>
      <c r="B15" s="1449" t="s">
        <v>2498</v>
      </c>
      <c r="C15" s="1448" t="s">
        <v>248</v>
      </c>
      <c r="D15" s="1447">
        <v>50</v>
      </c>
      <c r="E15" s="1446">
        <v>40000</v>
      </c>
      <c r="F15" s="1445">
        <f t="shared" si="0"/>
        <v>2000000</v>
      </c>
      <c r="G15" s="1428"/>
      <c r="H15" s="1421" t="s">
        <v>2480</v>
      </c>
      <c r="I15" s="1425">
        <f>F23-(F18+F19+F20)</f>
        <v>125350000</v>
      </c>
      <c r="K15" s="1433"/>
    </row>
    <row r="16" spans="1:11">
      <c r="A16" s="1439" t="s">
        <v>116</v>
      </c>
      <c r="B16" s="2512" t="s">
        <v>2458</v>
      </c>
      <c r="C16" s="2513"/>
      <c r="D16" s="2513"/>
      <c r="E16" s="2514"/>
      <c r="F16" s="1438">
        <f>SUM(F17:F22)</f>
        <v>19800000</v>
      </c>
      <c r="G16" s="1428"/>
      <c r="I16" s="1425"/>
    </row>
    <row r="17" spans="1:11">
      <c r="A17" s="1443">
        <v>1</v>
      </c>
      <c r="B17" s="1442" t="s">
        <v>2457</v>
      </c>
      <c r="C17" s="1440" t="s">
        <v>2456</v>
      </c>
      <c r="D17" s="1442">
        <v>1</v>
      </c>
      <c r="E17" s="1441">
        <v>6000000</v>
      </c>
      <c r="F17" s="1440">
        <f t="shared" ref="F17:F22" si="1">D17*E17</f>
        <v>6000000</v>
      </c>
      <c r="G17" s="1428"/>
      <c r="I17" s="1425"/>
      <c r="J17" s="1424"/>
    </row>
    <row r="18" spans="1:11">
      <c r="A18" s="1443">
        <v>2</v>
      </c>
      <c r="B18" s="1442" t="s">
        <v>2497</v>
      </c>
      <c r="C18" s="1440" t="s">
        <v>45</v>
      </c>
      <c r="D18" s="1444">
        <v>0.09</v>
      </c>
      <c r="E18" s="1441">
        <v>100000000</v>
      </c>
      <c r="F18" s="1440">
        <f t="shared" si="1"/>
        <v>9000000</v>
      </c>
      <c r="G18" s="1428"/>
      <c r="I18" s="1425"/>
    </row>
    <row r="19" spans="1:11">
      <c r="A19" s="1443">
        <v>3</v>
      </c>
      <c r="B19" s="1442" t="s">
        <v>2452</v>
      </c>
      <c r="C19" s="1440" t="s">
        <v>45</v>
      </c>
      <c r="D19" s="1442">
        <v>1</v>
      </c>
      <c r="E19" s="1441">
        <v>1200000</v>
      </c>
      <c r="F19" s="1440">
        <f t="shared" si="1"/>
        <v>1200000</v>
      </c>
      <c r="G19" s="1428"/>
      <c r="H19" s="1421" t="s">
        <v>2021</v>
      </c>
      <c r="I19" s="1425">
        <f>I15-I20</f>
        <v>25350000</v>
      </c>
    </row>
    <row r="20" spans="1:11">
      <c r="A20" s="1443">
        <v>4</v>
      </c>
      <c r="B20" s="1442" t="s">
        <v>2450</v>
      </c>
      <c r="C20" s="1440" t="s">
        <v>45</v>
      </c>
      <c r="D20" s="1442">
        <v>1</v>
      </c>
      <c r="E20" s="1441">
        <v>1200000</v>
      </c>
      <c r="F20" s="1440">
        <f t="shared" si="1"/>
        <v>1200000</v>
      </c>
      <c r="G20" s="1428"/>
      <c r="H20" s="1421" t="s">
        <v>2477</v>
      </c>
      <c r="I20" s="1425">
        <v>100000000</v>
      </c>
    </row>
    <row r="21" spans="1:11">
      <c r="A21" s="1443">
        <v>5</v>
      </c>
      <c r="B21" s="1442" t="s">
        <v>2496</v>
      </c>
      <c r="C21" s="1440" t="s">
        <v>45</v>
      </c>
      <c r="D21" s="1442">
        <v>1</v>
      </c>
      <c r="E21" s="1441">
        <v>1200000</v>
      </c>
      <c r="F21" s="1440">
        <f t="shared" si="1"/>
        <v>1200000</v>
      </c>
      <c r="G21" s="1428"/>
    </row>
    <row r="22" spans="1:11">
      <c r="A22" s="1443">
        <v>6</v>
      </c>
      <c r="B22" s="1442" t="s">
        <v>2495</v>
      </c>
      <c r="C22" s="1440" t="s">
        <v>45</v>
      </c>
      <c r="D22" s="1442">
        <v>1</v>
      </c>
      <c r="E22" s="1441">
        <v>1200000</v>
      </c>
      <c r="F22" s="1440">
        <f t="shared" si="1"/>
        <v>1200000</v>
      </c>
      <c r="G22" s="1428"/>
      <c r="I22" s="1425"/>
    </row>
    <row r="23" spans="1:11">
      <c r="A23" s="1439" t="s">
        <v>135</v>
      </c>
      <c r="B23" s="2512" t="s">
        <v>2494</v>
      </c>
      <c r="C23" s="2513"/>
      <c r="D23" s="2513"/>
      <c r="E23" s="2514"/>
      <c r="F23" s="1438">
        <f>F16+F5</f>
        <v>136750000</v>
      </c>
      <c r="G23" s="1428"/>
      <c r="I23" s="1425"/>
    </row>
    <row r="24" spans="1:11">
      <c r="A24" s="2515" t="s">
        <v>2493</v>
      </c>
      <c r="B24" s="2515"/>
      <c r="C24" s="2515"/>
      <c r="D24" s="2515"/>
      <c r="E24" s="2515"/>
      <c r="F24" s="2515"/>
      <c r="G24" s="1428"/>
      <c r="H24" s="1421" t="s">
        <v>2453</v>
      </c>
      <c r="I24" s="1437">
        <f>I36/I19%</f>
        <v>51.069033530571993</v>
      </c>
    </row>
    <row r="25" spans="1:11">
      <c r="A25" s="2548" t="str">
        <f>CONCATENATE(TEXT(F23,"#,###,###,###")," đồng - (",TEXT(F18,"#,###,###,###")," đồng +  ",TEXT(F19,"#,###,###,###")," đồng + ",TEXT(F20,"#,###,###,###")," đồng) = ",TEXT(I15,"#,###,###,###")," đồng")</f>
        <v>136,750,000 đồng - (9,000,000 đồng +  1,200,000 đồng + 1,200,000 đồng) = 125,350,000 đồng</v>
      </c>
      <c r="B25" s="2548"/>
      <c r="C25" s="2548"/>
      <c r="D25" s="2548"/>
      <c r="E25" s="2548"/>
      <c r="F25" s="2548"/>
      <c r="G25" s="1428"/>
      <c r="H25" s="1421" t="s">
        <v>2492</v>
      </c>
      <c r="I25" s="1427">
        <f>I36/I33</f>
        <v>8.6481936725096201E-2</v>
      </c>
    </row>
    <row r="26" spans="1:11">
      <c r="A26" s="1436" t="s">
        <v>2491</v>
      </c>
      <c r="D26" s="1425"/>
      <c r="G26" s="1428"/>
      <c r="I26" s="1425"/>
      <c r="J26" s="1435">
        <f>I19/I15</f>
        <v>0.20223374551256482</v>
      </c>
    </row>
    <row r="27" spans="1:11" ht="40.5" customHeight="1">
      <c r="A27" s="2517" t="str">
        <f>CONCATENATE("Doanh thu từ kinh doanh được xác định theo tỷ lệ của giá vốn hàng bán trên cơ sở tính toán của năm thực hiện ước đạt ",I32," % giá vốn: ")</f>
        <v xml:space="preserve">Doanh thu từ kinh doanh được xác định theo tỷ lệ của giá vốn hàng bán trên cơ sở tính toán của năm thực hiện ước đạt 128 % giá vốn: </v>
      </c>
      <c r="B27" s="2517"/>
      <c r="C27" s="2517"/>
      <c r="D27" s="2517"/>
      <c r="E27" s="2517"/>
      <c r="F27" s="2517"/>
      <c r="G27" s="1428"/>
      <c r="I27" s="1425"/>
    </row>
    <row r="28" spans="1:11">
      <c r="A28" s="2518" t="str">
        <f>CONCATENATE("Doanh thu = Giá vốn x ",I32,"%:")</f>
        <v>Doanh thu = Giá vốn x 128%:</v>
      </c>
      <c r="B28" s="2518"/>
      <c r="C28" s="2518"/>
      <c r="D28" s="2518"/>
      <c r="E28" s="2518"/>
      <c r="F28" s="2518"/>
      <c r="G28" s="1428"/>
      <c r="I28" s="1425"/>
    </row>
    <row r="29" spans="1:11">
      <c r="A29" s="2549" t="str">
        <f>CONCATENATE(TEXT(F5,"#,###,###,###")," đồng  x ",I32," % = ",TEXT(((F5*I32)/100),"#,###,###,###")," đồng" )</f>
        <v>116,950,000 đồng  x 128 % = 149,696,000 đồng</v>
      </c>
      <c r="B29" s="2549"/>
      <c r="C29" s="2549"/>
      <c r="D29" s="2549"/>
      <c r="E29" s="2549"/>
      <c r="F29" s="2549"/>
      <c r="G29" s="1428"/>
      <c r="I29" s="1425"/>
    </row>
    <row r="30" spans="1:11">
      <c r="A30" s="2520" t="s">
        <v>2490</v>
      </c>
      <c r="B30" s="2520"/>
      <c r="C30" s="2520"/>
      <c r="D30" s="2520"/>
      <c r="E30" s="2520"/>
      <c r="F30" s="2520"/>
      <c r="G30" s="1428"/>
      <c r="I30" s="1425"/>
      <c r="K30" s="1424"/>
    </row>
    <row r="31" spans="1:11">
      <c r="A31" s="2550" t="str">
        <f>CONCATENATE(TEXT(I34,"#,###,###,###"),"đ - ",TEXT(F23,"#,###,###,###"),"đ = ",TEXT(I36,"#,###,###,###"),"đ")</f>
        <v>149,696,000đ - 136,750,000đ = 12,946,000đ</v>
      </c>
      <c r="B31" s="2550"/>
      <c r="C31" s="2550"/>
      <c r="D31" s="2550"/>
      <c r="E31" s="2550"/>
      <c r="F31" s="2550"/>
      <c r="G31" s="1428"/>
      <c r="H31" s="1434"/>
      <c r="I31" s="1433"/>
      <c r="K31" s="1424"/>
    </row>
    <row r="32" spans="1:11">
      <c r="A32" s="2516" t="s">
        <v>2489</v>
      </c>
      <c r="B32" s="2516"/>
      <c r="C32" s="2516"/>
      <c r="D32" s="2516"/>
      <c r="E32" s="2516"/>
      <c r="F32" s="2516"/>
      <c r="G32" s="1428"/>
      <c r="H32" s="1431" t="s">
        <v>2464</v>
      </c>
      <c r="I32" s="1432">
        <v>128</v>
      </c>
      <c r="K32" s="1424"/>
    </row>
    <row r="33" spans="1:11">
      <c r="A33" s="1426"/>
      <c r="D33" s="1425"/>
      <c r="G33" s="1428"/>
      <c r="H33" s="1431" t="s">
        <v>2488</v>
      </c>
      <c r="I33" s="1425">
        <f>(F5*I32/100)</f>
        <v>149696000</v>
      </c>
    </row>
    <row r="34" spans="1:11" ht="23.25" customHeight="1">
      <c r="A34" s="1426"/>
      <c r="D34" s="1425"/>
      <c r="G34" s="1428"/>
      <c r="H34" s="1431" t="s">
        <v>2459</v>
      </c>
      <c r="I34" s="1425">
        <f>I33</f>
        <v>149696000</v>
      </c>
      <c r="J34" s="1421">
        <v>272000000</v>
      </c>
      <c r="K34" s="1424">
        <f>J34+I34</f>
        <v>421696000</v>
      </c>
    </row>
    <row r="35" spans="1:11" ht="17.25" customHeight="1">
      <c r="A35" s="1426"/>
      <c r="D35" s="1425"/>
      <c r="G35" s="1428"/>
      <c r="H35" s="1431" t="s">
        <v>767</v>
      </c>
      <c r="I35" s="1425">
        <f>F23</f>
        <v>136750000</v>
      </c>
      <c r="J35" s="1421">
        <v>248400000</v>
      </c>
      <c r="K35" s="1424">
        <f>J35+I35</f>
        <v>385150000</v>
      </c>
    </row>
    <row r="36" spans="1:11" ht="35.25" customHeight="1">
      <c r="A36" s="1426"/>
      <c r="D36" s="1425"/>
      <c r="G36" s="1428"/>
      <c r="H36" s="1430" t="s">
        <v>1988</v>
      </c>
      <c r="I36" s="1429">
        <f>I34-I35</f>
        <v>12946000</v>
      </c>
      <c r="K36" s="1424">
        <f>K34-K35</f>
        <v>36546000</v>
      </c>
    </row>
    <row r="37" spans="1:11">
      <c r="A37" s="1426"/>
      <c r="D37" s="1425"/>
      <c r="G37" s="1428"/>
      <c r="H37" s="1425"/>
    </row>
    <row r="38" spans="1:11">
      <c r="A38" s="1426"/>
      <c r="D38" s="1425"/>
      <c r="G38" s="1428"/>
      <c r="H38" s="1425"/>
      <c r="J38" s="1424"/>
    </row>
    <row r="39" spans="1:11" ht="18" customHeight="1">
      <c r="A39" s="1426"/>
      <c r="D39" s="1425"/>
      <c r="G39" s="1428"/>
      <c r="H39" s="1425"/>
    </row>
    <row r="40" spans="1:11" ht="16.5" customHeight="1">
      <c r="A40" s="1426"/>
      <c r="D40" s="1425"/>
      <c r="G40" s="1428"/>
      <c r="H40" s="1425"/>
    </row>
    <row r="41" spans="1:11" ht="16.5" customHeight="1">
      <c r="A41" s="1426"/>
      <c r="D41" s="1425"/>
      <c r="G41" s="1428"/>
      <c r="H41" s="1425"/>
    </row>
    <row r="42" spans="1:11">
      <c r="A42" s="1426"/>
      <c r="D42" s="1425"/>
      <c r="H42" s="1425"/>
    </row>
    <row r="43" spans="1:11">
      <c r="A43" s="1426"/>
      <c r="D43" s="1425"/>
      <c r="H43" s="1425"/>
      <c r="J43" s="1427"/>
    </row>
    <row r="44" spans="1:11">
      <c r="A44" s="1426"/>
      <c r="D44" s="1425"/>
      <c r="H44" s="1424"/>
    </row>
    <row r="45" spans="1:11">
      <c r="A45" s="1426"/>
      <c r="D45" s="1425"/>
      <c r="I45" s="1424"/>
    </row>
    <row r="46" spans="1:11">
      <c r="A46" s="1426"/>
      <c r="D46" s="1425"/>
      <c r="I46" s="1424"/>
    </row>
    <row r="47" spans="1:11">
      <c r="A47" s="1426"/>
      <c r="D47" s="1425"/>
      <c r="I47" s="1424"/>
    </row>
    <row r="48" spans="1:11">
      <c r="A48" s="1426"/>
      <c r="D48" s="1425"/>
      <c r="I48" s="1424"/>
    </row>
    <row r="49" spans="1:9">
      <c r="A49" s="1426"/>
      <c r="D49" s="1425"/>
      <c r="I49" s="1424"/>
    </row>
    <row r="50" spans="1:9">
      <c r="I50" s="1424"/>
    </row>
    <row r="51" spans="1:9">
      <c r="I51" s="1424"/>
    </row>
    <row r="52" spans="1:9">
      <c r="G52" s="1423"/>
      <c r="I52" s="1424"/>
    </row>
    <row r="53" spans="1:9">
      <c r="G53" s="1423"/>
      <c r="I53" s="1424"/>
    </row>
    <row r="54" spans="1:9">
      <c r="G54" s="1423"/>
      <c r="I54" s="1424"/>
    </row>
    <row r="55" spans="1:9">
      <c r="G55" s="1423"/>
      <c r="I55" s="1424"/>
    </row>
    <row r="56" spans="1:9">
      <c r="G56" s="1423"/>
      <c r="I56" s="1424"/>
    </row>
    <row r="57" spans="1:9">
      <c r="G57" s="1423"/>
      <c r="I57" s="1424"/>
    </row>
    <row r="58" spans="1:9">
      <c r="G58" s="1423"/>
      <c r="I58" s="1424"/>
    </row>
    <row r="59" spans="1:9">
      <c r="G59" s="1423"/>
      <c r="I59" s="1424"/>
    </row>
    <row r="60" spans="1:9">
      <c r="G60" s="1423"/>
      <c r="I60" s="1424"/>
    </row>
    <row r="61" spans="1:9">
      <c r="G61" s="1423"/>
      <c r="I61" s="1424"/>
    </row>
    <row r="62" spans="1:9">
      <c r="G62" s="1423"/>
      <c r="I62" s="1424"/>
    </row>
    <row r="63" spans="1:9">
      <c r="G63" s="1423"/>
      <c r="I63" s="1424"/>
    </row>
    <row r="64" spans="1:9">
      <c r="G64" s="1423"/>
      <c r="I64" s="1424"/>
    </row>
    <row r="65" spans="7:9">
      <c r="G65" s="1423"/>
      <c r="I65" s="1424"/>
    </row>
    <row r="66" spans="7:9">
      <c r="G66" s="1423"/>
    </row>
    <row r="67" spans="7:9">
      <c r="G67" s="1423"/>
    </row>
    <row r="68" spans="7:9">
      <c r="G68" s="1423"/>
    </row>
    <row r="69" spans="7:9">
      <c r="G69" s="1423"/>
    </row>
    <row r="70" spans="7:9">
      <c r="G70" s="1423"/>
    </row>
    <row r="71" spans="7:9">
      <c r="G71" s="1423"/>
    </row>
    <row r="77" spans="7:9">
      <c r="G77" s="1422"/>
    </row>
  </sheetData>
  <mergeCells count="11">
    <mergeCell ref="A32:F32"/>
    <mergeCell ref="B5:E5"/>
    <mergeCell ref="B16:E16"/>
    <mergeCell ref="B23:E23"/>
    <mergeCell ref="A24:F24"/>
    <mergeCell ref="A25:F25"/>
    <mergeCell ref="A27:F27"/>
    <mergeCell ref="A28:F28"/>
    <mergeCell ref="A29:F29"/>
    <mergeCell ref="A30:F30"/>
    <mergeCell ref="A31:F31"/>
  </mergeCells>
  <printOptions horizontalCentered="1"/>
  <pageMargins left="0.5" right="0.25" top="0.5" bottom="0.75" header="0.5" footer="0.5"/>
  <pageSetup orientation="portrait" useFirstPageNumber="1"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22"/>
  <sheetViews>
    <sheetView workbookViewId="0">
      <selection activeCell="C1" sqref="C1"/>
    </sheetView>
  </sheetViews>
  <sheetFormatPr defaultRowHeight="16.5"/>
  <cols>
    <col min="1" max="1" width="5" style="6" bestFit="1" customWidth="1"/>
    <col min="2" max="2" width="40.42578125" style="6" bestFit="1" customWidth="1"/>
    <col min="3" max="3" width="17.5703125" style="6" customWidth="1"/>
    <col min="4" max="4" width="23.85546875" style="6" bestFit="1" customWidth="1"/>
    <col min="5" max="16384" width="9.140625" style="6"/>
  </cols>
  <sheetData>
    <row r="1" spans="1:7">
      <c r="C1" s="6" t="s">
        <v>3210</v>
      </c>
      <c r="G1" s="308" t="s">
        <v>1020</v>
      </c>
    </row>
    <row r="3" spans="1:7" ht="33">
      <c r="A3" s="53" t="s">
        <v>206</v>
      </c>
      <c r="B3" s="53" t="s">
        <v>207</v>
      </c>
      <c r="C3" s="53" t="s">
        <v>295</v>
      </c>
      <c r="D3" s="53" t="s">
        <v>278</v>
      </c>
    </row>
    <row r="4" spans="1:7">
      <c r="A4" s="5" t="s">
        <v>296</v>
      </c>
      <c r="B4" s="31" t="s">
        <v>210</v>
      </c>
      <c r="C4" s="35">
        <f>SUM(C5:C8)</f>
        <v>275000000</v>
      </c>
      <c r="D4" s="35">
        <f>SUM(D5:D8)</f>
        <v>1100000000</v>
      </c>
    </row>
    <row r="5" spans="1:7">
      <c r="A5" s="4">
        <v>1</v>
      </c>
      <c r="B5" s="34" t="s">
        <v>297</v>
      </c>
      <c r="C5" s="35">
        <v>80000000</v>
      </c>
      <c r="D5" s="42">
        <f>C5*4</f>
        <v>320000000</v>
      </c>
    </row>
    <row r="6" spans="1:7">
      <c r="A6" s="4">
        <v>2</v>
      </c>
      <c r="B6" s="34" t="s">
        <v>298</v>
      </c>
      <c r="C6" s="35">
        <v>120000000</v>
      </c>
      <c r="D6" s="42">
        <f>C6*4</f>
        <v>480000000</v>
      </c>
    </row>
    <row r="7" spans="1:7">
      <c r="A7" s="4">
        <v>3</v>
      </c>
      <c r="B7" s="34" t="s">
        <v>299</v>
      </c>
      <c r="C7" s="35">
        <v>25000000</v>
      </c>
      <c r="D7" s="42">
        <f>C7*4</f>
        <v>100000000</v>
      </c>
    </row>
    <row r="8" spans="1:7">
      <c r="A8" s="4">
        <v>4</v>
      </c>
      <c r="B8" s="34" t="s">
        <v>300</v>
      </c>
      <c r="C8" s="35">
        <v>50000000</v>
      </c>
      <c r="D8" s="42">
        <f>C8*4</f>
        <v>200000000</v>
      </c>
    </row>
    <row r="9" spans="1:7">
      <c r="A9" s="5" t="s">
        <v>301</v>
      </c>
      <c r="B9" s="31" t="s">
        <v>302</v>
      </c>
      <c r="C9" s="35">
        <f>SUM(C10:C14)</f>
        <v>252812500</v>
      </c>
      <c r="D9" s="35">
        <f>SUM(D10:D14)</f>
        <v>758437500</v>
      </c>
    </row>
    <row r="10" spans="1:7">
      <c r="A10" s="4">
        <v>1</v>
      </c>
      <c r="B10" s="34" t="s">
        <v>212</v>
      </c>
      <c r="C10" s="35">
        <f>SUM(C5:C8)*0.8</f>
        <v>220000000</v>
      </c>
      <c r="D10" s="42">
        <f>C10*3</f>
        <v>660000000</v>
      </c>
    </row>
    <row r="11" spans="1:7">
      <c r="A11" s="4">
        <v>2</v>
      </c>
      <c r="B11" s="34" t="s">
        <v>303</v>
      </c>
      <c r="C11" s="35">
        <v>15000000</v>
      </c>
      <c r="D11" s="42">
        <f>C11*3</f>
        <v>45000000</v>
      </c>
    </row>
    <row r="12" spans="1:7">
      <c r="A12" s="4">
        <v>3</v>
      </c>
      <c r="B12" s="34" t="s">
        <v>213</v>
      </c>
      <c r="C12" s="35">
        <f>D20*D22/4</f>
        <v>11812500</v>
      </c>
      <c r="D12" s="42">
        <f>C12*3</f>
        <v>35437500</v>
      </c>
    </row>
    <row r="13" spans="1:7">
      <c r="A13" s="4">
        <v>4</v>
      </c>
      <c r="B13" s="34" t="s">
        <v>214</v>
      </c>
      <c r="C13" s="35">
        <v>3000000</v>
      </c>
      <c r="D13" s="42">
        <f>C13*3</f>
        <v>9000000</v>
      </c>
    </row>
    <row r="14" spans="1:7">
      <c r="A14" s="4">
        <v>5</v>
      </c>
      <c r="B14" s="34" t="s">
        <v>217</v>
      </c>
      <c r="C14" s="35">
        <v>3000000</v>
      </c>
      <c r="D14" s="42">
        <f>C14*3</f>
        <v>9000000</v>
      </c>
    </row>
    <row r="15" spans="1:7">
      <c r="A15" s="5" t="s">
        <v>135</v>
      </c>
      <c r="B15" s="31" t="s">
        <v>136</v>
      </c>
      <c r="C15" s="35">
        <f>D15/3</f>
        <v>113854166.66666667</v>
      </c>
      <c r="D15" s="35">
        <f>D4-D9</f>
        <v>341562500</v>
      </c>
    </row>
    <row r="16" spans="1:7">
      <c r="A16" s="5" t="s">
        <v>221</v>
      </c>
      <c r="B16" s="9" t="s">
        <v>304</v>
      </c>
      <c r="C16" s="9"/>
      <c r="D16" s="59">
        <f>D15/D4</f>
        <v>0.31051136363636361</v>
      </c>
    </row>
    <row r="19" spans="2:5">
      <c r="B19" s="6" t="s">
        <v>223</v>
      </c>
      <c r="D19" s="56">
        <f>D10</f>
        <v>660000000</v>
      </c>
    </row>
    <row r="20" spans="2:5">
      <c r="B20" s="6" t="s">
        <v>27</v>
      </c>
      <c r="D20" s="8">
        <v>450000000</v>
      </c>
    </row>
    <row r="21" spans="2:5">
      <c r="B21" s="6" t="s">
        <v>26</v>
      </c>
      <c r="D21" s="56">
        <f>D19-D20</f>
        <v>210000000</v>
      </c>
      <c r="E21" s="60">
        <f>D21/D19</f>
        <v>0.31818181818181818</v>
      </c>
    </row>
    <row r="22" spans="2:5">
      <c r="B22" s="6" t="s">
        <v>305</v>
      </c>
      <c r="D22" s="61">
        <v>0.105</v>
      </c>
    </row>
  </sheetData>
  <pageMargins left="0.75" right="0.75" top="1" bottom="1" header="0.5" footer="0.5"/>
  <pageSetup orientation="portrait" verticalDpi="0"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7"/>
  <dimension ref="A1:I38"/>
  <sheetViews>
    <sheetView workbookViewId="0">
      <selection activeCell="K24" sqref="K24"/>
    </sheetView>
  </sheetViews>
  <sheetFormatPr defaultColWidth="6.7109375" defaultRowHeight="16.5"/>
  <cols>
    <col min="1" max="1" width="6.7109375" style="151" customWidth="1"/>
    <col min="2" max="2" width="15" style="151" customWidth="1"/>
    <col min="3" max="4" width="17.85546875" style="163" customWidth="1"/>
    <col min="5" max="5" width="17.140625" style="163" bestFit="1" customWidth="1"/>
    <col min="6" max="6" width="16.5703125" style="163" customWidth="1"/>
    <col min="7" max="7" width="17.5703125" style="163" customWidth="1"/>
    <col min="8" max="8" width="9.140625" style="151" customWidth="1"/>
    <col min="9" max="9" width="14.140625" style="151" bestFit="1" customWidth="1"/>
    <col min="10" max="255" width="9.140625" style="151" customWidth="1"/>
    <col min="256" max="256" width="6.7109375" style="151"/>
    <col min="257" max="257" width="6.7109375" style="151" customWidth="1"/>
    <col min="258" max="258" width="15" style="151" customWidth="1"/>
    <col min="259" max="259" width="15" style="151" bestFit="1" customWidth="1"/>
    <col min="260" max="260" width="15.42578125" style="151" bestFit="1" customWidth="1"/>
    <col min="261" max="261" width="15" style="151" bestFit="1" customWidth="1"/>
    <col min="262" max="262" width="16.5703125" style="151" customWidth="1"/>
    <col min="263" max="263" width="17.5703125" style="151" customWidth="1"/>
    <col min="264" max="264" width="9.140625" style="151" customWidth="1"/>
    <col min="265" max="265" width="14.140625" style="151" bestFit="1" customWidth="1"/>
    <col min="266" max="511" width="9.140625" style="151" customWidth="1"/>
    <col min="512" max="512" width="6.7109375" style="151"/>
    <col min="513" max="513" width="6.7109375" style="151" customWidth="1"/>
    <col min="514" max="514" width="15" style="151" customWidth="1"/>
    <col min="515" max="515" width="15" style="151" bestFit="1" customWidth="1"/>
    <col min="516" max="516" width="15.42578125" style="151" bestFit="1" customWidth="1"/>
    <col min="517" max="517" width="15" style="151" bestFit="1" customWidth="1"/>
    <col min="518" max="518" width="16.5703125" style="151" customWidth="1"/>
    <col min="519" max="519" width="17.5703125" style="151" customWidth="1"/>
    <col min="520" max="520" width="9.140625" style="151" customWidth="1"/>
    <col min="521" max="521" width="14.140625" style="151" bestFit="1" customWidth="1"/>
    <col min="522" max="767" width="9.140625" style="151" customWidth="1"/>
    <col min="768" max="768" width="6.7109375" style="151"/>
    <col min="769" max="769" width="6.7109375" style="151" customWidth="1"/>
    <col min="770" max="770" width="15" style="151" customWidth="1"/>
    <col min="771" max="771" width="15" style="151" bestFit="1" customWidth="1"/>
    <col min="772" max="772" width="15.42578125" style="151" bestFit="1" customWidth="1"/>
    <col min="773" max="773" width="15" style="151" bestFit="1" customWidth="1"/>
    <col min="774" max="774" width="16.5703125" style="151" customWidth="1"/>
    <col min="775" max="775" width="17.5703125" style="151" customWidth="1"/>
    <col min="776" max="776" width="9.140625" style="151" customWidth="1"/>
    <col min="777" max="777" width="14.140625" style="151" bestFit="1" customWidth="1"/>
    <col min="778" max="1023" width="9.140625" style="151" customWidth="1"/>
    <col min="1024" max="1024" width="6.7109375" style="151"/>
    <col min="1025" max="1025" width="6.7109375" style="151" customWidth="1"/>
    <col min="1026" max="1026" width="15" style="151" customWidth="1"/>
    <col min="1027" max="1027" width="15" style="151" bestFit="1" customWidth="1"/>
    <col min="1028" max="1028" width="15.42578125" style="151" bestFit="1" customWidth="1"/>
    <col min="1029" max="1029" width="15" style="151" bestFit="1" customWidth="1"/>
    <col min="1030" max="1030" width="16.5703125" style="151" customWidth="1"/>
    <col min="1031" max="1031" width="17.5703125" style="151" customWidth="1"/>
    <col min="1032" max="1032" width="9.140625" style="151" customWidth="1"/>
    <col min="1033" max="1033" width="14.140625" style="151" bestFit="1" customWidth="1"/>
    <col min="1034" max="1279" width="9.140625" style="151" customWidth="1"/>
    <col min="1280" max="1280" width="6.7109375" style="151"/>
    <col min="1281" max="1281" width="6.7109375" style="151" customWidth="1"/>
    <col min="1282" max="1282" width="15" style="151" customWidth="1"/>
    <col min="1283" max="1283" width="15" style="151" bestFit="1" customWidth="1"/>
    <col min="1284" max="1284" width="15.42578125" style="151" bestFit="1" customWidth="1"/>
    <col min="1285" max="1285" width="15" style="151" bestFit="1" customWidth="1"/>
    <col min="1286" max="1286" width="16.5703125" style="151" customWidth="1"/>
    <col min="1287" max="1287" width="17.5703125" style="151" customWidth="1"/>
    <col min="1288" max="1288" width="9.140625" style="151" customWidth="1"/>
    <col min="1289" max="1289" width="14.140625" style="151" bestFit="1" customWidth="1"/>
    <col min="1290" max="1535" width="9.140625" style="151" customWidth="1"/>
    <col min="1536" max="1536" width="6.7109375" style="151"/>
    <col min="1537" max="1537" width="6.7109375" style="151" customWidth="1"/>
    <col min="1538" max="1538" width="15" style="151" customWidth="1"/>
    <col min="1539" max="1539" width="15" style="151" bestFit="1" customWidth="1"/>
    <col min="1540" max="1540" width="15.42578125" style="151" bestFit="1" customWidth="1"/>
    <col min="1541" max="1541" width="15" style="151" bestFit="1" customWidth="1"/>
    <col min="1542" max="1542" width="16.5703125" style="151" customWidth="1"/>
    <col min="1543" max="1543" width="17.5703125" style="151" customWidth="1"/>
    <col min="1544" max="1544" width="9.140625" style="151" customWidth="1"/>
    <col min="1545" max="1545" width="14.140625" style="151" bestFit="1" customWidth="1"/>
    <col min="1546" max="1791" width="9.140625" style="151" customWidth="1"/>
    <col min="1792" max="1792" width="6.7109375" style="151"/>
    <col min="1793" max="1793" width="6.7109375" style="151" customWidth="1"/>
    <col min="1794" max="1794" width="15" style="151" customWidth="1"/>
    <col min="1795" max="1795" width="15" style="151" bestFit="1" customWidth="1"/>
    <col min="1796" max="1796" width="15.42578125" style="151" bestFit="1" customWidth="1"/>
    <col min="1797" max="1797" width="15" style="151" bestFit="1" customWidth="1"/>
    <col min="1798" max="1798" width="16.5703125" style="151" customWidth="1"/>
    <col min="1799" max="1799" width="17.5703125" style="151" customWidth="1"/>
    <col min="1800" max="1800" width="9.140625" style="151" customWidth="1"/>
    <col min="1801" max="1801" width="14.140625" style="151" bestFit="1" customWidth="1"/>
    <col min="1802" max="2047" width="9.140625" style="151" customWidth="1"/>
    <col min="2048" max="2048" width="6.7109375" style="151"/>
    <col min="2049" max="2049" width="6.7109375" style="151" customWidth="1"/>
    <col min="2050" max="2050" width="15" style="151" customWidth="1"/>
    <col min="2051" max="2051" width="15" style="151" bestFit="1" customWidth="1"/>
    <col min="2052" max="2052" width="15.42578125" style="151" bestFit="1" customWidth="1"/>
    <col min="2053" max="2053" width="15" style="151" bestFit="1" customWidth="1"/>
    <col min="2054" max="2054" width="16.5703125" style="151" customWidth="1"/>
    <col min="2055" max="2055" width="17.5703125" style="151" customWidth="1"/>
    <col min="2056" max="2056" width="9.140625" style="151" customWidth="1"/>
    <col min="2057" max="2057" width="14.140625" style="151" bestFit="1" customWidth="1"/>
    <col min="2058" max="2303" width="9.140625" style="151" customWidth="1"/>
    <col min="2304" max="2304" width="6.7109375" style="151"/>
    <col min="2305" max="2305" width="6.7109375" style="151" customWidth="1"/>
    <col min="2306" max="2306" width="15" style="151" customWidth="1"/>
    <col min="2307" max="2307" width="15" style="151" bestFit="1" customWidth="1"/>
    <col min="2308" max="2308" width="15.42578125" style="151" bestFit="1" customWidth="1"/>
    <col min="2309" max="2309" width="15" style="151" bestFit="1" customWidth="1"/>
    <col min="2310" max="2310" width="16.5703125" style="151" customWidth="1"/>
    <col min="2311" max="2311" width="17.5703125" style="151" customWidth="1"/>
    <col min="2312" max="2312" width="9.140625" style="151" customWidth="1"/>
    <col min="2313" max="2313" width="14.140625" style="151" bestFit="1" customWidth="1"/>
    <col min="2314" max="2559" width="9.140625" style="151" customWidth="1"/>
    <col min="2560" max="2560" width="6.7109375" style="151"/>
    <col min="2561" max="2561" width="6.7109375" style="151" customWidth="1"/>
    <col min="2562" max="2562" width="15" style="151" customWidth="1"/>
    <col min="2563" max="2563" width="15" style="151" bestFit="1" customWidth="1"/>
    <col min="2564" max="2564" width="15.42578125" style="151" bestFit="1" customWidth="1"/>
    <col min="2565" max="2565" width="15" style="151" bestFit="1" customWidth="1"/>
    <col min="2566" max="2566" width="16.5703125" style="151" customWidth="1"/>
    <col min="2567" max="2567" width="17.5703125" style="151" customWidth="1"/>
    <col min="2568" max="2568" width="9.140625" style="151" customWidth="1"/>
    <col min="2569" max="2569" width="14.140625" style="151" bestFit="1" customWidth="1"/>
    <col min="2570" max="2815" width="9.140625" style="151" customWidth="1"/>
    <col min="2816" max="2816" width="6.7109375" style="151"/>
    <col min="2817" max="2817" width="6.7109375" style="151" customWidth="1"/>
    <col min="2818" max="2818" width="15" style="151" customWidth="1"/>
    <col min="2819" max="2819" width="15" style="151" bestFit="1" customWidth="1"/>
    <col min="2820" max="2820" width="15.42578125" style="151" bestFit="1" customWidth="1"/>
    <col min="2821" max="2821" width="15" style="151" bestFit="1" customWidth="1"/>
    <col min="2822" max="2822" width="16.5703125" style="151" customWidth="1"/>
    <col min="2823" max="2823" width="17.5703125" style="151" customWidth="1"/>
    <col min="2824" max="2824" width="9.140625" style="151" customWidth="1"/>
    <col min="2825" max="2825" width="14.140625" style="151" bestFit="1" customWidth="1"/>
    <col min="2826" max="3071" width="9.140625" style="151" customWidth="1"/>
    <col min="3072" max="3072" width="6.7109375" style="151"/>
    <col min="3073" max="3073" width="6.7109375" style="151" customWidth="1"/>
    <col min="3074" max="3074" width="15" style="151" customWidth="1"/>
    <col min="3075" max="3075" width="15" style="151" bestFit="1" customWidth="1"/>
    <col min="3076" max="3076" width="15.42578125" style="151" bestFit="1" customWidth="1"/>
    <col min="3077" max="3077" width="15" style="151" bestFit="1" customWidth="1"/>
    <col min="3078" max="3078" width="16.5703125" style="151" customWidth="1"/>
    <col min="3079" max="3079" width="17.5703125" style="151" customWidth="1"/>
    <col min="3080" max="3080" width="9.140625" style="151" customWidth="1"/>
    <col min="3081" max="3081" width="14.140625" style="151" bestFit="1" customWidth="1"/>
    <col min="3082" max="3327" width="9.140625" style="151" customWidth="1"/>
    <col min="3328" max="3328" width="6.7109375" style="151"/>
    <col min="3329" max="3329" width="6.7109375" style="151" customWidth="1"/>
    <col min="3330" max="3330" width="15" style="151" customWidth="1"/>
    <col min="3331" max="3331" width="15" style="151" bestFit="1" customWidth="1"/>
    <col min="3332" max="3332" width="15.42578125" style="151" bestFit="1" customWidth="1"/>
    <col min="3333" max="3333" width="15" style="151" bestFit="1" customWidth="1"/>
    <col min="3334" max="3334" width="16.5703125" style="151" customWidth="1"/>
    <col min="3335" max="3335" width="17.5703125" style="151" customWidth="1"/>
    <col min="3336" max="3336" width="9.140625" style="151" customWidth="1"/>
    <col min="3337" max="3337" width="14.140625" style="151" bestFit="1" customWidth="1"/>
    <col min="3338" max="3583" width="9.140625" style="151" customWidth="1"/>
    <col min="3584" max="3584" width="6.7109375" style="151"/>
    <col min="3585" max="3585" width="6.7109375" style="151" customWidth="1"/>
    <col min="3586" max="3586" width="15" style="151" customWidth="1"/>
    <col min="3587" max="3587" width="15" style="151" bestFit="1" customWidth="1"/>
    <col min="3588" max="3588" width="15.42578125" style="151" bestFit="1" customWidth="1"/>
    <col min="3589" max="3589" width="15" style="151" bestFit="1" customWidth="1"/>
    <col min="3590" max="3590" width="16.5703125" style="151" customWidth="1"/>
    <col min="3591" max="3591" width="17.5703125" style="151" customWidth="1"/>
    <col min="3592" max="3592" width="9.140625" style="151" customWidth="1"/>
    <col min="3593" max="3593" width="14.140625" style="151" bestFit="1" customWidth="1"/>
    <col min="3594" max="3839" width="9.140625" style="151" customWidth="1"/>
    <col min="3840" max="3840" width="6.7109375" style="151"/>
    <col min="3841" max="3841" width="6.7109375" style="151" customWidth="1"/>
    <col min="3842" max="3842" width="15" style="151" customWidth="1"/>
    <col min="3843" max="3843" width="15" style="151" bestFit="1" customWidth="1"/>
    <col min="3844" max="3844" width="15.42578125" style="151" bestFit="1" customWidth="1"/>
    <col min="3845" max="3845" width="15" style="151" bestFit="1" customWidth="1"/>
    <col min="3846" max="3846" width="16.5703125" style="151" customWidth="1"/>
    <col min="3847" max="3847" width="17.5703125" style="151" customWidth="1"/>
    <col min="3848" max="3848" width="9.140625" style="151" customWidth="1"/>
    <col min="3849" max="3849" width="14.140625" style="151" bestFit="1" customWidth="1"/>
    <col min="3850" max="4095" width="9.140625" style="151" customWidth="1"/>
    <col min="4096" max="4096" width="6.7109375" style="151"/>
    <col min="4097" max="4097" width="6.7109375" style="151" customWidth="1"/>
    <col min="4098" max="4098" width="15" style="151" customWidth="1"/>
    <col min="4099" max="4099" width="15" style="151" bestFit="1" customWidth="1"/>
    <col min="4100" max="4100" width="15.42578125" style="151" bestFit="1" customWidth="1"/>
    <col min="4101" max="4101" width="15" style="151" bestFit="1" customWidth="1"/>
    <col min="4102" max="4102" width="16.5703125" style="151" customWidth="1"/>
    <col min="4103" max="4103" width="17.5703125" style="151" customWidth="1"/>
    <col min="4104" max="4104" width="9.140625" style="151" customWidth="1"/>
    <col min="4105" max="4105" width="14.140625" style="151" bestFit="1" customWidth="1"/>
    <col min="4106" max="4351" width="9.140625" style="151" customWidth="1"/>
    <col min="4352" max="4352" width="6.7109375" style="151"/>
    <col min="4353" max="4353" width="6.7109375" style="151" customWidth="1"/>
    <col min="4354" max="4354" width="15" style="151" customWidth="1"/>
    <col min="4355" max="4355" width="15" style="151" bestFit="1" customWidth="1"/>
    <col min="4356" max="4356" width="15.42578125" style="151" bestFit="1" customWidth="1"/>
    <col min="4357" max="4357" width="15" style="151" bestFit="1" customWidth="1"/>
    <col min="4358" max="4358" width="16.5703125" style="151" customWidth="1"/>
    <col min="4359" max="4359" width="17.5703125" style="151" customWidth="1"/>
    <col min="4360" max="4360" width="9.140625" style="151" customWidth="1"/>
    <col min="4361" max="4361" width="14.140625" style="151" bestFit="1" customWidth="1"/>
    <col min="4362" max="4607" width="9.140625" style="151" customWidth="1"/>
    <col min="4608" max="4608" width="6.7109375" style="151"/>
    <col min="4609" max="4609" width="6.7109375" style="151" customWidth="1"/>
    <col min="4610" max="4610" width="15" style="151" customWidth="1"/>
    <col min="4611" max="4611" width="15" style="151" bestFit="1" customWidth="1"/>
    <col min="4612" max="4612" width="15.42578125" style="151" bestFit="1" customWidth="1"/>
    <col min="4613" max="4613" width="15" style="151" bestFit="1" customWidth="1"/>
    <col min="4614" max="4614" width="16.5703125" style="151" customWidth="1"/>
    <col min="4615" max="4615" width="17.5703125" style="151" customWidth="1"/>
    <col min="4616" max="4616" width="9.140625" style="151" customWidth="1"/>
    <col min="4617" max="4617" width="14.140625" style="151" bestFit="1" customWidth="1"/>
    <col min="4618" max="4863" width="9.140625" style="151" customWidth="1"/>
    <col min="4864" max="4864" width="6.7109375" style="151"/>
    <col min="4865" max="4865" width="6.7109375" style="151" customWidth="1"/>
    <col min="4866" max="4866" width="15" style="151" customWidth="1"/>
    <col min="4867" max="4867" width="15" style="151" bestFit="1" customWidth="1"/>
    <col min="4868" max="4868" width="15.42578125" style="151" bestFit="1" customWidth="1"/>
    <col min="4869" max="4869" width="15" style="151" bestFit="1" customWidth="1"/>
    <col min="4870" max="4870" width="16.5703125" style="151" customWidth="1"/>
    <col min="4871" max="4871" width="17.5703125" style="151" customWidth="1"/>
    <col min="4872" max="4872" width="9.140625" style="151" customWidth="1"/>
    <col min="4873" max="4873" width="14.140625" style="151" bestFit="1" customWidth="1"/>
    <col min="4874" max="5119" width="9.140625" style="151" customWidth="1"/>
    <col min="5120" max="5120" width="6.7109375" style="151"/>
    <col min="5121" max="5121" width="6.7109375" style="151" customWidth="1"/>
    <col min="5122" max="5122" width="15" style="151" customWidth="1"/>
    <col min="5123" max="5123" width="15" style="151" bestFit="1" customWidth="1"/>
    <col min="5124" max="5124" width="15.42578125" style="151" bestFit="1" customWidth="1"/>
    <col min="5125" max="5125" width="15" style="151" bestFit="1" customWidth="1"/>
    <col min="5126" max="5126" width="16.5703125" style="151" customWidth="1"/>
    <col min="5127" max="5127" width="17.5703125" style="151" customWidth="1"/>
    <col min="5128" max="5128" width="9.140625" style="151" customWidth="1"/>
    <col min="5129" max="5129" width="14.140625" style="151" bestFit="1" customWidth="1"/>
    <col min="5130" max="5375" width="9.140625" style="151" customWidth="1"/>
    <col min="5376" max="5376" width="6.7109375" style="151"/>
    <col min="5377" max="5377" width="6.7109375" style="151" customWidth="1"/>
    <col min="5378" max="5378" width="15" style="151" customWidth="1"/>
    <col min="5379" max="5379" width="15" style="151" bestFit="1" customWidth="1"/>
    <col min="5380" max="5380" width="15.42578125" style="151" bestFit="1" customWidth="1"/>
    <col min="5381" max="5381" width="15" style="151" bestFit="1" customWidth="1"/>
    <col min="5382" max="5382" width="16.5703125" style="151" customWidth="1"/>
    <col min="5383" max="5383" width="17.5703125" style="151" customWidth="1"/>
    <col min="5384" max="5384" width="9.140625" style="151" customWidth="1"/>
    <col min="5385" max="5385" width="14.140625" style="151" bestFit="1" customWidth="1"/>
    <col min="5386" max="5631" width="9.140625" style="151" customWidth="1"/>
    <col min="5632" max="5632" width="6.7109375" style="151"/>
    <col min="5633" max="5633" width="6.7109375" style="151" customWidth="1"/>
    <col min="5634" max="5634" width="15" style="151" customWidth="1"/>
    <col min="5635" max="5635" width="15" style="151" bestFit="1" customWidth="1"/>
    <col min="5636" max="5636" width="15.42578125" style="151" bestFit="1" customWidth="1"/>
    <col min="5637" max="5637" width="15" style="151" bestFit="1" customWidth="1"/>
    <col min="5638" max="5638" width="16.5703125" style="151" customWidth="1"/>
    <col min="5639" max="5639" width="17.5703125" style="151" customWidth="1"/>
    <col min="5640" max="5640" width="9.140625" style="151" customWidth="1"/>
    <col min="5641" max="5641" width="14.140625" style="151" bestFit="1" customWidth="1"/>
    <col min="5642" max="5887" width="9.140625" style="151" customWidth="1"/>
    <col min="5888" max="5888" width="6.7109375" style="151"/>
    <col min="5889" max="5889" width="6.7109375" style="151" customWidth="1"/>
    <col min="5890" max="5890" width="15" style="151" customWidth="1"/>
    <col min="5891" max="5891" width="15" style="151" bestFit="1" customWidth="1"/>
    <col min="5892" max="5892" width="15.42578125" style="151" bestFit="1" customWidth="1"/>
    <col min="5893" max="5893" width="15" style="151" bestFit="1" customWidth="1"/>
    <col min="5894" max="5894" width="16.5703125" style="151" customWidth="1"/>
    <col min="5895" max="5895" width="17.5703125" style="151" customWidth="1"/>
    <col min="5896" max="5896" width="9.140625" style="151" customWidth="1"/>
    <col min="5897" max="5897" width="14.140625" style="151" bestFit="1" customWidth="1"/>
    <col min="5898" max="6143" width="9.140625" style="151" customWidth="1"/>
    <col min="6144" max="6144" width="6.7109375" style="151"/>
    <col min="6145" max="6145" width="6.7109375" style="151" customWidth="1"/>
    <col min="6146" max="6146" width="15" style="151" customWidth="1"/>
    <col min="6147" max="6147" width="15" style="151" bestFit="1" customWidth="1"/>
    <col min="6148" max="6148" width="15.42578125" style="151" bestFit="1" customWidth="1"/>
    <col min="6149" max="6149" width="15" style="151" bestFit="1" customWidth="1"/>
    <col min="6150" max="6150" width="16.5703125" style="151" customWidth="1"/>
    <col min="6151" max="6151" width="17.5703125" style="151" customWidth="1"/>
    <col min="6152" max="6152" width="9.140625" style="151" customWidth="1"/>
    <col min="6153" max="6153" width="14.140625" style="151" bestFit="1" customWidth="1"/>
    <col min="6154" max="6399" width="9.140625" style="151" customWidth="1"/>
    <col min="6400" max="6400" width="6.7109375" style="151"/>
    <col min="6401" max="6401" width="6.7109375" style="151" customWidth="1"/>
    <col min="6402" max="6402" width="15" style="151" customWidth="1"/>
    <col min="6403" max="6403" width="15" style="151" bestFit="1" customWidth="1"/>
    <col min="6404" max="6404" width="15.42578125" style="151" bestFit="1" customWidth="1"/>
    <col min="6405" max="6405" width="15" style="151" bestFit="1" customWidth="1"/>
    <col min="6406" max="6406" width="16.5703125" style="151" customWidth="1"/>
    <col min="6407" max="6407" width="17.5703125" style="151" customWidth="1"/>
    <col min="6408" max="6408" width="9.140625" style="151" customWidth="1"/>
    <col min="6409" max="6409" width="14.140625" style="151" bestFit="1" customWidth="1"/>
    <col min="6410" max="6655" width="9.140625" style="151" customWidth="1"/>
    <col min="6656" max="6656" width="6.7109375" style="151"/>
    <col min="6657" max="6657" width="6.7109375" style="151" customWidth="1"/>
    <col min="6658" max="6658" width="15" style="151" customWidth="1"/>
    <col min="6659" max="6659" width="15" style="151" bestFit="1" customWidth="1"/>
    <col min="6660" max="6660" width="15.42578125" style="151" bestFit="1" customWidth="1"/>
    <col min="6661" max="6661" width="15" style="151" bestFit="1" customWidth="1"/>
    <col min="6662" max="6662" width="16.5703125" style="151" customWidth="1"/>
    <col min="6663" max="6663" width="17.5703125" style="151" customWidth="1"/>
    <col min="6664" max="6664" width="9.140625" style="151" customWidth="1"/>
    <col min="6665" max="6665" width="14.140625" style="151" bestFit="1" customWidth="1"/>
    <col min="6666" max="6911" width="9.140625" style="151" customWidth="1"/>
    <col min="6912" max="6912" width="6.7109375" style="151"/>
    <col min="6913" max="6913" width="6.7109375" style="151" customWidth="1"/>
    <col min="6914" max="6914" width="15" style="151" customWidth="1"/>
    <col min="6915" max="6915" width="15" style="151" bestFit="1" customWidth="1"/>
    <col min="6916" max="6916" width="15.42578125" style="151" bestFit="1" customWidth="1"/>
    <col min="6917" max="6917" width="15" style="151" bestFit="1" customWidth="1"/>
    <col min="6918" max="6918" width="16.5703125" style="151" customWidth="1"/>
    <col min="6919" max="6919" width="17.5703125" style="151" customWidth="1"/>
    <col min="6920" max="6920" width="9.140625" style="151" customWidth="1"/>
    <col min="6921" max="6921" width="14.140625" style="151" bestFit="1" customWidth="1"/>
    <col min="6922" max="7167" width="9.140625" style="151" customWidth="1"/>
    <col min="7168" max="7168" width="6.7109375" style="151"/>
    <col min="7169" max="7169" width="6.7109375" style="151" customWidth="1"/>
    <col min="7170" max="7170" width="15" style="151" customWidth="1"/>
    <col min="7171" max="7171" width="15" style="151" bestFit="1" customWidth="1"/>
    <col min="7172" max="7172" width="15.42578125" style="151" bestFit="1" customWidth="1"/>
    <col min="7173" max="7173" width="15" style="151" bestFit="1" customWidth="1"/>
    <col min="7174" max="7174" width="16.5703125" style="151" customWidth="1"/>
    <col min="7175" max="7175" width="17.5703125" style="151" customWidth="1"/>
    <col min="7176" max="7176" width="9.140625" style="151" customWidth="1"/>
    <col min="7177" max="7177" width="14.140625" style="151" bestFit="1" customWidth="1"/>
    <col min="7178" max="7423" width="9.140625" style="151" customWidth="1"/>
    <col min="7424" max="7424" width="6.7109375" style="151"/>
    <col min="7425" max="7425" width="6.7109375" style="151" customWidth="1"/>
    <col min="7426" max="7426" width="15" style="151" customWidth="1"/>
    <col min="7427" max="7427" width="15" style="151" bestFit="1" customWidth="1"/>
    <col min="7428" max="7428" width="15.42578125" style="151" bestFit="1" customWidth="1"/>
    <col min="7429" max="7429" width="15" style="151" bestFit="1" customWidth="1"/>
    <col min="7430" max="7430" width="16.5703125" style="151" customWidth="1"/>
    <col min="7431" max="7431" width="17.5703125" style="151" customWidth="1"/>
    <col min="7432" max="7432" width="9.140625" style="151" customWidth="1"/>
    <col min="7433" max="7433" width="14.140625" style="151" bestFit="1" customWidth="1"/>
    <col min="7434" max="7679" width="9.140625" style="151" customWidth="1"/>
    <col min="7680" max="7680" width="6.7109375" style="151"/>
    <col min="7681" max="7681" width="6.7109375" style="151" customWidth="1"/>
    <col min="7682" max="7682" width="15" style="151" customWidth="1"/>
    <col min="7683" max="7683" width="15" style="151" bestFit="1" customWidth="1"/>
    <col min="7684" max="7684" width="15.42578125" style="151" bestFit="1" customWidth="1"/>
    <col min="7685" max="7685" width="15" style="151" bestFit="1" customWidth="1"/>
    <col min="7686" max="7686" width="16.5703125" style="151" customWidth="1"/>
    <col min="7687" max="7687" width="17.5703125" style="151" customWidth="1"/>
    <col min="7688" max="7688" width="9.140625" style="151" customWidth="1"/>
    <col min="7689" max="7689" width="14.140625" style="151" bestFit="1" customWidth="1"/>
    <col min="7690" max="7935" width="9.140625" style="151" customWidth="1"/>
    <col min="7936" max="7936" width="6.7109375" style="151"/>
    <col min="7937" max="7937" width="6.7109375" style="151" customWidth="1"/>
    <col min="7938" max="7938" width="15" style="151" customWidth="1"/>
    <col min="7939" max="7939" width="15" style="151" bestFit="1" customWidth="1"/>
    <col min="7940" max="7940" width="15.42578125" style="151" bestFit="1" customWidth="1"/>
    <col min="7941" max="7941" width="15" style="151" bestFit="1" customWidth="1"/>
    <col min="7942" max="7942" width="16.5703125" style="151" customWidth="1"/>
    <col min="7943" max="7943" width="17.5703125" style="151" customWidth="1"/>
    <col min="7944" max="7944" width="9.140625" style="151" customWidth="1"/>
    <col min="7945" max="7945" width="14.140625" style="151" bestFit="1" customWidth="1"/>
    <col min="7946" max="8191" width="9.140625" style="151" customWidth="1"/>
    <col min="8192" max="8192" width="6.7109375" style="151"/>
    <col min="8193" max="8193" width="6.7109375" style="151" customWidth="1"/>
    <col min="8194" max="8194" width="15" style="151" customWidth="1"/>
    <col min="8195" max="8195" width="15" style="151" bestFit="1" customWidth="1"/>
    <col min="8196" max="8196" width="15.42578125" style="151" bestFit="1" customWidth="1"/>
    <col min="8197" max="8197" width="15" style="151" bestFit="1" customWidth="1"/>
    <col min="8198" max="8198" width="16.5703125" style="151" customWidth="1"/>
    <col min="8199" max="8199" width="17.5703125" style="151" customWidth="1"/>
    <col min="8200" max="8200" width="9.140625" style="151" customWidth="1"/>
    <col min="8201" max="8201" width="14.140625" style="151" bestFit="1" customWidth="1"/>
    <col min="8202" max="8447" width="9.140625" style="151" customWidth="1"/>
    <col min="8448" max="8448" width="6.7109375" style="151"/>
    <col min="8449" max="8449" width="6.7109375" style="151" customWidth="1"/>
    <col min="8450" max="8450" width="15" style="151" customWidth="1"/>
    <col min="8451" max="8451" width="15" style="151" bestFit="1" customWidth="1"/>
    <col min="8452" max="8452" width="15.42578125" style="151" bestFit="1" customWidth="1"/>
    <col min="8453" max="8453" width="15" style="151" bestFit="1" customWidth="1"/>
    <col min="8454" max="8454" width="16.5703125" style="151" customWidth="1"/>
    <col min="8455" max="8455" width="17.5703125" style="151" customWidth="1"/>
    <col min="8456" max="8456" width="9.140625" style="151" customWidth="1"/>
    <col min="8457" max="8457" width="14.140625" style="151" bestFit="1" customWidth="1"/>
    <col min="8458" max="8703" width="9.140625" style="151" customWidth="1"/>
    <col min="8704" max="8704" width="6.7109375" style="151"/>
    <col min="8705" max="8705" width="6.7109375" style="151" customWidth="1"/>
    <col min="8706" max="8706" width="15" style="151" customWidth="1"/>
    <col min="8707" max="8707" width="15" style="151" bestFit="1" customWidth="1"/>
    <col min="8708" max="8708" width="15.42578125" style="151" bestFit="1" customWidth="1"/>
    <col min="8709" max="8709" width="15" style="151" bestFit="1" customWidth="1"/>
    <col min="8710" max="8710" width="16.5703125" style="151" customWidth="1"/>
    <col min="8711" max="8711" width="17.5703125" style="151" customWidth="1"/>
    <col min="8712" max="8712" width="9.140625" style="151" customWidth="1"/>
    <col min="8713" max="8713" width="14.140625" style="151" bestFit="1" customWidth="1"/>
    <col min="8714" max="8959" width="9.140625" style="151" customWidth="1"/>
    <col min="8960" max="8960" width="6.7109375" style="151"/>
    <col min="8961" max="8961" width="6.7109375" style="151" customWidth="1"/>
    <col min="8962" max="8962" width="15" style="151" customWidth="1"/>
    <col min="8963" max="8963" width="15" style="151" bestFit="1" customWidth="1"/>
    <col min="8964" max="8964" width="15.42578125" style="151" bestFit="1" customWidth="1"/>
    <col min="8965" max="8965" width="15" style="151" bestFit="1" customWidth="1"/>
    <col min="8966" max="8966" width="16.5703125" style="151" customWidth="1"/>
    <col min="8967" max="8967" width="17.5703125" style="151" customWidth="1"/>
    <col min="8968" max="8968" width="9.140625" style="151" customWidth="1"/>
    <col min="8969" max="8969" width="14.140625" style="151" bestFit="1" customWidth="1"/>
    <col min="8970" max="9215" width="9.140625" style="151" customWidth="1"/>
    <col min="9216" max="9216" width="6.7109375" style="151"/>
    <col min="9217" max="9217" width="6.7109375" style="151" customWidth="1"/>
    <col min="9218" max="9218" width="15" style="151" customWidth="1"/>
    <col min="9219" max="9219" width="15" style="151" bestFit="1" customWidth="1"/>
    <col min="9220" max="9220" width="15.42578125" style="151" bestFit="1" customWidth="1"/>
    <col min="9221" max="9221" width="15" style="151" bestFit="1" customWidth="1"/>
    <col min="9222" max="9222" width="16.5703125" style="151" customWidth="1"/>
    <col min="9223" max="9223" width="17.5703125" style="151" customWidth="1"/>
    <col min="9224" max="9224" width="9.140625" style="151" customWidth="1"/>
    <col min="9225" max="9225" width="14.140625" style="151" bestFit="1" customWidth="1"/>
    <col min="9226" max="9471" width="9.140625" style="151" customWidth="1"/>
    <col min="9472" max="9472" width="6.7109375" style="151"/>
    <col min="9473" max="9473" width="6.7109375" style="151" customWidth="1"/>
    <col min="9474" max="9474" width="15" style="151" customWidth="1"/>
    <col min="9475" max="9475" width="15" style="151" bestFit="1" customWidth="1"/>
    <col min="9476" max="9476" width="15.42578125" style="151" bestFit="1" customWidth="1"/>
    <col min="9477" max="9477" width="15" style="151" bestFit="1" customWidth="1"/>
    <col min="9478" max="9478" width="16.5703125" style="151" customWidth="1"/>
    <col min="9479" max="9479" width="17.5703125" style="151" customWidth="1"/>
    <col min="9480" max="9480" width="9.140625" style="151" customWidth="1"/>
    <col min="9481" max="9481" width="14.140625" style="151" bestFit="1" customWidth="1"/>
    <col min="9482" max="9727" width="9.140625" style="151" customWidth="1"/>
    <col min="9728" max="9728" width="6.7109375" style="151"/>
    <col min="9729" max="9729" width="6.7109375" style="151" customWidth="1"/>
    <col min="9730" max="9730" width="15" style="151" customWidth="1"/>
    <col min="9731" max="9731" width="15" style="151" bestFit="1" customWidth="1"/>
    <col min="9732" max="9732" width="15.42578125" style="151" bestFit="1" customWidth="1"/>
    <col min="9733" max="9733" width="15" style="151" bestFit="1" customWidth="1"/>
    <col min="9734" max="9734" width="16.5703125" style="151" customWidth="1"/>
    <col min="9735" max="9735" width="17.5703125" style="151" customWidth="1"/>
    <col min="9736" max="9736" width="9.140625" style="151" customWidth="1"/>
    <col min="9737" max="9737" width="14.140625" style="151" bestFit="1" customWidth="1"/>
    <col min="9738" max="9983" width="9.140625" style="151" customWidth="1"/>
    <col min="9984" max="9984" width="6.7109375" style="151"/>
    <col min="9985" max="9985" width="6.7109375" style="151" customWidth="1"/>
    <col min="9986" max="9986" width="15" style="151" customWidth="1"/>
    <col min="9987" max="9987" width="15" style="151" bestFit="1" customWidth="1"/>
    <col min="9988" max="9988" width="15.42578125" style="151" bestFit="1" customWidth="1"/>
    <col min="9989" max="9989" width="15" style="151" bestFit="1" customWidth="1"/>
    <col min="9990" max="9990" width="16.5703125" style="151" customWidth="1"/>
    <col min="9991" max="9991" width="17.5703125" style="151" customWidth="1"/>
    <col min="9992" max="9992" width="9.140625" style="151" customWidth="1"/>
    <col min="9993" max="9993" width="14.140625" style="151" bestFit="1" customWidth="1"/>
    <col min="9994" max="10239" width="9.140625" style="151" customWidth="1"/>
    <col min="10240" max="10240" width="6.7109375" style="151"/>
    <col min="10241" max="10241" width="6.7109375" style="151" customWidth="1"/>
    <col min="10242" max="10242" width="15" style="151" customWidth="1"/>
    <col min="10243" max="10243" width="15" style="151" bestFit="1" customWidth="1"/>
    <col min="10244" max="10244" width="15.42578125" style="151" bestFit="1" customWidth="1"/>
    <col min="10245" max="10245" width="15" style="151" bestFit="1" customWidth="1"/>
    <col min="10246" max="10246" width="16.5703125" style="151" customWidth="1"/>
    <col min="10247" max="10247" width="17.5703125" style="151" customWidth="1"/>
    <col min="10248" max="10248" width="9.140625" style="151" customWidth="1"/>
    <col min="10249" max="10249" width="14.140625" style="151" bestFit="1" customWidth="1"/>
    <col min="10250" max="10495" width="9.140625" style="151" customWidth="1"/>
    <col min="10496" max="10496" width="6.7109375" style="151"/>
    <col min="10497" max="10497" width="6.7109375" style="151" customWidth="1"/>
    <col min="10498" max="10498" width="15" style="151" customWidth="1"/>
    <col min="10499" max="10499" width="15" style="151" bestFit="1" customWidth="1"/>
    <col min="10500" max="10500" width="15.42578125" style="151" bestFit="1" customWidth="1"/>
    <col min="10501" max="10501" width="15" style="151" bestFit="1" customWidth="1"/>
    <col min="10502" max="10502" width="16.5703125" style="151" customWidth="1"/>
    <col min="10503" max="10503" width="17.5703125" style="151" customWidth="1"/>
    <col min="10504" max="10504" width="9.140625" style="151" customWidth="1"/>
    <col min="10505" max="10505" width="14.140625" style="151" bestFit="1" customWidth="1"/>
    <col min="10506" max="10751" width="9.140625" style="151" customWidth="1"/>
    <col min="10752" max="10752" width="6.7109375" style="151"/>
    <col min="10753" max="10753" width="6.7109375" style="151" customWidth="1"/>
    <col min="10754" max="10754" width="15" style="151" customWidth="1"/>
    <col min="10755" max="10755" width="15" style="151" bestFit="1" customWidth="1"/>
    <col min="10756" max="10756" width="15.42578125" style="151" bestFit="1" customWidth="1"/>
    <col min="10757" max="10757" width="15" style="151" bestFit="1" customWidth="1"/>
    <col min="10758" max="10758" width="16.5703125" style="151" customWidth="1"/>
    <col min="10759" max="10759" width="17.5703125" style="151" customWidth="1"/>
    <col min="10760" max="10760" width="9.140625" style="151" customWidth="1"/>
    <col min="10761" max="10761" width="14.140625" style="151" bestFit="1" customWidth="1"/>
    <col min="10762" max="11007" width="9.140625" style="151" customWidth="1"/>
    <col min="11008" max="11008" width="6.7109375" style="151"/>
    <col min="11009" max="11009" width="6.7109375" style="151" customWidth="1"/>
    <col min="11010" max="11010" width="15" style="151" customWidth="1"/>
    <col min="11011" max="11011" width="15" style="151" bestFit="1" customWidth="1"/>
    <col min="11012" max="11012" width="15.42578125" style="151" bestFit="1" customWidth="1"/>
    <col min="11013" max="11013" width="15" style="151" bestFit="1" customWidth="1"/>
    <col min="11014" max="11014" width="16.5703125" style="151" customWidth="1"/>
    <col min="11015" max="11015" width="17.5703125" style="151" customWidth="1"/>
    <col min="11016" max="11016" width="9.140625" style="151" customWidth="1"/>
    <col min="11017" max="11017" width="14.140625" style="151" bestFit="1" customWidth="1"/>
    <col min="11018" max="11263" width="9.140625" style="151" customWidth="1"/>
    <col min="11264" max="11264" width="6.7109375" style="151"/>
    <col min="11265" max="11265" width="6.7109375" style="151" customWidth="1"/>
    <col min="11266" max="11266" width="15" style="151" customWidth="1"/>
    <col min="11267" max="11267" width="15" style="151" bestFit="1" customWidth="1"/>
    <col min="11268" max="11268" width="15.42578125" style="151" bestFit="1" customWidth="1"/>
    <col min="11269" max="11269" width="15" style="151" bestFit="1" customWidth="1"/>
    <col min="11270" max="11270" width="16.5703125" style="151" customWidth="1"/>
    <col min="11271" max="11271" width="17.5703125" style="151" customWidth="1"/>
    <col min="11272" max="11272" width="9.140625" style="151" customWidth="1"/>
    <col min="11273" max="11273" width="14.140625" style="151" bestFit="1" customWidth="1"/>
    <col min="11274" max="11519" width="9.140625" style="151" customWidth="1"/>
    <col min="11520" max="11520" width="6.7109375" style="151"/>
    <col min="11521" max="11521" width="6.7109375" style="151" customWidth="1"/>
    <col min="11522" max="11522" width="15" style="151" customWidth="1"/>
    <col min="11523" max="11523" width="15" style="151" bestFit="1" customWidth="1"/>
    <col min="11524" max="11524" width="15.42578125" style="151" bestFit="1" customWidth="1"/>
    <col min="11525" max="11525" width="15" style="151" bestFit="1" customWidth="1"/>
    <col min="11526" max="11526" width="16.5703125" style="151" customWidth="1"/>
    <col min="11527" max="11527" width="17.5703125" style="151" customWidth="1"/>
    <col min="11528" max="11528" width="9.140625" style="151" customWidth="1"/>
    <col min="11529" max="11529" width="14.140625" style="151" bestFit="1" customWidth="1"/>
    <col min="11530" max="11775" width="9.140625" style="151" customWidth="1"/>
    <col min="11776" max="11776" width="6.7109375" style="151"/>
    <col min="11777" max="11777" width="6.7109375" style="151" customWidth="1"/>
    <col min="11778" max="11778" width="15" style="151" customWidth="1"/>
    <col min="11779" max="11779" width="15" style="151" bestFit="1" customWidth="1"/>
    <col min="11780" max="11780" width="15.42578125" style="151" bestFit="1" customWidth="1"/>
    <col min="11781" max="11781" width="15" style="151" bestFit="1" customWidth="1"/>
    <col min="11782" max="11782" width="16.5703125" style="151" customWidth="1"/>
    <col min="11783" max="11783" width="17.5703125" style="151" customWidth="1"/>
    <col min="11784" max="11784" width="9.140625" style="151" customWidth="1"/>
    <col min="11785" max="11785" width="14.140625" style="151" bestFit="1" customWidth="1"/>
    <col min="11786" max="12031" width="9.140625" style="151" customWidth="1"/>
    <col min="12032" max="12032" width="6.7109375" style="151"/>
    <col min="12033" max="12033" width="6.7109375" style="151" customWidth="1"/>
    <col min="12034" max="12034" width="15" style="151" customWidth="1"/>
    <col min="12035" max="12035" width="15" style="151" bestFit="1" customWidth="1"/>
    <col min="12036" max="12036" width="15.42578125" style="151" bestFit="1" customWidth="1"/>
    <col min="12037" max="12037" width="15" style="151" bestFit="1" customWidth="1"/>
    <col min="12038" max="12038" width="16.5703125" style="151" customWidth="1"/>
    <col min="12039" max="12039" width="17.5703125" style="151" customWidth="1"/>
    <col min="12040" max="12040" width="9.140625" style="151" customWidth="1"/>
    <col min="12041" max="12041" width="14.140625" style="151" bestFit="1" customWidth="1"/>
    <col min="12042" max="12287" width="9.140625" style="151" customWidth="1"/>
    <col min="12288" max="12288" width="6.7109375" style="151"/>
    <col min="12289" max="12289" width="6.7109375" style="151" customWidth="1"/>
    <col min="12290" max="12290" width="15" style="151" customWidth="1"/>
    <col min="12291" max="12291" width="15" style="151" bestFit="1" customWidth="1"/>
    <col min="12292" max="12292" width="15.42578125" style="151" bestFit="1" customWidth="1"/>
    <col min="12293" max="12293" width="15" style="151" bestFit="1" customWidth="1"/>
    <col min="12294" max="12294" width="16.5703125" style="151" customWidth="1"/>
    <col min="12295" max="12295" width="17.5703125" style="151" customWidth="1"/>
    <col min="12296" max="12296" width="9.140625" style="151" customWidth="1"/>
    <col min="12297" max="12297" width="14.140625" style="151" bestFit="1" customWidth="1"/>
    <col min="12298" max="12543" width="9.140625" style="151" customWidth="1"/>
    <col min="12544" max="12544" width="6.7109375" style="151"/>
    <col min="12545" max="12545" width="6.7109375" style="151" customWidth="1"/>
    <col min="12546" max="12546" width="15" style="151" customWidth="1"/>
    <col min="12547" max="12547" width="15" style="151" bestFit="1" customWidth="1"/>
    <col min="12548" max="12548" width="15.42578125" style="151" bestFit="1" customWidth="1"/>
    <col min="12549" max="12549" width="15" style="151" bestFit="1" customWidth="1"/>
    <col min="12550" max="12550" width="16.5703125" style="151" customWidth="1"/>
    <col min="12551" max="12551" width="17.5703125" style="151" customWidth="1"/>
    <col min="12552" max="12552" width="9.140625" style="151" customWidth="1"/>
    <col min="12553" max="12553" width="14.140625" style="151" bestFit="1" customWidth="1"/>
    <col min="12554" max="12799" width="9.140625" style="151" customWidth="1"/>
    <col min="12800" max="12800" width="6.7109375" style="151"/>
    <col min="12801" max="12801" width="6.7109375" style="151" customWidth="1"/>
    <col min="12802" max="12802" width="15" style="151" customWidth="1"/>
    <col min="12803" max="12803" width="15" style="151" bestFit="1" customWidth="1"/>
    <col min="12804" max="12804" width="15.42578125" style="151" bestFit="1" customWidth="1"/>
    <col min="12805" max="12805" width="15" style="151" bestFit="1" customWidth="1"/>
    <col min="12806" max="12806" width="16.5703125" style="151" customWidth="1"/>
    <col min="12807" max="12807" width="17.5703125" style="151" customWidth="1"/>
    <col min="12808" max="12808" width="9.140625" style="151" customWidth="1"/>
    <col min="12809" max="12809" width="14.140625" style="151" bestFit="1" customWidth="1"/>
    <col min="12810" max="13055" width="9.140625" style="151" customWidth="1"/>
    <col min="13056" max="13056" width="6.7109375" style="151"/>
    <col min="13057" max="13057" width="6.7109375" style="151" customWidth="1"/>
    <col min="13058" max="13058" width="15" style="151" customWidth="1"/>
    <col min="13059" max="13059" width="15" style="151" bestFit="1" customWidth="1"/>
    <col min="13060" max="13060" width="15.42578125" style="151" bestFit="1" customWidth="1"/>
    <col min="13061" max="13061" width="15" style="151" bestFit="1" customWidth="1"/>
    <col min="13062" max="13062" width="16.5703125" style="151" customWidth="1"/>
    <col min="13063" max="13063" width="17.5703125" style="151" customWidth="1"/>
    <col min="13064" max="13064" width="9.140625" style="151" customWidth="1"/>
    <col min="13065" max="13065" width="14.140625" style="151" bestFit="1" customWidth="1"/>
    <col min="13066" max="13311" width="9.140625" style="151" customWidth="1"/>
    <col min="13312" max="13312" width="6.7109375" style="151"/>
    <col min="13313" max="13313" width="6.7109375" style="151" customWidth="1"/>
    <col min="13314" max="13314" width="15" style="151" customWidth="1"/>
    <col min="13315" max="13315" width="15" style="151" bestFit="1" customWidth="1"/>
    <col min="13316" max="13316" width="15.42578125" style="151" bestFit="1" customWidth="1"/>
    <col min="13317" max="13317" width="15" style="151" bestFit="1" customWidth="1"/>
    <col min="13318" max="13318" width="16.5703125" style="151" customWidth="1"/>
    <col min="13319" max="13319" width="17.5703125" style="151" customWidth="1"/>
    <col min="13320" max="13320" width="9.140625" style="151" customWidth="1"/>
    <col min="13321" max="13321" width="14.140625" style="151" bestFit="1" customWidth="1"/>
    <col min="13322" max="13567" width="9.140625" style="151" customWidth="1"/>
    <col min="13568" max="13568" width="6.7109375" style="151"/>
    <col min="13569" max="13569" width="6.7109375" style="151" customWidth="1"/>
    <col min="13570" max="13570" width="15" style="151" customWidth="1"/>
    <col min="13571" max="13571" width="15" style="151" bestFit="1" customWidth="1"/>
    <col min="13572" max="13572" width="15.42578125" style="151" bestFit="1" customWidth="1"/>
    <col min="13573" max="13573" width="15" style="151" bestFit="1" customWidth="1"/>
    <col min="13574" max="13574" width="16.5703125" style="151" customWidth="1"/>
    <col min="13575" max="13575" width="17.5703125" style="151" customWidth="1"/>
    <col min="13576" max="13576" width="9.140625" style="151" customWidth="1"/>
    <col min="13577" max="13577" width="14.140625" style="151" bestFit="1" customWidth="1"/>
    <col min="13578" max="13823" width="9.140625" style="151" customWidth="1"/>
    <col min="13824" max="13824" width="6.7109375" style="151"/>
    <col min="13825" max="13825" width="6.7109375" style="151" customWidth="1"/>
    <col min="13826" max="13826" width="15" style="151" customWidth="1"/>
    <col min="13827" max="13827" width="15" style="151" bestFit="1" customWidth="1"/>
    <col min="13828" max="13828" width="15.42578125" style="151" bestFit="1" customWidth="1"/>
    <col min="13829" max="13829" width="15" style="151" bestFit="1" customWidth="1"/>
    <col min="13830" max="13830" width="16.5703125" style="151" customWidth="1"/>
    <col min="13831" max="13831" width="17.5703125" style="151" customWidth="1"/>
    <col min="13832" max="13832" width="9.140625" style="151" customWidth="1"/>
    <col min="13833" max="13833" width="14.140625" style="151" bestFit="1" customWidth="1"/>
    <col min="13834" max="14079" width="9.140625" style="151" customWidth="1"/>
    <col min="14080" max="14080" width="6.7109375" style="151"/>
    <col min="14081" max="14081" width="6.7109375" style="151" customWidth="1"/>
    <col min="14082" max="14082" width="15" style="151" customWidth="1"/>
    <col min="14083" max="14083" width="15" style="151" bestFit="1" customWidth="1"/>
    <col min="14084" max="14084" width="15.42578125" style="151" bestFit="1" customWidth="1"/>
    <col min="14085" max="14085" width="15" style="151" bestFit="1" customWidth="1"/>
    <col min="14086" max="14086" width="16.5703125" style="151" customWidth="1"/>
    <col min="14087" max="14087" width="17.5703125" style="151" customWidth="1"/>
    <col min="14088" max="14088" width="9.140625" style="151" customWidth="1"/>
    <col min="14089" max="14089" width="14.140625" style="151" bestFit="1" customWidth="1"/>
    <col min="14090" max="14335" width="9.140625" style="151" customWidth="1"/>
    <col min="14336" max="14336" width="6.7109375" style="151"/>
    <col min="14337" max="14337" width="6.7109375" style="151" customWidth="1"/>
    <col min="14338" max="14338" width="15" style="151" customWidth="1"/>
    <col min="14339" max="14339" width="15" style="151" bestFit="1" customWidth="1"/>
    <col min="14340" max="14340" width="15.42578125" style="151" bestFit="1" customWidth="1"/>
    <col min="14341" max="14341" width="15" style="151" bestFit="1" customWidth="1"/>
    <col min="14342" max="14342" width="16.5703125" style="151" customWidth="1"/>
    <col min="14343" max="14343" width="17.5703125" style="151" customWidth="1"/>
    <col min="14344" max="14344" width="9.140625" style="151" customWidth="1"/>
    <col min="14345" max="14345" width="14.140625" style="151" bestFit="1" customWidth="1"/>
    <col min="14346" max="14591" width="9.140625" style="151" customWidth="1"/>
    <col min="14592" max="14592" width="6.7109375" style="151"/>
    <col min="14593" max="14593" width="6.7109375" style="151" customWidth="1"/>
    <col min="14594" max="14594" width="15" style="151" customWidth="1"/>
    <col min="14595" max="14595" width="15" style="151" bestFit="1" customWidth="1"/>
    <col min="14596" max="14596" width="15.42578125" style="151" bestFit="1" customWidth="1"/>
    <col min="14597" max="14597" width="15" style="151" bestFit="1" customWidth="1"/>
    <col min="14598" max="14598" width="16.5703125" style="151" customWidth="1"/>
    <col min="14599" max="14599" width="17.5703125" style="151" customWidth="1"/>
    <col min="14600" max="14600" width="9.140625" style="151" customWidth="1"/>
    <col min="14601" max="14601" width="14.140625" style="151" bestFit="1" customWidth="1"/>
    <col min="14602" max="14847" width="9.140625" style="151" customWidth="1"/>
    <col min="14848" max="14848" width="6.7109375" style="151"/>
    <col min="14849" max="14849" width="6.7109375" style="151" customWidth="1"/>
    <col min="14850" max="14850" width="15" style="151" customWidth="1"/>
    <col min="14851" max="14851" width="15" style="151" bestFit="1" customWidth="1"/>
    <col min="14852" max="14852" width="15.42578125" style="151" bestFit="1" customWidth="1"/>
    <col min="14853" max="14853" width="15" style="151" bestFit="1" customWidth="1"/>
    <col min="14854" max="14854" width="16.5703125" style="151" customWidth="1"/>
    <col min="14855" max="14855" width="17.5703125" style="151" customWidth="1"/>
    <col min="14856" max="14856" width="9.140625" style="151" customWidth="1"/>
    <col min="14857" max="14857" width="14.140625" style="151" bestFit="1" customWidth="1"/>
    <col min="14858" max="15103" width="9.140625" style="151" customWidth="1"/>
    <col min="15104" max="15104" width="6.7109375" style="151"/>
    <col min="15105" max="15105" width="6.7109375" style="151" customWidth="1"/>
    <col min="15106" max="15106" width="15" style="151" customWidth="1"/>
    <col min="15107" max="15107" width="15" style="151" bestFit="1" customWidth="1"/>
    <col min="15108" max="15108" width="15.42578125" style="151" bestFit="1" customWidth="1"/>
    <col min="15109" max="15109" width="15" style="151" bestFit="1" customWidth="1"/>
    <col min="15110" max="15110" width="16.5703125" style="151" customWidth="1"/>
    <col min="15111" max="15111" width="17.5703125" style="151" customWidth="1"/>
    <col min="15112" max="15112" width="9.140625" style="151" customWidth="1"/>
    <col min="15113" max="15113" width="14.140625" style="151" bestFit="1" customWidth="1"/>
    <col min="15114" max="15359" width="9.140625" style="151" customWidth="1"/>
    <col min="15360" max="15360" width="6.7109375" style="151"/>
    <col min="15361" max="15361" width="6.7109375" style="151" customWidth="1"/>
    <col min="15362" max="15362" width="15" style="151" customWidth="1"/>
    <col min="15363" max="15363" width="15" style="151" bestFit="1" customWidth="1"/>
    <col min="15364" max="15364" width="15.42578125" style="151" bestFit="1" customWidth="1"/>
    <col min="15365" max="15365" width="15" style="151" bestFit="1" customWidth="1"/>
    <col min="15366" max="15366" width="16.5703125" style="151" customWidth="1"/>
    <col min="15367" max="15367" width="17.5703125" style="151" customWidth="1"/>
    <col min="15368" max="15368" width="9.140625" style="151" customWidth="1"/>
    <col min="15369" max="15369" width="14.140625" style="151" bestFit="1" customWidth="1"/>
    <col min="15370" max="15615" width="9.140625" style="151" customWidth="1"/>
    <col min="15616" max="15616" width="6.7109375" style="151"/>
    <col min="15617" max="15617" width="6.7109375" style="151" customWidth="1"/>
    <col min="15618" max="15618" width="15" style="151" customWidth="1"/>
    <col min="15619" max="15619" width="15" style="151" bestFit="1" customWidth="1"/>
    <col min="15620" max="15620" width="15.42578125" style="151" bestFit="1" customWidth="1"/>
    <col min="15621" max="15621" width="15" style="151" bestFit="1" customWidth="1"/>
    <col min="15622" max="15622" width="16.5703125" style="151" customWidth="1"/>
    <col min="15623" max="15623" width="17.5703125" style="151" customWidth="1"/>
    <col min="15624" max="15624" width="9.140625" style="151" customWidth="1"/>
    <col min="15625" max="15625" width="14.140625" style="151" bestFit="1" customWidth="1"/>
    <col min="15626" max="15871" width="9.140625" style="151" customWidth="1"/>
    <col min="15872" max="15872" width="6.7109375" style="151"/>
    <col min="15873" max="15873" width="6.7109375" style="151" customWidth="1"/>
    <col min="15874" max="15874" width="15" style="151" customWidth="1"/>
    <col min="15875" max="15875" width="15" style="151" bestFit="1" customWidth="1"/>
    <col min="15876" max="15876" width="15.42578125" style="151" bestFit="1" customWidth="1"/>
    <col min="15877" max="15877" width="15" style="151" bestFit="1" customWidth="1"/>
    <col min="15878" max="15878" width="16.5703125" style="151" customWidth="1"/>
    <col min="15879" max="15879" width="17.5703125" style="151" customWidth="1"/>
    <col min="15880" max="15880" width="9.140625" style="151" customWidth="1"/>
    <col min="15881" max="15881" width="14.140625" style="151" bestFit="1" customWidth="1"/>
    <col min="15882" max="16127" width="9.140625" style="151" customWidth="1"/>
    <col min="16128" max="16128" width="6.7109375" style="151"/>
    <col min="16129" max="16129" width="6.7109375" style="151" customWidth="1"/>
    <col min="16130" max="16130" width="15" style="151" customWidth="1"/>
    <col min="16131" max="16131" width="15" style="151" bestFit="1" customWidth="1"/>
    <col min="16132" max="16132" width="15.42578125" style="151" bestFit="1" customWidth="1"/>
    <col min="16133" max="16133" width="15" style="151" bestFit="1" customWidth="1"/>
    <col min="16134" max="16134" width="16.5703125" style="151" customWidth="1"/>
    <col min="16135" max="16135" width="17.5703125" style="151" customWidth="1"/>
    <col min="16136" max="16136" width="9.140625" style="151" customWidth="1"/>
    <col min="16137" max="16137" width="14.140625" style="151" bestFit="1" customWidth="1"/>
    <col min="16138" max="16383" width="9.140625" style="151" customWidth="1"/>
    <col min="16384" max="16384" width="6.7109375" style="151"/>
  </cols>
  <sheetData>
    <row r="1" spans="1:7">
      <c r="C1" s="163" t="s">
        <v>3211</v>
      </c>
      <c r="G1" s="452" t="s">
        <v>1020</v>
      </c>
    </row>
    <row r="6" spans="1:7" s="156" customFormat="1">
      <c r="A6" s="2554" t="s">
        <v>2671</v>
      </c>
      <c r="B6" s="2554"/>
      <c r="C6" s="2554"/>
      <c r="D6" s="2554"/>
      <c r="E6" s="2554"/>
      <c r="F6" s="2554"/>
      <c r="G6" s="1494"/>
    </row>
    <row r="7" spans="1:7">
      <c r="A7" s="2318" t="s">
        <v>0</v>
      </c>
      <c r="B7" s="2318" t="s">
        <v>1963</v>
      </c>
      <c r="C7" s="2318" t="s">
        <v>2666</v>
      </c>
      <c r="D7" s="2318" t="s">
        <v>1</v>
      </c>
      <c r="E7" s="1525" t="s">
        <v>2665</v>
      </c>
      <c r="F7" s="1528" t="s">
        <v>4</v>
      </c>
    </row>
    <row r="8" spans="1:7">
      <c r="A8" s="338">
        <v>1</v>
      </c>
      <c r="B8" s="2317" t="s">
        <v>2670</v>
      </c>
      <c r="C8" s="338" t="s">
        <v>515</v>
      </c>
      <c r="D8" s="338">
        <v>120</v>
      </c>
      <c r="E8" s="1527">
        <v>11000000</v>
      </c>
      <c r="F8" s="339">
        <f>E8*D8</f>
        <v>1320000000</v>
      </c>
    </row>
    <row r="9" spans="1:7">
      <c r="A9" s="338">
        <v>2</v>
      </c>
      <c r="B9" s="2317" t="s">
        <v>297</v>
      </c>
      <c r="C9" s="338" t="s">
        <v>515</v>
      </c>
      <c r="D9" s="338">
        <v>130</v>
      </c>
      <c r="E9" s="1527">
        <v>1300000</v>
      </c>
      <c r="F9" s="339">
        <f>E9*D9</f>
        <v>169000000</v>
      </c>
    </row>
    <row r="10" spans="1:7">
      <c r="A10" s="338">
        <v>3</v>
      </c>
      <c r="B10" s="2317" t="s">
        <v>2669</v>
      </c>
      <c r="C10" s="338" t="s">
        <v>515</v>
      </c>
      <c r="D10" s="338">
        <v>160</v>
      </c>
      <c r="E10" s="1527">
        <v>2500000</v>
      </c>
      <c r="F10" s="339">
        <f>E10*D10</f>
        <v>400000000</v>
      </c>
    </row>
    <row r="11" spans="1:7">
      <c r="A11" s="2334">
        <v>4</v>
      </c>
      <c r="B11" s="2314" t="s">
        <v>2668</v>
      </c>
      <c r="C11" s="338" t="s">
        <v>515</v>
      </c>
      <c r="D11" s="338">
        <v>160</v>
      </c>
      <c r="E11" s="1527">
        <v>1900000</v>
      </c>
      <c r="F11" s="339">
        <f>D11*E11</f>
        <v>304000000</v>
      </c>
    </row>
    <row r="12" spans="1:7">
      <c r="A12" s="338">
        <v>5</v>
      </c>
      <c r="B12" s="2317" t="s">
        <v>868</v>
      </c>
      <c r="C12" s="338"/>
      <c r="D12" s="338"/>
      <c r="E12" s="1527"/>
      <c r="F12" s="339">
        <v>100000000</v>
      </c>
    </row>
    <row r="13" spans="1:7">
      <c r="A13" s="2318"/>
      <c r="B13" s="1526" t="s">
        <v>288</v>
      </c>
      <c r="C13" s="2318"/>
      <c r="D13" s="2318"/>
      <c r="E13" s="1525"/>
      <c r="F13" s="343">
        <f>SUM(F8:F12)</f>
        <v>2293000000</v>
      </c>
    </row>
    <row r="14" spans="1:7" s="156" customFormat="1">
      <c r="A14" s="2554" t="s">
        <v>2667</v>
      </c>
      <c r="B14" s="2554"/>
      <c r="C14" s="2554"/>
      <c r="D14" s="2554"/>
      <c r="E14" s="2554"/>
      <c r="F14" s="2554"/>
      <c r="G14" s="1494"/>
    </row>
    <row r="15" spans="1:7">
      <c r="A15" s="2318" t="s">
        <v>0</v>
      </c>
      <c r="B15" s="2318" t="s">
        <v>1963</v>
      </c>
      <c r="C15" s="2318" t="s">
        <v>2666</v>
      </c>
      <c r="D15" s="2318" t="s">
        <v>1</v>
      </c>
      <c r="E15" s="1525" t="s">
        <v>2665</v>
      </c>
      <c r="F15" s="1528" t="s">
        <v>4</v>
      </c>
    </row>
    <row r="16" spans="1:7">
      <c r="A16" s="338">
        <v>1</v>
      </c>
      <c r="B16" s="1806" t="str">
        <f t="shared" ref="B16:D19" si="0">B8</f>
        <v>Đậu lạc</v>
      </c>
      <c r="C16" s="338" t="str">
        <f t="shared" si="0"/>
        <v>tấn</v>
      </c>
      <c r="D16" s="338">
        <f t="shared" si="0"/>
        <v>120</v>
      </c>
      <c r="E16" s="1527">
        <v>13000000</v>
      </c>
      <c r="F16" s="339">
        <f>E16*D16</f>
        <v>1560000000</v>
      </c>
    </row>
    <row r="17" spans="1:9">
      <c r="A17" s="338">
        <v>2</v>
      </c>
      <c r="B17" s="1806" t="str">
        <f t="shared" si="0"/>
        <v>Ngô</v>
      </c>
      <c r="C17" s="338" t="str">
        <f t="shared" si="0"/>
        <v>tấn</v>
      </c>
      <c r="D17" s="338">
        <f t="shared" si="0"/>
        <v>130</v>
      </c>
      <c r="E17" s="1527">
        <v>3000000</v>
      </c>
      <c r="F17" s="339">
        <f>E17*D17</f>
        <v>390000000</v>
      </c>
    </row>
    <row r="18" spans="1:9">
      <c r="A18" s="338">
        <v>3</v>
      </c>
      <c r="B18" s="1806" t="str">
        <f t="shared" si="0"/>
        <v>Lúa</v>
      </c>
      <c r="C18" s="338" t="str">
        <f t="shared" si="0"/>
        <v>tấn</v>
      </c>
      <c r="D18" s="338">
        <f t="shared" si="0"/>
        <v>160</v>
      </c>
      <c r="E18" s="1527">
        <v>3500000</v>
      </c>
      <c r="F18" s="339">
        <f>E18*D18</f>
        <v>560000000</v>
      </c>
    </row>
    <row r="19" spans="1:9">
      <c r="A19" s="2334">
        <v>4</v>
      </c>
      <c r="B19" s="158" t="str">
        <f t="shared" si="0"/>
        <v>Sắn củ</v>
      </c>
      <c r="C19" s="2334" t="str">
        <f t="shared" si="0"/>
        <v>tấn</v>
      </c>
      <c r="D19" s="338">
        <f t="shared" si="0"/>
        <v>160</v>
      </c>
      <c r="E19" s="1527">
        <v>3200000</v>
      </c>
      <c r="F19" s="339">
        <f>D19*E19</f>
        <v>512000000</v>
      </c>
    </row>
    <row r="20" spans="1:9">
      <c r="A20" s="338">
        <v>5</v>
      </c>
      <c r="B20" s="1806" t="str">
        <f>B12</f>
        <v>Các loại khác</v>
      </c>
      <c r="C20" s="338"/>
      <c r="D20" s="338"/>
      <c r="E20" s="1527"/>
      <c r="F20" s="339">
        <v>115000000</v>
      </c>
    </row>
    <row r="21" spans="1:9">
      <c r="A21" s="2318"/>
      <c r="B21" s="1526" t="s">
        <v>288</v>
      </c>
      <c r="C21" s="2318"/>
      <c r="D21" s="2318"/>
      <c r="E21" s="1525"/>
      <c r="F21" s="343">
        <f>SUM(F16:F20)</f>
        <v>3137000000</v>
      </c>
      <c r="I21" s="516"/>
    </row>
    <row r="22" spans="1:9" s="156" customFormat="1" ht="16.5" customHeight="1">
      <c r="A22" s="2555" t="s">
        <v>2664</v>
      </c>
      <c r="B22" s="2555"/>
      <c r="C22" s="2555"/>
      <c r="D22" s="2555"/>
      <c r="E22" s="2555"/>
      <c r="F22" s="2555"/>
      <c r="G22" s="1807"/>
    </row>
    <row r="23" spans="1:9" ht="16.5" customHeight="1">
      <c r="A23" s="2556" t="s">
        <v>2663</v>
      </c>
      <c r="B23" s="2556"/>
      <c r="C23" s="2556"/>
      <c r="D23" s="2556"/>
      <c r="E23" s="2556"/>
      <c r="F23" s="339">
        <v>40000000</v>
      </c>
    </row>
    <row r="24" spans="1:9" ht="16.5" customHeight="1">
      <c r="A24" s="2556" t="s">
        <v>3221</v>
      </c>
      <c r="B24" s="2556"/>
      <c r="C24" s="2556"/>
      <c r="D24" s="2556"/>
      <c r="E24" s="2556"/>
      <c r="F24" s="339">
        <f>5000000*12*4</f>
        <v>240000000</v>
      </c>
      <c r="G24" s="1808"/>
    </row>
    <row r="25" spans="1:9" ht="16.5" customHeight="1">
      <c r="A25" s="2556" t="s">
        <v>3222</v>
      </c>
      <c r="B25" s="2556"/>
      <c r="C25" s="2556"/>
      <c r="D25" s="2556"/>
      <c r="E25" s="2556"/>
      <c r="F25" s="339">
        <f>D36*10%</f>
        <v>200000000</v>
      </c>
      <c r="G25" s="1808"/>
    </row>
    <row r="26" spans="1:9" ht="16.5" customHeight="1">
      <c r="A26" s="2556" t="s">
        <v>2662</v>
      </c>
      <c r="B26" s="2556"/>
      <c r="C26" s="2556"/>
      <c r="D26" s="2556"/>
      <c r="E26" s="2556"/>
      <c r="F26" s="339">
        <v>5000000</v>
      </c>
    </row>
    <row r="27" spans="1:9" ht="16.5" customHeight="1">
      <c r="A27" s="2556" t="s">
        <v>2661</v>
      </c>
      <c r="B27" s="2556"/>
      <c r="C27" s="2556"/>
      <c r="D27" s="2556"/>
      <c r="E27" s="2556"/>
      <c r="F27" s="339">
        <v>80000000</v>
      </c>
    </row>
    <row r="28" spans="1:9" s="156" customFormat="1">
      <c r="A28" s="2557" t="s">
        <v>288</v>
      </c>
      <c r="B28" s="2557"/>
      <c r="C28" s="2557"/>
      <c r="D28" s="2557"/>
      <c r="E28" s="2557"/>
      <c r="F28" s="343">
        <f>SUM(F23:F27)</f>
        <v>565000000</v>
      </c>
      <c r="G28" s="1809"/>
    </row>
    <row r="29" spans="1:9" s="156" customFormat="1">
      <c r="A29" s="2551" t="s">
        <v>2660</v>
      </c>
      <c r="B29" s="2552"/>
      <c r="C29" s="1523">
        <f>F13</f>
        <v>2293000000</v>
      </c>
      <c r="D29" s="1522" t="s">
        <v>2659</v>
      </c>
      <c r="E29" s="1810">
        <f>F28</f>
        <v>565000000</v>
      </c>
      <c r="F29" s="343">
        <f>C29+E29</f>
        <v>2858000000</v>
      </c>
    </row>
    <row r="30" spans="1:9" s="156" customFormat="1">
      <c r="A30" s="2551" t="s">
        <v>2658</v>
      </c>
      <c r="B30" s="2551"/>
      <c r="C30" s="1523">
        <f>F21</f>
        <v>3137000000</v>
      </c>
      <c r="D30" s="1522" t="s">
        <v>615</v>
      </c>
      <c r="E30" s="1810">
        <f>F29</f>
        <v>2858000000</v>
      </c>
      <c r="F30" s="343">
        <f>C30-E30</f>
        <v>279000000</v>
      </c>
    </row>
    <row r="31" spans="1:9">
      <c r="A31" s="2553" t="s">
        <v>2598</v>
      </c>
      <c r="B31" s="2553"/>
      <c r="C31" s="2553"/>
      <c r="D31" s="2553"/>
      <c r="E31" s="2553"/>
    </row>
    <row r="32" spans="1:9">
      <c r="A32" s="151" t="s">
        <v>2597</v>
      </c>
      <c r="D32" s="163">
        <f>F29-F23-F25</f>
        <v>2618000000</v>
      </c>
      <c r="E32" s="1811" t="s">
        <v>1270</v>
      </c>
    </row>
    <row r="33" spans="1:7">
      <c r="A33" s="151" t="s">
        <v>2596</v>
      </c>
      <c r="D33" s="1517">
        <v>1.2</v>
      </c>
      <c r="E33" s="1811" t="s">
        <v>2411</v>
      </c>
    </row>
    <row r="34" spans="1:7">
      <c r="A34" s="151" t="s">
        <v>2595</v>
      </c>
      <c r="D34" s="163">
        <f>ROUND(D32/D33,-3)</f>
        <v>2181667000</v>
      </c>
      <c r="E34" s="1811" t="s">
        <v>1270</v>
      </c>
      <c r="G34" s="1516"/>
    </row>
    <row r="35" spans="1:7">
      <c r="A35" s="151" t="s">
        <v>2594</v>
      </c>
      <c r="D35" s="163">
        <f>D34-D36</f>
        <v>181667000</v>
      </c>
      <c r="E35" s="1811" t="s">
        <v>1270</v>
      </c>
      <c r="F35" s="1812"/>
    </row>
    <row r="36" spans="1:7">
      <c r="A36" s="151" t="s">
        <v>2593</v>
      </c>
      <c r="D36" s="452">
        <v>2000000000</v>
      </c>
      <c r="E36" s="1811" t="s">
        <v>1270</v>
      </c>
    </row>
    <row r="37" spans="1:7">
      <c r="A37" s="151" t="s">
        <v>2592</v>
      </c>
      <c r="D37" s="163">
        <v>12</v>
      </c>
      <c r="E37" s="163" t="s">
        <v>74</v>
      </c>
    </row>
    <row r="38" spans="1:7">
      <c r="D38" s="1529">
        <f>D35/D34*100</f>
        <v>8.3269811570693424</v>
      </c>
    </row>
  </sheetData>
  <mergeCells count="12">
    <mergeCell ref="A29:B29"/>
    <mergeCell ref="A30:B30"/>
    <mergeCell ref="A31:E31"/>
    <mergeCell ref="A6:F6"/>
    <mergeCell ref="A14:F14"/>
    <mergeCell ref="A22:F22"/>
    <mergeCell ref="A23:E23"/>
    <mergeCell ref="A24:E24"/>
    <mergeCell ref="A25:E25"/>
    <mergeCell ref="A26:E26"/>
    <mergeCell ref="A27:E27"/>
    <mergeCell ref="A28:E28"/>
  </mergeCells>
  <pageMargins left="0.7" right="0.7" top="0.75" bottom="0.75" header="0.3" footer="0.3"/>
  <pageSetup paperSize="9" orientation="portrait" verticalDpi="0"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8"/>
  <dimension ref="A1:L40"/>
  <sheetViews>
    <sheetView workbookViewId="0">
      <selection activeCell="O11" sqref="O11"/>
    </sheetView>
  </sheetViews>
  <sheetFormatPr defaultRowHeight="16.5"/>
  <cols>
    <col min="1" max="2" width="9.140625" style="311"/>
    <col min="3" max="3" width="7" style="311" customWidth="1"/>
    <col min="4" max="4" width="15.140625" style="311" customWidth="1"/>
    <col min="5" max="6" width="9.140625" style="311"/>
    <col min="7" max="7" width="6.140625" style="311" customWidth="1"/>
    <col min="8" max="8" width="24.5703125" style="311" customWidth="1"/>
    <col min="9" max="9" width="9.140625" style="2353"/>
    <col min="10" max="10" width="9.85546875" style="311" customWidth="1"/>
    <col min="11" max="11" width="14.7109375" style="324" customWidth="1"/>
    <col min="12" max="12" width="18.5703125" style="324" customWidth="1"/>
    <col min="13" max="16384" width="9.140625" style="311"/>
  </cols>
  <sheetData>
    <row r="1" spans="1:12">
      <c r="C1" s="311" t="s">
        <v>3212</v>
      </c>
      <c r="G1" s="309" t="s">
        <v>1020</v>
      </c>
    </row>
    <row r="5" spans="1:12">
      <c r="A5" s="2558" t="s">
        <v>3196</v>
      </c>
      <c r="B5" s="2558"/>
      <c r="C5" s="2558"/>
      <c r="D5" s="1813">
        <f>L21</f>
        <v>6386335000</v>
      </c>
      <c r="E5" s="1814" t="s">
        <v>3195</v>
      </c>
      <c r="G5" s="1814" t="s">
        <v>3194</v>
      </c>
      <c r="H5" s="1815"/>
    </row>
    <row r="6" spans="1:12">
      <c r="A6" s="2559" t="s">
        <v>3193</v>
      </c>
      <c r="B6" s="2559"/>
      <c r="C6" s="2559"/>
      <c r="D6" s="1816">
        <v>1.5</v>
      </c>
      <c r="G6" s="2560" t="s">
        <v>97</v>
      </c>
      <c r="H6" s="1817" t="s">
        <v>3192</v>
      </c>
      <c r="I6" s="2560" t="s">
        <v>100</v>
      </c>
      <c r="J6" s="2562" t="s">
        <v>1</v>
      </c>
      <c r="K6" s="2562" t="s">
        <v>3</v>
      </c>
      <c r="L6" s="2562" t="s">
        <v>4</v>
      </c>
    </row>
    <row r="7" spans="1:12">
      <c r="A7" s="2559" t="s">
        <v>3191</v>
      </c>
      <c r="B7" s="2559"/>
      <c r="C7" s="2559"/>
      <c r="D7" s="1818">
        <f>D5/D6</f>
        <v>4257556666.6666665</v>
      </c>
      <c r="G7" s="2561"/>
      <c r="H7" s="1817" t="s">
        <v>3190</v>
      </c>
      <c r="I7" s="2561"/>
      <c r="J7" s="2563"/>
      <c r="K7" s="2563"/>
      <c r="L7" s="2563"/>
    </row>
    <row r="8" spans="1:12">
      <c r="A8" s="2559" t="s">
        <v>3189</v>
      </c>
      <c r="B8" s="2559"/>
      <c r="C8" s="2559"/>
      <c r="D8" s="324">
        <f>D7-D9</f>
        <v>2757556666.6666665</v>
      </c>
      <c r="E8" s="1784">
        <f>D8/D7</f>
        <v>0.64768525296590296</v>
      </c>
      <c r="G8" s="1819">
        <v>1</v>
      </c>
      <c r="H8" s="1820" t="s">
        <v>3188</v>
      </c>
      <c r="I8" s="1821" t="s">
        <v>1004</v>
      </c>
      <c r="J8" s="1822">
        <v>20</v>
      </c>
      <c r="K8" s="1823">
        <f t="shared" ref="K8:K15" si="0">K23*115%</f>
        <v>9775000</v>
      </c>
      <c r="L8" s="1823">
        <f t="shared" ref="L8:L15" si="1">J8*K8</f>
        <v>195500000</v>
      </c>
    </row>
    <row r="9" spans="1:12">
      <c r="A9" s="2559" t="s">
        <v>3187</v>
      </c>
      <c r="B9" s="2559"/>
      <c r="C9" s="2559"/>
      <c r="D9" s="1818">
        <v>1500000000</v>
      </c>
      <c r="E9" s="1784">
        <f>D9/D7</f>
        <v>0.35231474703409704</v>
      </c>
      <c r="G9" s="1819">
        <v>2</v>
      </c>
      <c r="H9" s="1820" t="s">
        <v>3186</v>
      </c>
      <c r="I9" s="1821" t="s">
        <v>1004</v>
      </c>
      <c r="J9" s="1822">
        <v>25</v>
      </c>
      <c r="K9" s="1823">
        <f t="shared" si="0"/>
        <v>31049999.999999996</v>
      </c>
      <c r="L9" s="1823">
        <f t="shared" si="1"/>
        <v>776249999.99999988</v>
      </c>
    </row>
    <row r="10" spans="1:12">
      <c r="G10" s="1819">
        <v>3</v>
      </c>
      <c r="H10" s="1820" t="s">
        <v>3185</v>
      </c>
      <c r="I10" s="1821" t="s">
        <v>1004</v>
      </c>
      <c r="J10" s="1822">
        <v>32</v>
      </c>
      <c r="K10" s="1823">
        <f t="shared" si="0"/>
        <v>34500000</v>
      </c>
      <c r="L10" s="1823">
        <f t="shared" si="1"/>
        <v>1104000000</v>
      </c>
    </row>
    <row r="11" spans="1:12">
      <c r="A11" s="1814" t="s">
        <v>3184</v>
      </c>
      <c r="B11" s="1815"/>
      <c r="C11" s="1824">
        <v>0.2</v>
      </c>
      <c r="D11" s="324">
        <f>D9/C12*C11</f>
        <v>375000000</v>
      </c>
      <c r="G11" s="1819">
        <v>4</v>
      </c>
      <c r="H11" s="1820" t="s">
        <v>3183</v>
      </c>
      <c r="I11" s="1821" t="s">
        <v>1004</v>
      </c>
      <c r="J11" s="1822">
        <v>30</v>
      </c>
      <c r="K11" s="1823">
        <f t="shared" si="0"/>
        <v>51174999.999999993</v>
      </c>
      <c r="L11" s="1823">
        <f t="shared" si="1"/>
        <v>1535249999.9999998</v>
      </c>
    </row>
    <row r="12" spans="1:12">
      <c r="C12" s="459">
        <f>100%-C11</f>
        <v>0.8</v>
      </c>
      <c r="G12" s="1819">
        <v>5</v>
      </c>
      <c r="H12" s="1820" t="s">
        <v>3182</v>
      </c>
      <c r="I12" s="1821" t="s">
        <v>1004</v>
      </c>
      <c r="J12" s="1822">
        <v>5</v>
      </c>
      <c r="K12" s="1823">
        <f t="shared" si="0"/>
        <v>37950000</v>
      </c>
      <c r="L12" s="1823">
        <f t="shared" si="1"/>
        <v>189750000</v>
      </c>
    </row>
    <row r="13" spans="1:12">
      <c r="G13" s="1819">
        <v>6</v>
      </c>
      <c r="H13" s="1820" t="s">
        <v>3181</v>
      </c>
      <c r="I13" s="1821" t="s">
        <v>1004</v>
      </c>
      <c r="J13" s="1822">
        <v>135</v>
      </c>
      <c r="K13" s="1823">
        <f t="shared" si="0"/>
        <v>2012499.9999999998</v>
      </c>
      <c r="L13" s="1823">
        <f t="shared" si="1"/>
        <v>271687499.99999994</v>
      </c>
    </row>
    <row r="14" spans="1:12">
      <c r="A14" s="1814" t="s">
        <v>3180</v>
      </c>
      <c r="B14" s="1815"/>
      <c r="C14" s="1825">
        <v>0.12</v>
      </c>
      <c r="D14" s="324">
        <f>D9*C14</f>
        <v>180000000</v>
      </c>
      <c r="G14" s="1819">
        <v>7</v>
      </c>
      <c r="H14" s="1820" t="s">
        <v>3179</v>
      </c>
      <c r="I14" s="1821" t="s">
        <v>1004</v>
      </c>
      <c r="J14" s="1822">
        <v>220</v>
      </c>
      <c r="K14" s="1823">
        <f t="shared" si="0"/>
        <v>1092500</v>
      </c>
      <c r="L14" s="1823">
        <f t="shared" si="1"/>
        <v>240350000</v>
      </c>
    </row>
    <row r="15" spans="1:12">
      <c r="G15" s="1819">
        <v>8</v>
      </c>
      <c r="H15" s="1820" t="s">
        <v>3178</v>
      </c>
      <c r="I15" s="1821" t="s">
        <v>1004</v>
      </c>
      <c r="J15" s="1822">
        <v>80</v>
      </c>
      <c r="K15" s="1823">
        <f t="shared" si="0"/>
        <v>32199999.999999996</v>
      </c>
      <c r="L15" s="1823">
        <f t="shared" si="1"/>
        <v>2575999999.9999995</v>
      </c>
    </row>
    <row r="16" spans="1:12">
      <c r="G16" s="1819">
        <v>9</v>
      </c>
      <c r="H16" s="2566" t="s">
        <v>3177</v>
      </c>
      <c r="I16" s="2567"/>
      <c r="J16" s="2567"/>
      <c r="K16" s="2568"/>
      <c r="L16" s="1823">
        <f>L31*115%</f>
        <v>172500000</v>
      </c>
    </row>
    <row r="17" spans="1:12">
      <c r="A17" s="1814" t="s">
        <v>3176</v>
      </c>
      <c r="B17" s="1814"/>
      <c r="C17" s="1814"/>
      <c r="G17" s="1826"/>
      <c r="H17" s="2569" t="s">
        <v>1094</v>
      </c>
      <c r="I17" s="2570"/>
      <c r="J17" s="2570"/>
      <c r="K17" s="2571"/>
      <c r="L17" s="1827">
        <f>SUM(L8:L16)</f>
        <v>7061287500</v>
      </c>
    </row>
    <row r="18" spans="1:12" ht="15.75" customHeight="1">
      <c r="A18" s="311" t="s">
        <v>3175</v>
      </c>
      <c r="D18" s="1828">
        <v>1</v>
      </c>
      <c r="G18" s="1814" t="s">
        <v>677</v>
      </c>
      <c r="H18" s="1815"/>
    </row>
    <row r="19" spans="1:12" ht="15.75" customHeight="1">
      <c r="A19" s="311" t="s">
        <v>3174</v>
      </c>
      <c r="G19" s="2572" t="s">
        <v>97</v>
      </c>
      <c r="H19" s="1829" t="s">
        <v>3173</v>
      </c>
      <c r="I19" s="2572" t="s">
        <v>100</v>
      </c>
      <c r="J19" s="2564" t="s">
        <v>1</v>
      </c>
      <c r="K19" s="2564" t="s">
        <v>3</v>
      </c>
      <c r="L19" s="2564" t="s">
        <v>4</v>
      </c>
    </row>
    <row r="20" spans="1:12" ht="33">
      <c r="A20" s="311" t="s">
        <v>2317</v>
      </c>
      <c r="D20" s="1830">
        <f>L17-L40</f>
        <v>442952500</v>
      </c>
      <c r="G20" s="2572"/>
      <c r="H20" s="1829" t="s">
        <v>3172</v>
      </c>
      <c r="I20" s="2572"/>
      <c r="J20" s="2564"/>
      <c r="K20" s="2564"/>
      <c r="L20" s="2564"/>
    </row>
    <row r="21" spans="1:12">
      <c r="D21" s="311">
        <f>D20/D8</f>
        <v>0.16063223844296945</v>
      </c>
      <c r="G21" s="2320" t="s">
        <v>480</v>
      </c>
      <c r="H21" s="1831" t="s">
        <v>1248</v>
      </c>
      <c r="I21" s="2565"/>
      <c r="J21" s="2565"/>
      <c r="K21" s="2565"/>
      <c r="L21" s="1832">
        <f>L22+L32</f>
        <v>6386335000</v>
      </c>
    </row>
    <row r="22" spans="1:12">
      <c r="G22" s="2320">
        <v>1</v>
      </c>
      <c r="H22" s="1833" t="s">
        <v>2912</v>
      </c>
      <c r="I22" s="2573"/>
      <c r="J22" s="2573"/>
      <c r="K22" s="2573"/>
      <c r="L22" s="1832">
        <f>SUM(L23:L31)</f>
        <v>6140250000</v>
      </c>
    </row>
    <row r="23" spans="1:12">
      <c r="D23" s="324"/>
      <c r="G23" s="1834">
        <v>1</v>
      </c>
      <c r="H23" s="1835" t="str">
        <f t="shared" ref="H23:H30" si="2">H8</f>
        <v>Bắp hạt</v>
      </c>
      <c r="I23" s="2321" t="s">
        <v>1004</v>
      </c>
      <c r="J23" s="1836">
        <f t="shared" ref="J23:J30" si="3">J8</f>
        <v>20</v>
      </c>
      <c r="K23" s="1837">
        <v>8500000</v>
      </c>
      <c r="L23" s="1837">
        <f t="shared" ref="L23:L30" si="4">J23*K23</f>
        <v>170000000</v>
      </c>
    </row>
    <row r="24" spans="1:12">
      <c r="G24" s="1834">
        <v>2</v>
      </c>
      <c r="H24" s="1835" t="str">
        <f t="shared" si="2"/>
        <v>Đậu xanh</v>
      </c>
      <c r="I24" s="2321" t="s">
        <v>1004</v>
      </c>
      <c r="J24" s="1836">
        <f t="shared" si="3"/>
        <v>25</v>
      </c>
      <c r="K24" s="1837">
        <v>27000000</v>
      </c>
      <c r="L24" s="1837">
        <f t="shared" si="4"/>
        <v>675000000</v>
      </c>
    </row>
    <row r="25" spans="1:12">
      <c r="G25" s="1834">
        <v>3</v>
      </c>
      <c r="H25" s="1835" t="str">
        <f t="shared" si="2"/>
        <v>Đậu đen</v>
      </c>
      <c r="I25" s="2321" t="s">
        <v>1004</v>
      </c>
      <c r="J25" s="1836">
        <f t="shared" si="3"/>
        <v>32</v>
      </c>
      <c r="K25" s="1837">
        <v>30000000</v>
      </c>
      <c r="L25" s="1837">
        <f t="shared" si="4"/>
        <v>960000000</v>
      </c>
    </row>
    <row r="26" spans="1:12">
      <c r="G26" s="1834">
        <v>4</v>
      </c>
      <c r="H26" s="1835" t="str">
        <f t="shared" si="2"/>
        <v>Cà phê nhân</v>
      </c>
      <c r="I26" s="2321" t="s">
        <v>1004</v>
      </c>
      <c r="J26" s="1836">
        <f t="shared" si="3"/>
        <v>30</v>
      </c>
      <c r="K26" s="1837">
        <v>44500000</v>
      </c>
      <c r="L26" s="1837">
        <f t="shared" si="4"/>
        <v>1335000000</v>
      </c>
    </row>
    <row r="27" spans="1:12">
      <c r="G27" s="1834">
        <v>5</v>
      </c>
      <c r="H27" s="1835" t="str">
        <f t="shared" si="2"/>
        <v>Mè đen</v>
      </c>
      <c r="I27" s="2321" t="s">
        <v>1004</v>
      </c>
      <c r="J27" s="1836">
        <f t="shared" si="3"/>
        <v>5</v>
      </c>
      <c r="K27" s="1837">
        <v>33000000</v>
      </c>
      <c r="L27" s="1837">
        <f t="shared" si="4"/>
        <v>165000000</v>
      </c>
    </row>
    <row r="28" spans="1:12">
      <c r="G28" s="1834">
        <v>6</v>
      </c>
      <c r="H28" s="1835" t="str">
        <f t="shared" si="2"/>
        <v>Mì tươi</v>
      </c>
      <c r="I28" s="2321" t="s">
        <v>1004</v>
      </c>
      <c r="J28" s="1836">
        <f t="shared" si="3"/>
        <v>135</v>
      </c>
      <c r="K28" s="1823">
        <v>1750000</v>
      </c>
      <c r="L28" s="1823">
        <f t="shared" si="4"/>
        <v>236250000</v>
      </c>
    </row>
    <row r="29" spans="1:12">
      <c r="G29" s="1834">
        <v>7</v>
      </c>
      <c r="H29" s="1835" t="str">
        <f t="shared" si="2"/>
        <v>Mía nguyên liệu</v>
      </c>
      <c r="I29" s="2321" t="s">
        <v>1004</v>
      </c>
      <c r="J29" s="1836">
        <f t="shared" si="3"/>
        <v>220</v>
      </c>
      <c r="K29" s="1823">
        <v>950000</v>
      </c>
      <c r="L29" s="1823">
        <f t="shared" si="4"/>
        <v>209000000</v>
      </c>
    </row>
    <row r="30" spans="1:12">
      <c r="G30" s="1834">
        <v>8</v>
      </c>
      <c r="H30" s="1835" t="str">
        <f t="shared" si="2"/>
        <v>Hạt điều</v>
      </c>
      <c r="I30" s="2321" t="s">
        <v>1004</v>
      </c>
      <c r="J30" s="1836">
        <f t="shared" si="3"/>
        <v>80</v>
      </c>
      <c r="K30" s="1837">
        <v>28000000</v>
      </c>
      <c r="L30" s="1837">
        <f t="shared" si="4"/>
        <v>2240000000</v>
      </c>
    </row>
    <row r="31" spans="1:12">
      <c r="G31" s="1834">
        <v>9</v>
      </c>
      <c r="H31" s="1835" t="s">
        <v>3171</v>
      </c>
      <c r="I31" s="2321"/>
      <c r="J31" s="1836"/>
      <c r="K31" s="1838"/>
      <c r="L31" s="1837">
        <v>150000000</v>
      </c>
    </row>
    <row r="32" spans="1:12">
      <c r="G32" s="2320">
        <v>2</v>
      </c>
      <c r="H32" s="2574" t="s">
        <v>3170</v>
      </c>
      <c r="I32" s="2574"/>
      <c r="J32" s="2574"/>
      <c r="K32" s="2574"/>
      <c r="L32" s="1832">
        <f>SUM(L33:L35)</f>
        <v>246085000</v>
      </c>
    </row>
    <row r="33" spans="7:12">
      <c r="G33" s="1834" t="s">
        <v>615</v>
      </c>
      <c r="H33" s="2322" t="s">
        <v>3169</v>
      </c>
      <c r="I33" s="1839" t="s">
        <v>358</v>
      </c>
      <c r="J33" s="1837">
        <v>12</v>
      </c>
      <c r="K33" s="1837">
        <v>2000000</v>
      </c>
      <c r="L33" s="1837">
        <f>J33*K33</f>
        <v>24000000</v>
      </c>
    </row>
    <row r="34" spans="7:12">
      <c r="G34" s="1834" t="s">
        <v>615</v>
      </c>
      <c r="H34" s="2322" t="s">
        <v>1239</v>
      </c>
      <c r="I34" s="1839" t="s">
        <v>3168</v>
      </c>
      <c r="J34" s="1837">
        <v>2</v>
      </c>
      <c r="K34" s="1837">
        <v>96000000</v>
      </c>
      <c r="L34" s="1837">
        <f>J34*K34</f>
        <v>192000000</v>
      </c>
    </row>
    <row r="35" spans="7:12">
      <c r="G35" s="1839" t="s">
        <v>615</v>
      </c>
      <c r="H35" s="2322" t="s">
        <v>3167</v>
      </c>
      <c r="I35" s="1839"/>
      <c r="J35" s="1837">
        <f>SUM(J8:J15)</f>
        <v>547</v>
      </c>
      <c r="K35" s="1837">
        <v>55000</v>
      </c>
      <c r="L35" s="1837">
        <f>J35*K35</f>
        <v>30085000</v>
      </c>
    </row>
    <row r="36" spans="7:12">
      <c r="G36" s="2320" t="s">
        <v>485</v>
      </c>
      <c r="H36" s="1833" t="s">
        <v>1225</v>
      </c>
      <c r="I36" s="2565"/>
      <c r="J36" s="2565"/>
      <c r="K36" s="2565"/>
      <c r="L36" s="1832">
        <f>SUM(L37:L39)</f>
        <v>232000000</v>
      </c>
    </row>
    <row r="37" spans="7:12">
      <c r="G37" s="1834" t="s">
        <v>615</v>
      </c>
      <c r="H37" s="2322" t="s">
        <v>2071</v>
      </c>
      <c r="I37" s="1839" t="s">
        <v>358</v>
      </c>
      <c r="J37" s="1837">
        <v>12</v>
      </c>
      <c r="K37" s="1837">
        <v>1000000</v>
      </c>
      <c r="L37" s="1837">
        <f>J37*K37</f>
        <v>12000000</v>
      </c>
    </row>
    <row r="38" spans="7:12">
      <c r="G38" s="1834" t="s">
        <v>615</v>
      </c>
      <c r="H38" s="2322" t="s">
        <v>238</v>
      </c>
      <c r="I38" s="1839" t="s">
        <v>45</v>
      </c>
      <c r="J38" s="1837">
        <v>1</v>
      </c>
      <c r="K38" s="1837">
        <v>40000000</v>
      </c>
      <c r="L38" s="1837">
        <f>J38*K38</f>
        <v>40000000</v>
      </c>
    </row>
    <row r="39" spans="7:12">
      <c r="G39" s="1834" t="s">
        <v>615</v>
      </c>
      <c r="H39" s="2575" t="s">
        <v>3166</v>
      </c>
      <c r="I39" s="2575"/>
      <c r="J39" s="2575"/>
      <c r="K39" s="2575"/>
      <c r="L39" s="1837">
        <f>D14</f>
        <v>180000000</v>
      </c>
    </row>
    <row r="40" spans="7:12">
      <c r="G40" s="1839"/>
      <c r="H40" s="2565" t="s">
        <v>1094</v>
      </c>
      <c r="I40" s="2565"/>
      <c r="J40" s="2565"/>
      <c r="K40" s="2565"/>
      <c r="L40" s="1832">
        <f>L21+L36</f>
        <v>6618335000</v>
      </c>
    </row>
  </sheetData>
  <mergeCells count="23">
    <mergeCell ref="I22:K22"/>
    <mergeCell ref="H32:K32"/>
    <mergeCell ref="I36:K36"/>
    <mergeCell ref="H39:K39"/>
    <mergeCell ref="H40:K40"/>
    <mergeCell ref="K6:K7"/>
    <mergeCell ref="L19:L20"/>
    <mergeCell ref="I21:K21"/>
    <mergeCell ref="L6:L7"/>
    <mergeCell ref="A7:C7"/>
    <mergeCell ref="A8:C8"/>
    <mergeCell ref="A9:C9"/>
    <mergeCell ref="H16:K16"/>
    <mergeCell ref="H17:K17"/>
    <mergeCell ref="G19:G20"/>
    <mergeCell ref="I19:I20"/>
    <mergeCell ref="J19:J20"/>
    <mergeCell ref="K19:K20"/>
    <mergeCell ref="A5:C5"/>
    <mergeCell ref="A6:C6"/>
    <mergeCell ref="G6:G7"/>
    <mergeCell ref="I6:I7"/>
    <mergeCell ref="J6:J7"/>
  </mergeCells>
  <pageMargins left="0.7" right="0.7" top="0.75" bottom="0.75" header="0.3" footer="0.3"/>
  <pageSetup paperSize="9" scale="80" orientation="landscape"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I24"/>
  <sheetViews>
    <sheetView zoomScaleNormal="100" workbookViewId="0">
      <selection activeCell="J13" sqref="J13"/>
    </sheetView>
  </sheetViews>
  <sheetFormatPr defaultRowHeight="16.5"/>
  <cols>
    <col min="1" max="1" width="4.140625" style="1840" customWidth="1"/>
    <col min="2" max="2" width="24.42578125" style="1841" customWidth="1"/>
    <col min="3" max="3" width="12.28515625" style="1840" customWidth="1"/>
    <col min="4" max="4" width="9.42578125" style="1843" customWidth="1"/>
    <col min="5" max="5" width="18.42578125" style="1844" customWidth="1"/>
    <col min="6" max="6" width="16.42578125" style="1844" customWidth="1"/>
    <col min="7" max="7" width="15.42578125" style="1844" customWidth="1"/>
    <col min="8" max="8" width="16.42578125" style="1844" customWidth="1"/>
    <col min="9" max="9" width="17.140625" style="1841" customWidth="1"/>
    <col min="10" max="256" width="9.140625" style="1841"/>
    <col min="257" max="257" width="4.140625" style="1841" customWidth="1"/>
    <col min="258" max="258" width="24.42578125" style="1841" customWidth="1"/>
    <col min="259" max="259" width="12.28515625" style="1841" customWidth="1"/>
    <col min="260" max="260" width="9.42578125" style="1841" customWidth="1"/>
    <col min="261" max="261" width="18.42578125" style="1841" customWidth="1"/>
    <col min="262" max="262" width="16.42578125" style="1841" customWidth="1"/>
    <col min="263" max="263" width="15.42578125" style="1841" customWidth="1"/>
    <col min="264" max="264" width="16.42578125" style="1841" customWidth="1"/>
    <col min="265" max="265" width="17.140625" style="1841" customWidth="1"/>
    <col min="266" max="512" width="9.140625" style="1841"/>
    <col min="513" max="513" width="4.140625" style="1841" customWidth="1"/>
    <col min="514" max="514" width="24.42578125" style="1841" customWidth="1"/>
    <col min="515" max="515" width="12.28515625" style="1841" customWidth="1"/>
    <col min="516" max="516" width="9.42578125" style="1841" customWidth="1"/>
    <col min="517" max="517" width="18.42578125" style="1841" customWidth="1"/>
    <col min="518" max="518" width="16.42578125" style="1841" customWidth="1"/>
    <col min="519" max="519" width="15.42578125" style="1841" customWidth="1"/>
    <col min="520" max="520" width="16.42578125" style="1841" customWidth="1"/>
    <col min="521" max="521" width="17.140625" style="1841" customWidth="1"/>
    <col min="522" max="768" width="9.140625" style="1841"/>
    <col min="769" max="769" width="4.140625" style="1841" customWidth="1"/>
    <col min="770" max="770" width="24.42578125" style="1841" customWidth="1"/>
    <col min="771" max="771" width="12.28515625" style="1841" customWidth="1"/>
    <col min="772" max="772" width="9.42578125" style="1841" customWidth="1"/>
    <col min="773" max="773" width="18.42578125" style="1841" customWidth="1"/>
    <col min="774" max="774" width="16.42578125" style="1841" customWidth="1"/>
    <col min="775" max="775" width="15.42578125" style="1841" customWidth="1"/>
    <col min="776" max="776" width="16.42578125" style="1841" customWidth="1"/>
    <col min="777" max="777" width="17.140625" style="1841" customWidth="1"/>
    <col min="778" max="1024" width="9.140625" style="1841"/>
    <col min="1025" max="1025" width="4.140625" style="1841" customWidth="1"/>
    <col min="1026" max="1026" width="24.42578125" style="1841" customWidth="1"/>
    <col min="1027" max="1027" width="12.28515625" style="1841" customWidth="1"/>
    <col min="1028" max="1028" width="9.42578125" style="1841" customWidth="1"/>
    <col min="1029" max="1029" width="18.42578125" style="1841" customWidth="1"/>
    <col min="1030" max="1030" width="16.42578125" style="1841" customWidth="1"/>
    <col min="1031" max="1031" width="15.42578125" style="1841" customWidth="1"/>
    <col min="1032" max="1032" width="16.42578125" style="1841" customWidth="1"/>
    <col min="1033" max="1033" width="17.140625" style="1841" customWidth="1"/>
    <col min="1034" max="1280" width="9.140625" style="1841"/>
    <col min="1281" max="1281" width="4.140625" style="1841" customWidth="1"/>
    <col min="1282" max="1282" width="24.42578125" style="1841" customWidth="1"/>
    <col min="1283" max="1283" width="12.28515625" style="1841" customWidth="1"/>
    <col min="1284" max="1284" width="9.42578125" style="1841" customWidth="1"/>
    <col min="1285" max="1285" width="18.42578125" style="1841" customWidth="1"/>
    <col min="1286" max="1286" width="16.42578125" style="1841" customWidth="1"/>
    <col min="1287" max="1287" width="15.42578125" style="1841" customWidth="1"/>
    <col min="1288" max="1288" width="16.42578125" style="1841" customWidth="1"/>
    <col min="1289" max="1289" width="17.140625" style="1841" customWidth="1"/>
    <col min="1290" max="1536" width="9.140625" style="1841"/>
    <col min="1537" max="1537" width="4.140625" style="1841" customWidth="1"/>
    <col min="1538" max="1538" width="24.42578125" style="1841" customWidth="1"/>
    <col min="1539" max="1539" width="12.28515625" style="1841" customWidth="1"/>
    <col min="1540" max="1540" width="9.42578125" style="1841" customWidth="1"/>
    <col min="1541" max="1541" width="18.42578125" style="1841" customWidth="1"/>
    <col min="1542" max="1542" width="16.42578125" style="1841" customWidth="1"/>
    <col min="1543" max="1543" width="15.42578125" style="1841" customWidth="1"/>
    <col min="1544" max="1544" width="16.42578125" style="1841" customWidth="1"/>
    <col min="1545" max="1545" width="17.140625" style="1841" customWidth="1"/>
    <col min="1546" max="1792" width="9.140625" style="1841"/>
    <col min="1793" max="1793" width="4.140625" style="1841" customWidth="1"/>
    <col min="1794" max="1794" width="24.42578125" style="1841" customWidth="1"/>
    <col min="1795" max="1795" width="12.28515625" style="1841" customWidth="1"/>
    <col min="1796" max="1796" width="9.42578125" style="1841" customWidth="1"/>
    <col min="1797" max="1797" width="18.42578125" style="1841" customWidth="1"/>
    <col min="1798" max="1798" width="16.42578125" style="1841" customWidth="1"/>
    <col min="1799" max="1799" width="15.42578125" style="1841" customWidth="1"/>
    <col min="1800" max="1800" width="16.42578125" style="1841" customWidth="1"/>
    <col min="1801" max="1801" width="17.140625" style="1841" customWidth="1"/>
    <col min="1802" max="2048" width="9.140625" style="1841"/>
    <col min="2049" max="2049" width="4.140625" style="1841" customWidth="1"/>
    <col min="2050" max="2050" width="24.42578125" style="1841" customWidth="1"/>
    <col min="2051" max="2051" width="12.28515625" style="1841" customWidth="1"/>
    <col min="2052" max="2052" width="9.42578125" style="1841" customWidth="1"/>
    <col min="2053" max="2053" width="18.42578125" style="1841" customWidth="1"/>
    <col min="2054" max="2054" width="16.42578125" style="1841" customWidth="1"/>
    <col min="2055" max="2055" width="15.42578125" style="1841" customWidth="1"/>
    <col min="2056" max="2056" width="16.42578125" style="1841" customWidth="1"/>
    <col min="2057" max="2057" width="17.140625" style="1841" customWidth="1"/>
    <col min="2058" max="2304" width="9.140625" style="1841"/>
    <col min="2305" max="2305" width="4.140625" style="1841" customWidth="1"/>
    <col min="2306" max="2306" width="24.42578125" style="1841" customWidth="1"/>
    <col min="2307" max="2307" width="12.28515625" style="1841" customWidth="1"/>
    <col min="2308" max="2308" width="9.42578125" style="1841" customWidth="1"/>
    <col min="2309" max="2309" width="18.42578125" style="1841" customWidth="1"/>
    <col min="2310" max="2310" width="16.42578125" style="1841" customWidth="1"/>
    <col min="2311" max="2311" width="15.42578125" style="1841" customWidth="1"/>
    <col min="2312" max="2312" width="16.42578125" style="1841" customWidth="1"/>
    <col min="2313" max="2313" width="17.140625" style="1841" customWidth="1"/>
    <col min="2314" max="2560" width="9.140625" style="1841"/>
    <col min="2561" max="2561" width="4.140625" style="1841" customWidth="1"/>
    <col min="2562" max="2562" width="24.42578125" style="1841" customWidth="1"/>
    <col min="2563" max="2563" width="12.28515625" style="1841" customWidth="1"/>
    <col min="2564" max="2564" width="9.42578125" style="1841" customWidth="1"/>
    <col min="2565" max="2565" width="18.42578125" style="1841" customWidth="1"/>
    <col min="2566" max="2566" width="16.42578125" style="1841" customWidth="1"/>
    <col min="2567" max="2567" width="15.42578125" style="1841" customWidth="1"/>
    <col min="2568" max="2568" width="16.42578125" style="1841" customWidth="1"/>
    <col min="2569" max="2569" width="17.140625" style="1841" customWidth="1"/>
    <col min="2570" max="2816" width="9.140625" style="1841"/>
    <col min="2817" max="2817" width="4.140625" style="1841" customWidth="1"/>
    <col min="2818" max="2818" width="24.42578125" style="1841" customWidth="1"/>
    <col min="2819" max="2819" width="12.28515625" style="1841" customWidth="1"/>
    <col min="2820" max="2820" width="9.42578125" style="1841" customWidth="1"/>
    <col min="2821" max="2821" width="18.42578125" style="1841" customWidth="1"/>
    <col min="2822" max="2822" width="16.42578125" style="1841" customWidth="1"/>
    <col min="2823" max="2823" width="15.42578125" style="1841" customWidth="1"/>
    <col min="2824" max="2824" width="16.42578125" style="1841" customWidth="1"/>
    <col min="2825" max="2825" width="17.140625" style="1841" customWidth="1"/>
    <col min="2826" max="3072" width="9.140625" style="1841"/>
    <col min="3073" max="3073" width="4.140625" style="1841" customWidth="1"/>
    <col min="3074" max="3074" width="24.42578125" style="1841" customWidth="1"/>
    <col min="3075" max="3075" width="12.28515625" style="1841" customWidth="1"/>
    <col min="3076" max="3076" width="9.42578125" style="1841" customWidth="1"/>
    <col min="3077" max="3077" width="18.42578125" style="1841" customWidth="1"/>
    <col min="3078" max="3078" width="16.42578125" style="1841" customWidth="1"/>
    <col min="3079" max="3079" width="15.42578125" style="1841" customWidth="1"/>
    <col min="3080" max="3080" width="16.42578125" style="1841" customWidth="1"/>
    <col min="3081" max="3081" width="17.140625" style="1841" customWidth="1"/>
    <col min="3082" max="3328" width="9.140625" style="1841"/>
    <col min="3329" max="3329" width="4.140625" style="1841" customWidth="1"/>
    <col min="3330" max="3330" width="24.42578125" style="1841" customWidth="1"/>
    <col min="3331" max="3331" width="12.28515625" style="1841" customWidth="1"/>
    <col min="3332" max="3332" width="9.42578125" style="1841" customWidth="1"/>
    <col min="3333" max="3333" width="18.42578125" style="1841" customWidth="1"/>
    <col min="3334" max="3334" width="16.42578125" style="1841" customWidth="1"/>
    <col min="3335" max="3335" width="15.42578125" style="1841" customWidth="1"/>
    <col min="3336" max="3336" width="16.42578125" style="1841" customWidth="1"/>
    <col min="3337" max="3337" width="17.140625" style="1841" customWidth="1"/>
    <col min="3338" max="3584" width="9.140625" style="1841"/>
    <col min="3585" max="3585" width="4.140625" style="1841" customWidth="1"/>
    <col min="3586" max="3586" width="24.42578125" style="1841" customWidth="1"/>
    <col min="3587" max="3587" width="12.28515625" style="1841" customWidth="1"/>
    <col min="3588" max="3588" width="9.42578125" style="1841" customWidth="1"/>
    <col min="3589" max="3589" width="18.42578125" style="1841" customWidth="1"/>
    <col min="3590" max="3590" width="16.42578125" style="1841" customWidth="1"/>
    <col min="3591" max="3591" width="15.42578125" style="1841" customWidth="1"/>
    <col min="3592" max="3592" width="16.42578125" style="1841" customWidth="1"/>
    <col min="3593" max="3593" width="17.140625" style="1841" customWidth="1"/>
    <col min="3594" max="3840" width="9.140625" style="1841"/>
    <col min="3841" max="3841" width="4.140625" style="1841" customWidth="1"/>
    <col min="3842" max="3842" width="24.42578125" style="1841" customWidth="1"/>
    <col min="3843" max="3843" width="12.28515625" style="1841" customWidth="1"/>
    <col min="3844" max="3844" width="9.42578125" style="1841" customWidth="1"/>
    <col min="3845" max="3845" width="18.42578125" style="1841" customWidth="1"/>
    <col min="3846" max="3846" width="16.42578125" style="1841" customWidth="1"/>
    <col min="3847" max="3847" width="15.42578125" style="1841" customWidth="1"/>
    <col min="3848" max="3848" width="16.42578125" style="1841" customWidth="1"/>
    <col min="3849" max="3849" width="17.140625" style="1841" customWidth="1"/>
    <col min="3850" max="4096" width="9.140625" style="1841"/>
    <col min="4097" max="4097" width="4.140625" style="1841" customWidth="1"/>
    <col min="4098" max="4098" width="24.42578125" style="1841" customWidth="1"/>
    <col min="4099" max="4099" width="12.28515625" style="1841" customWidth="1"/>
    <col min="4100" max="4100" width="9.42578125" style="1841" customWidth="1"/>
    <col min="4101" max="4101" width="18.42578125" style="1841" customWidth="1"/>
    <col min="4102" max="4102" width="16.42578125" style="1841" customWidth="1"/>
    <col min="4103" max="4103" width="15.42578125" style="1841" customWidth="1"/>
    <col min="4104" max="4104" width="16.42578125" style="1841" customWidth="1"/>
    <col min="4105" max="4105" width="17.140625" style="1841" customWidth="1"/>
    <col min="4106" max="4352" width="9.140625" style="1841"/>
    <col min="4353" max="4353" width="4.140625" style="1841" customWidth="1"/>
    <col min="4354" max="4354" width="24.42578125" style="1841" customWidth="1"/>
    <col min="4355" max="4355" width="12.28515625" style="1841" customWidth="1"/>
    <col min="4356" max="4356" width="9.42578125" style="1841" customWidth="1"/>
    <col min="4357" max="4357" width="18.42578125" style="1841" customWidth="1"/>
    <col min="4358" max="4358" width="16.42578125" style="1841" customWidth="1"/>
    <col min="4359" max="4359" width="15.42578125" style="1841" customWidth="1"/>
    <col min="4360" max="4360" width="16.42578125" style="1841" customWidth="1"/>
    <col min="4361" max="4361" width="17.140625" style="1841" customWidth="1"/>
    <col min="4362" max="4608" width="9.140625" style="1841"/>
    <col min="4609" max="4609" width="4.140625" style="1841" customWidth="1"/>
    <col min="4610" max="4610" width="24.42578125" style="1841" customWidth="1"/>
    <col min="4611" max="4611" width="12.28515625" style="1841" customWidth="1"/>
    <col min="4612" max="4612" width="9.42578125" style="1841" customWidth="1"/>
    <col min="4613" max="4613" width="18.42578125" style="1841" customWidth="1"/>
    <col min="4614" max="4614" width="16.42578125" style="1841" customWidth="1"/>
    <col min="4615" max="4615" width="15.42578125" style="1841" customWidth="1"/>
    <col min="4616" max="4616" width="16.42578125" style="1841" customWidth="1"/>
    <col min="4617" max="4617" width="17.140625" style="1841" customWidth="1"/>
    <col min="4618" max="4864" width="9.140625" style="1841"/>
    <col min="4865" max="4865" width="4.140625" style="1841" customWidth="1"/>
    <col min="4866" max="4866" width="24.42578125" style="1841" customWidth="1"/>
    <col min="4867" max="4867" width="12.28515625" style="1841" customWidth="1"/>
    <col min="4868" max="4868" width="9.42578125" style="1841" customWidth="1"/>
    <col min="4869" max="4869" width="18.42578125" style="1841" customWidth="1"/>
    <col min="4870" max="4870" width="16.42578125" style="1841" customWidth="1"/>
    <col min="4871" max="4871" width="15.42578125" style="1841" customWidth="1"/>
    <col min="4872" max="4872" width="16.42578125" style="1841" customWidth="1"/>
    <col min="4873" max="4873" width="17.140625" style="1841" customWidth="1"/>
    <col min="4874" max="5120" width="9.140625" style="1841"/>
    <col min="5121" max="5121" width="4.140625" style="1841" customWidth="1"/>
    <col min="5122" max="5122" width="24.42578125" style="1841" customWidth="1"/>
    <col min="5123" max="5123" width="12.28515625" style="1841" customWidth="1"/>
    <col min="5124" max="5124" width="9.42578125" style="1841" customWidth="1"/>
    <col min="5125" max="5125" width="18.42578125" style="1841" customWidth="1"/>
    <col min="5126" max="5126" width="16.42578125" style="1841" customWidth="1"/>
    <col min="5127" max="5127" width="15.42578125" style="1841" customWidth="1"/>
    <col min="5128" max="5128" width="16.42578125" style="1841" customWidth="1"/>
    <col min="5129" max="5129" width="17.140625" style="1841" customWidth="1"/>
    <col min="5130" max="5376" width="9.140625" style="1841"/>
    <col min="5377" max="5377" width="4.140625" style="1841" customWidth="1"/>
    <col min="5378" max="5378" width="24.42578125" style="1841" customWidth="1"/>
    <col min="5379" max="5379" width="12.28515625" style="1841" customWidth="1"/>
    <col min="5380" max="5380" width="9.42578125" style="1841" customWidth="1"/>
    <col min="5381" max="5381" width="18.42578125" style="1841" customWidth="1"/>
    <col min="5382" max="5382" width="16.42578125" style="1841" customWidth="1"/>
    <col min="5383" max="5383" width="15.42578125" style="1841" customWidth="1"/>
    <col min="5384" max="5384" width="16.42578125" style="1841" customWidth="1"/>
    <col min="5385" max="5385" width="17.140625" style="1841" customWidth="1"/>
    <col min="5386" max="5632" width="9.140625" style="1841"/>
    <col min="5633" max="5633" width="4.140625" style="1841" customWidth="1"/>
    <col min="5634" max="5634" width="24.42578125" style="1841" customWidth="1"/>
    <col min="5635" max="5635" width="12.28515625" style="1841" customWidth="1"/>
    <col min="5636" max="5636" width="9.42578125" style="1841" customWidth="1"/>
    <col min="5637" max="5637" width="18.42578125" style="1841" customWidth="1"/>
    <col min="5638" max="5638" width="16.42578125" style="1841" customWidth="1"/>
    <col min="5639" max="5639" width="15.42578125" style="1841" customWidth="1"/>
    <col min="5640" max="5640" width="16.42578125" style="1841" customWidth="1"/>
    <col min="5641" max="5641" width="17.140625" style="1841" customWidth="1"/>
    <col min="5642" max="5888" width="9.140625" style="1841"/>
    <col min="5889" max="5889" width="4.140625" style="1841" customWidth="1"/>
    <col min="5890" max="5890" width="24.42578125" style="1841" customWidth="1"/>
    <col min="5891" max="5891" width="12.28515625" style="1841" customWidth="1"/>
    <col min="5892" max="5892" width="9.42578125" style="1841" customWidth="1"/>
    <col min="5893" max="5893" width="18.42578125" style="1841" customWidth="1"/>
    <col min="5894" max="5894" width="16.42578125" style="1841" customWidth="1"/>
    <col min="5895" max="5895" width="15.42578125" style="1841" customWidth="1"/>
    <col min="5896" max="5896" width="16.42578125" style="1841" customWidth="1"/>
    <col min="5897" max="5897" width="17.140625" style="1841" customWidth="1"/>
    <col min="5898" max="6144" width="9.140625" style="1841"/>
    <col min="6145" max="6145" width="4.140625" style="1841" customWidth="1"/>
    <col min="6146" max="6146" width="24.42578125" style="1841" customWidth="1"/>
    <col min="6147" max="6147" width="12.28515625" style="1841" customWidth="1"/>
    <col min="6148" max="6148" width="9.42578125" style="1841" customWidth="1"/>
    <col min="6149" max="6149" width="18.42578125" style="1841" customWidth="1"/>
    <col min="6150" max="6150" width="16.42578125" style="1841" customWidth="1"/>
    <col min="6151" max="6151" width="15.42578125" style="1841" customWidth="1"/>
    <col min="6152" max="6152" width="16.42578125" style="1841" customWidth="1"/>
    <col min="6153" max="6153" width="17.140625" style="1841" customWidth="1"/>
    <col min="6154" max="6400" width="9.140625" style="1841"/>
    <col min="6401" max="6401" width="4.140625" style="1841" customWidth="1"/>
    <col min="6402" max="6402" width="24.42578125" style="1841" customWidth="1"/>
    <col min="6403" max="6403" width="12.28515625" style="1841" customWidth="1"/>
    <col min="6404" max="6404" width="9.42578125" style="1841" customWidth="1"/>
    <col min="6405" max="6405" width="18.42578125" style="1841" customWidth="1"/>
    <col min="6406" max="6406" width="16.42578125" style="1841" customWidth="1"/>
    <col min="6407" max="6407" width="15.42578125" style="1841" customWidth="1"/>
    <col min="6408" max="6408" width="16.42578125" style="1841" customWidth="1"/>
    <col min="6409" max="6409" width="17.140625" style="1841" customWidth="1"/>
    <col min="6410" max="6656" width="9.140625" style="1841"/>
    <col min="6657" max="6657" width="4.140625" style="1841" customWidth="1"/>
    <col min="6658" max="6658" width="24.42578125" style="1841" customWidth="1"/>
    <col min="6659" max="6659" width="12.28515625" style="1841" customWidth="1"/>
    <col min="6660" max="6660" width="9.42578125" style="1841" customWidth="1"/>
    <col min="6661" max="6661" width="18.42578125" style="1841" customWidth="1"/>
    <col min="6662" max="6662" width="16.42578125" style="1841" customWidth="1"/>
    <col min="6663" max="6663" width="15.42578125" style="1841" customWidth="1"/>
    <col min="6664" max="6664" width="16.42578125" style="1841" customWidth="1"/>
    <col min="6665" max="6665" width="17.140625" style="1841" customWidth="1"/>
    <col min="6666" max="6912" width="9.140625" style="1841"/>
    <col min="6913" max="6913" width="4.140625" style="1841" customWidth="1"/>
    <col min="6914" max="6914" width="24.42578125" style="1841" customWidth="1"/>
    <col min="6915" max="6915" width="12.28515625" style="1841" customWidth="1"/>
    <col min="6916" max="6916" width="9.42578125" style="1841" customWidth="1"/>
    <col min="6917" max="6917" width="18.42578125" style="1841" customWidth="1"/>
    <col min="6918" max="6918" width="16.42578125" style="1841" customWidth="1"/>
    <col min="6919" max="6919" width="15.42578125" style="1841" customWidth="1"/>
    <col min="6920" max="6920" width="16.42578125" style="1841" customWidth="1"/>
    <col min="6921" max="6921" width="17.140625" style="1841" customWidth="1"/>
    <col min="6922" max="7168" width="9.140625" style="1841"/>
    <col min="7169" max="7169" width="4.140625" style="1841" customWidth="1"/>
    <col min="7170" max="7170" width="24.42578125" style="1841" customWidth="1"/>
    <col min="7171" max="7171" width="12.28515625" style="1841" customWidth="1"/>
    <col min="7172" max="7172" width="9.42578125" style="1841" customWidth="1"/>
    <col min="7173" max="7173" width="18.42578125" style="1841" customWidth="1"/>
    <col min="7174" max="7174" width="16.42578125" style="1841" customWidth="1"/>
    <col min="7175" max="7175" width="15.42578125" style="1841" customWidth="1"/>
    <col min="7176" max="7176" width="16.42578125" style="1841" customWidth="1"/>
    <col min="7177" max="7177" width="17.140625" style="1841" customWidth="1"/>
    <col min="7178" max="7424" width="9.140625" style="1841"/>
    <col min="7425" max="7425" width="4.140625" style="1841" customWidth="1"/>
    <col min="7426" max="7426" width="24.42578125" style="1841" customWidth="1"/>
    <col min="7427" max="7427" width="12.28515625" style="1841" customWidth="1"/>
    <col min="7428" max="7428" width="9.42578125" style="1841" customWidth="1"/>
    <col min="7429" max="7429" width="18.42578125" style="1841" customWidth="1"/>
    <col min="7430" max="7430" width="16.42578125" style="1841" customWidth="1"/>
    <col min="7431" max="7431" width="15.42578125" style="1841" customWidth="1"/>
    <col min="7432" max="7432" width="16.42578125" style="1841" customWidth="1"/>
    <col min="7433" max="7433" width="17.140625" style="1841" customWidth="1"/>
    <col min="7434" max="7680" width="9.140625" style="1841"/>
    <col min="7681" max="7681" width="4.140625" style="1841" customWidth="1"/>
    <col min="7682" max="7682" width="24.42578125" style="1841" customWidth="1"/>
    <col min="7683" max="7683" width="12.28515625" style="1841" customWidth="1"/>
    <col min="7684" max="7684" width="9.42578125" style="1841" customWidth="1"/>
    <col min="7685" max="7685" width="18.42578125" style="1841" customWidth="1"/>
    <col min="7686" max="7686" width="16.42578125" style="1841" customWidth="1"/>
    <col min="7687" max="7687" width="15.42578125" style="1841" customWidth="1"/>
    <col min="7688" max="7688" width="16.42578125" style="1841" customWidth="1"/>
    <col min="7689" max="7689" width="17.140625" style="1841" customWidth="1"/>
    <col min="7690" max="7936" width="9.140625" style="1841"/>
    <col min="7937" max="7937" width="4.140625" style="1841" customWidth="1"/>
    <col min="7938" max="7938" width="24.42578125" style="1841" customWidth="1"/>
    <col min="7939" max="7939" width="12.28515625" style="1841" customWidth="1"/>
    <col min="7940" max="7940" width="9.42578125" style="1841" customWidth="1"/>
    <col min="7941" max="7941" width="18.42578125" style="1841" customWidth="1"/>
    <col min="7942" max="7942" width="16.42578125" style="1841" customWidth="1"/>
    <col min="7943" max="7943" width="15.42578125" style="1841" customWidth="1"/>
    <col min="7944" max="7944" width="16.42578125" style="1841" customWidth="1"/>
    <col min="7945" max="7945" width="17.140625" style="1841" customWidth="1"/>
    <col min="7946" max="8192" width="9.140625" style="1841"/>
    <col min="8193" max="8193" width="4.140625" style="1841" customWidth="1"/>
    <col min="8194" max="8194" width="24.42578125" style="1841" customWidth="1"/>
    <col min="8195" max="8195" width="12.28515625" style="1841" customWidth="1"/>
    <col min="8196" max="8196" width="9.42578125" style="1841" customWidth="1"/>
    <col min="8197" max="8197" width="18.42578125" style="1841" customWidth="1"/>
    <col min="8198" max="8198" width="16.42578125" style="1841" customWidth="1"/>
    <col min="8199" max="8199" width="15.42578125" style="1841" customWidth="1"/>
    <col min="8200" max="8200" width="16.42578125" style="1841" customWidth="1"/>
    <col min="8201" max="8201" width="17.140625" style="1841" customWidth="1"/>
    <col min="8202" max="8448" width="9.140625" style="1841"/>
    <col min="8449" max="8449" width="4.140625" style="1841" customWidth="1"/>
    <col min="8450" max="8450" width="24.42578125" style="1841" customWidth="1"/>
    <col min="8451" max="8451" width="12.28515625" style="1841" customWidth="1"/>
    <col min="8452" max="8452" width="9.42578125" style="1841" customWidth="1"/>
    <col min="8453" max="8453" width="18.42578125" style="1841" customWidth="1"/>
    <col min="8454" max="8454" width="16.42578125" style="1841" customWidth="1"/>
    <col min="8455" max="8455" width="15.42578125" style="1841" customWidth="1"/>
    <col min="8456" max="8456" width="16.42578125" style="1841" customWidth="1"/>
    <col min="8457" max="8457" width="17.140625" style="1841" customWidth="1"/>
    <col min="8458" max="8704" width="9.140625" style="1841"/>
    <col min="8705" max="8705" width="4.140625" style="1841" customWidth="1"/>
    <col min="8706" max="8706" width="24.42578125" style="1841" customWidth="1"/>
    <col min="8707" max="8707" width="12.28515625" style="1841" customWidth="1"/>
    <col min="8708" max="8708" width="9.42578125" style="1841" customWidth="1"/>
    <col min="8709" max="8709" width="18.42578125" style="1841" customWidth="1"/>
    <col min="8710" max="8710" width="16.42578125" style="1841" customWidth="1"/>
    <col min="8711" max="8711" width="15.42578125" style="1841" customWidth="1"/>
    <col min="8712" max="8712" width="16.42578125" style="1841" customWidth="1"/>
    <col min="8713" max="8713" width="17.140625" style="1841" customWidth="1"/>
    <col min="8714" max="8960" width="9.140625" style="1841"/>
    <col min="8961" max="8961" width="4.140625" style="1841" customWidth="1"/>
    <col min="8962" max="8962" width="24.42578125" style="1841" customWidth="1"/>
    <col min="8963" max="8963" width="12.28515625" style="1841" customWidth="1"/>
    <col min="8964" max="8964" width="9.42578125" style="1841" customWidth="1"/>
    <col min="8965" max="8965" width="18.42578125" style="1841" customWidth="1"/>
    <col min="8966" max="8966" width="16.42578125" style="1841" customWidth="1"/>
    <col min="8967" max="8967" width="15.42578125" style="1841" customWidth="1"/>
    <col min="8968" max="8968" width="16.42578125" style="1841" customWidth="1"/>
    <col min="8969" max="8969" width="17.140625" style="1841" customWidth="1"/>
    <col min="8970" max="9216" width="9.140625" style="1841"/>
    <col min="9217" max="9217" width="4.140625" style="1841" customWidth="1"/>
    <col min="9218" max="9218" width="24.42578125" style="1841" customWidth="1"/>
    <col min="9219" max="9219" width="12.28515625" style="1841" customWidth="1"/>
    <col min="9220" max="9220" width="9.42578125" style="1841" customWidth="1"/>
    <col min="9221" max="9221" width="18.42578125" style="1841" customWidth="1"/>
    <col min="9222" max="9222" width="16.42578125" style="1841" customWidth="1"/>
    <col min="9223" max="9223" width="15.42578125" style="1841" customWidth="1"/>
    <col min="9224" max="9224" width="16.42578125" style="1841" customWidth="1"/>
    <col min="9225" max="9225" width="17.140625" style="1841" customWidth="1"/>
    <col min="9226" max="9472" width="9.140625" style="1841"/>
    <col min="9473" max="9473" width="4.140625" style="1841" customWidth="1"/>
    <col min="9474" max="9474" width="24.42578125" style="1841" customWidth="1"/>
    <col min="9475" max="9475" width="12.28515625" style="1841" customWidth="1"/>
    <col min="9476" max="9476" width="9.42578125" style="1841" customWidth="1"/>
    <col min="9477" max="9477" width="18.42578125" style="1841" customWidth="1"/>
    <col min="9478" max="9478" width="16.42578125" style="1841" customWidth="1"/>
    <col min="9479" max="9479" width="15.42578125" style="1841" customWidth="1"/>
    <col min="9480" max="9480" width="16.42578125" style="1841" customWidth="1"/>
    <col min="9481" max="9481" width="17.140625" style="1841" customWidth="1"/>
    <col min="9482" max="9728" width="9.140625" style="1841"/>
    <col min="9729" max="9729" width="4.140625" style="1841" customWidth="1"/>
    <col min="9730" max="9730" width="24.42578125" style="1841" customWidth="1"/>
    <col min="9731" max="9731" width="12.28515625" style="1841" customWidth="1"/>
    <col min="9732" max="9732" width="9.42578125" style="1841" customWidth="1"/>
    <col min="9733" max="9733" width="18.42578125" style="1841" customWidth="1"/>
    <col min="9734" max="9734" width="16.42578125" style="1841" customWidth="1"/>
    <col min="9735" max="9735" width="15.42578125" style="1841" customWidth="1"/>
    <col min="9736" max="9736" width="16.42578125" style="1841" customWidth="1"/>
    <col min="9737" max="9737" width="17.140625" style="1841" customWidth="1"/>
    <col min="9738" max="9984" width="9.140625" style="1841"/>
    <col min="9985" max="9985" width="4.140625" style="1841" customWidth="1"/>
    <col min="9986" max="9986" width="24.42578125" style="1841" customWidth="1"/>
    <col min="9987" max="9987" width="12.28515625" style="1841" customWidth="1"/>
    <col min="9988" max="9988" width="9.42578125" style="1841" customWidth="1"/>
    <col min="9989" max="9989" width="18.42578125" style="1841" customWidth="1"/>
    <col min="9990" max="9990" width="16.42578125" style="1841" customWidth="1"/>
    <col min="9991" max="9991" width="15.42578125" style="1841" customWidth="1"/>
    <col min="9992" max="9992" width="16.42578125" style="1841" customWidth="1"/>
    <col min="9993" max="9993" width="17.140625" style="1841" customWidth="1"/>
    <col min="9994" max="10240" width="9.140625" style="1841"/>
    <col min="10241" max="10241" width="4.140625" style="1841" customWidth="1"/>
    <col min="10242" max="10242" width="24.42578125" style="1841" customWidth="1"/>
    <col min="10243" max="10243" width="12.28515625" style="1841" customWidth="1"/>
    <col min="10244" max="10244" width="9.42578125" style="1841" customWidth="1"/>
    <col min="10245" max="10245" width="18.42578125" style="1841" customWidth="1"/>
    <col min="10246" max="10246" width="16.42578125" style="1841" customWidth="1"/>
    <col min="10247" max="10247" width="15.42578125" style="1841" customWidth="1"/>
    <col min="10248" max="10248" width="16.42578125" style="1841" customWidth="1"/>
    <col min="10249" max="10249" width="17.140625" style="1841" customWidth="1"/>
    <col min="10250" max="10496" width="9.140625" style="1841"/>
    <col min="10497" max="10497" width="4.140625" style="1841" customWidth="1"/>
    <col min="10498" max="10498" width="24.42578125" style="1841" customWidth="1"/>
    <col min="10499" max="10499" width="12.28515625" style="1841" customWidth="1"/>
    <col min="10500" max="10500" width="9.42578125" style="1841" customWidth="1"/>
    <col min="10501" max="10501" width="18.42578125" style="1841" customWidth="1"/>
    <col min="10502" max="10502" width="16.42578125" style="1841" customWidth="1"/>
    <col min="10503" max="10503" width="15.42578125" style="1841" customWidth="1"/>
    <col min="10504" max="10504" width="16.42578125" style="1841" customWidth="1"/>
    <col min="10505" max="10505" width="17.140625" style="1841" customWidth="1"/>
    <col min="10506" max="10752" width="9.140625" style="1841"/>
    <col min="10753" max="10753" width="4.140625" style="1841" customWidth="1"/>
    <col min="10754" max="10754" width="24.42578125" style="1841" customWidth="1"/>
    <col min="10755" max="10755" width="12.28515625" style="1841" customWidth="1"/>
    <col min="10756" max="10756" width="9.42578125" style="1841" customWidth="1"/>
    <col min="10757" max="10757" width="18.42578125" style="1841" customWidth="1"/>
    <col min="10758" max="10758" width="16.42578125" style="1841" customWidth="1"/>
    <col min="10759" max="10759" width="15.42578125" style="1841" customWidth="1"/>
    <col min="10760" max="10760" width="16.42578125" style="1841" customWidth="1"/>
    <col min="10761" max="10761" width="17.140625" style="1841" customWidth="1"/>
    <col min="10762" max="11008" width="9.140625" style="1841"/>
    <col min="11009" max="11009" width="4.140625" style="1841" customWidth="1"/>
    <col min="11010" max="11010" width="24.42578125" style="1841" customWidth="1"/>
    <col min="11011" max="11011" width="12.28515625" style="1841" customWidth="1"/>
    <col min="11012" max="11012" width="9.42578125" style="1841" customWidth="1"/>
    <col min="11013" max="11013" width="18.42578125" style="1841" customWidth="1"/>
    <col min="11014" max="11014" width="16.42578125" style="1841" customWidth="1"/>
    <col min="11015" max="11015" width="15.42578125" style="1841" customWidth="1"/>
    <col min="11016" max="11016" width="16.42578125" style="1841" customWidth="1"/>
    <col min="11017" max="11017" width="17.140625" style="1841" customWidth="1"/>
    <col min="11018" max="11264" width="9.140625" style="1841"/>
    <col min="11265" max="11265" width="4.140625" style="1841" customWidth="1"/>
    <col min="11266" max="11266" width="24.42578125" style="1841" customWidth="1"/>
    <col min="11267" max="11267" width="12.28515625" style="1841" customWidth="1"/>
    <col min="11268" max="11268" width="9.42578125" style="1841" customWidth="1"/>
    <col min="11269" max="11269" width="18.42578125" style="1841" customWidth="1"/>
    <col min="11270" max="11270" width="16.42578125" style="1841" customWidth="1"/>
    <col min="11271" max="11271" width="15.42578125" style="1841" customWidth="1"/>
    <col min="11272" max="11272" width="16.42578125" style="1841" customWidth="1"/>
    <col min="11273" max="11273" width="17.140625" style="1841" customWidth="1"/>
    <col min="11274" max="11520" width="9.140625" style="1841"/>
    <col min="11521" max="11521" width="4.140625" style="1841" customWidth="1"/>
    <col min="11522" max="11522" width="24.42578125" style="1841" customWidth="1"/>
    <col min="11523" max="11523" width="12.28515625" style="1841" customWidth="1"/>
    <col min="11524" max="11524" width="9.42578125" style="1841" customWidth="1"/>
    <col min="11525" max="11525" width="18.42578125" style="1841" customWidth="1"/>
    <col min="11526" max="11526" width="16.42578125" style="1841" customWidth="1"/>
    <col min="11527" max="11527" width="15.42578125" style="1841" customWidth="1"/>
    <col min="11528" max="11528" width="16.42578125" style="1841" customWidth="1"/>
    <col min="11529" max="11529" width="17.140625" style="1841" customWidth="1"/>
    <col min="11530" max="11776" width="9.140625" style="1841"/>
    <col min="11777" max="11777" width="4.140625" style="1841" customWidth="1"/>
    <col min="11778" max="11778" width="24.42578125" style="1841" customWidth="1"/>
    <col min="11779" max="11779" width="12.28515625" style="1841" customWidth="1"/>
    <col min="11780" max="11780" width="9.42578125" style="1841" customWidth="1"/>
    <col min="11781" max="11781" width="18.42578125" style="1841" customWidth="1"/>
    <col min="11782" max="11782" width="16.42578125" style="1841" customWidth="1"/>
    <col min="11783" max="11783" width="15.42578125" style="1841" customWidth="1"/>
    <col min="11784" max="11784" width="16.42578125" style="1841" customWidth="1"/>
    <col min="11785" max="11785" width="17.140625" style="1841" customWidth="1"/>
    <col min="11786" max="12032" width="9.140625" style="1841"/>
    <col min="12033" max="12033" width="4.140625" style="1841" customWidth="1"/>
    <col min="12034" max="12034" width="24.42578125" style="1841" customWidth="1"/>
    <col min="12035" max="12035" width="12.28515625" style="1841" customWidth="1"/>
    <col min="12036" max="12036" width="9.42578125" style="1841" customWidth="1"/>
    <col min="12037" max="12037" width="18.42578125" style="1841" customWidth="1"/>
    <col min="12038" max="12038" width="16.42578125" style="1841" customWidth="1"/>
    <col min="12039" max="12039" width="15.42578125" style="1841" customWidth="1"/>
    <col min="12040" max="12040" width="16.42578125" style="1841" customWidth="1"/>
    <col min="12041" max="12041" width="17.140625" style="1841" customWidth="1"/>
    <col min="12042" max="12288" width="9.140625" style="1841"/>
    <col min="12289" max="12289" width="4.140625" style="1841" customWidth="1"/>
    <col min="12290" max="12290" width="24.42578125" style="1841" customWidth="1"/>
    <col min="12291" max="12291" width="12.28515625" style="1841" customWidth="1"/>
    <col min="12292" max="12292" width="9.42578125" style="1841" customWidth="1"/>
    <col min="12293" max="12293" width="18.42578125" style="1841" customWidth="1"/>
    <col min="12294" max="12294" width="16.42578125" style="1841" customWidth="1"/>
    <col min="12295" max="12295" width="15.42578125" style="1841" customWidth="1"/>
    <col min="12296" max="12296" width="16.42578125" style="1841" customWidth="1"/>
    <col min="12297" max="12297" width="17.140625" style="1841" customWidth="1"/>
    <col min="12298" max="12544" width="9.140625" style="1841"/>
    <col min="12545" max="12545" width="4.140625" style="1841" customWidth="1"/>
    <col min="12546" max="12546" width="24.42578125" style="1841" customWidth="1"/>
    <col min="12547" max="12547" width="12.28515625" style="1841" customWidth="1"/>
    <col min="12548" max="12548" width="9.42578125" style="1841" customWidth="1"/>
    <col min="12549" max="12549" width="18.42578125" style="1841" customWidth="1"/>
    <col min="12550" max="12550" width="16.42578125" style="1841" customWidth="1"/>
    <col min="12551" max="12551" width="15.42578125" style="1841" customWidth="1"/>
    <col min="12552" max="12552" width="16.42578125" style="1841" customWidth="1"/>
    <col min="12553" max="12553" width="17.140625" style="1841" customWidth="1"/>
    <col min="12554" max="12800" width="9.140625" style="1841"/>
    <col min="12801" max="12801" width="4.140625" style="1841" customWidth="1"/>
    <col min="12802" max="12802" width="24.42578125" style="1841" customWidth="1"/>
    <col min="12803" max="12803" width="12.28515625" style="1841" customWidth="1"/>
    <col min="12804" max="12804" width="9.42578125" style="1841" customWidth="1"/>
    <col min="12805" max="12805" width="18.42578125" style="1841" customWidth="1"/>
    <col min="12806" max="12806" width="16.42578125" style="1841" customWidth="1"/>
    <col min="12807" max="12807" width="15.42578125" style="1841" customWidth="1"/>
    <col min="12808" max="12808" width="16.42578125" style="1841" customWidth="1"/>
    <col min="12809" max="12809" width="17.140625" style="1841" customWidth="1"/>
    <col min="12810" max="13056" width="9.140625" style="1841"/>
    <col min="13057" max="13057" width="4.140625" style="1841" customWidth="1"/>
    <col min="13058" max="13058" width="24.42578125" style="1841" customWidth="1"/>
    <col min="13059" max="13059" width="12.28515625" style="1841" customWidth="1"/>
    <col min="13060" max="13060" width="9.42578125" style="1841" customWidth="1"/>
    <col min="13061" max="13061" width="18.42578125" style="1841" customWidth="1"/>
    <col min="13062" max="13062" width="16.42578125" style="1841" customWidth="1"/>
    <col min="13063" max="13063" width="15.42578125" style="1841" customWidth="1"/>
    <col min="13064" max="13064" width="16.42578125" style="1841" customWidth="1"/>
    <col min="13065" max="13065" width="17.140625" style="1841" customWidth="1"/>
    <col min="13066" max="13312" width="9.140625" style="1841"/>
    <col min="13313" max="13313" width="4.140625" style="1841" customWidth="1"/>
    <col min="13314" max="13314" width="24.42578125" style="1841" customWidth="1"/>
    <col min="13315" max="13315" width="12.28515625" style="1841" customWidth="1"/>
    <col min="13316" max="13316" width="9.42578125" style="1841" customWidth="1"/>
    <col min="13317" max="13317" width="18.42578125" style="1841" customWidth="1"/>
    <col min="13318" max="13318" width="16.42578125" style="1841" customWidth="1"/>
    <col min="13319" max="13319" width="15.42578125" style="1841" customWidth="1"/>
    <col min="13320" max="13320" width="16.42578125" style="1841" customWidth="1"/>
    <col min="13321" max="13321" width="17.140625" style="1841" customWidth="1"/>
    <col min="13322" max="13568" width="9.140625" style="1841"/>
    <col min="13569" max="13569" width="4.140625" style="1841" customWidth="1"/>
    <col min="13570" max="13570" width="24.42578125" style="1841" customWidth="1"/>
    <col min="13571" max="13571" width="12.28515625" style="1841" customWidth="1"/>
    <col min="13572" max="13572" width="9.42578125" style="1841" customWidth="1"/>
    <col min="13573" max="13573" width="18.42578125" style="1841" customWidth="1"/>
    <col min="13574" max="13574" width="16.42578125" style="1841" customWidth="1"/>
    <col min="13575" max="13575" width="15.42578125" style="1841" customWidth="1"/>
    <col min="13576" max="13576" width="16.42578125" style="1841" customWidth="1"/>
    <col min="13577" max="13577" width="17.140625" style="1841" customWidth="1"/>
    <col min="13578" max="13824" width="9.140625" style="1841"/>
    <col min="13825" max="13825" width="4.140625" style="1841" customWidth="1"/>
    <col min="13826" max="13826" width="24.42578125" style="1841" customWidth="1"/>
    <col min="13827" max="13827" width="12.28515625" style="1841" customWidth="1"/>
    <col min="13828" max="13828" width="9.42578125" style="1841" customWidth="1"/>
    <col min="13829" max="13829" width="18.42578125" style="1841" customWidth="1"/>
    <col min="13830" max="13830" width="16.42578125" style="1841" customWidth="1"/>
    <col min="13831" max="13831" width="15.42578125" style="1841" customWidth="1"/>
    <col min="13832" max="13832" width="16.42578125" style="1841" customWidth="1"/>
    <col min="13833" max="13833" width="17.140625" style="1841" customWidth="1"/>
    <col min="13834" max="14080" width="9.140625" style="1841"/>
    <col min="14081" max="14081" width="4.140625" style="1841" customWidth="1"/>
    <col min="14082" max="14082" width="24.42578125" style="1841" customWidth="1"/>
    <col min="14083" max="14083" width="12.28515625" style="1841" customWidth="1"/>
    <col min="14084" max="14084" width="9.42578125" style="1841" customWidth="1"/>
    <col min="14085" max="14085" width="18.42578125" style="1841" customWidth="1"/>
    <col min="14086" max="14086" width="16.42578125" style="1841" customWidth="1"/>
    <col min="14087" max="14087" width="15.42578125" style="1841" customWidth="1"/>
    <col min="14088" max="14088" width="16.42578125" style="1841" customWidth="1"/>
    <col min="14089" max="14089" width="17.140625" style="1841" customWidth="1"/>
    <col min="14090" max="14336" width="9.140625" style="1841"/>
    <col min="14337" max="14337" width="4.140625" style="1841" customWidth="1"/>
    <col min="14338" max="14338" width="24.42578125" style="1841" customWidth="1"/>
    <col min="14339" max="14339" width="12.28515625" style="1841" customWidth="1"/>
    <col min="14340" max="14340" width="9.42578125" style="1841" customWidth="1"/>
    <col min="14341" max="14341" width="18.42578125" style="1841" customWidth="1"/>
    <col min="14342" max="14342" width="16.42578125" style="1841" customWidth="1"/>
    <col min="14343" max="14343" width="15.42578125" style="1841" customWidth="1"/>
    <col min="14344" max="14344" width="16.42578125" style="1841" customWidth="1"/>
    <col min="14345" max="14345" width="17.140625" style="1841" customWidth="1"/>
    <col min="14346" max="14592" width="9.140625" style="1841"/>
    <col min="14593" max="14593" width="4.140625" style="1841" customWidth="1"/>
    <col min="14594" max="14594" width="24.42578125" style="1841" customWidth="1"/>
    <col min="14595" max="14595" width="12.28515625" style="1841" customWidth="1"/>
    <col min="14596" max="14596" width="9.42578125" style="1841" customWidth="1"/>
    <col min="14597" max="14597" width="18.42578125" style="1841" customWidth="1"/>
    <col min="14598" max="14598" width="16.42578125" style="1841" customWidth="1"/>
    <col min="14599" max="14599" width="15.42578125" style="1841" customWidth="1"/>
    <col min="14600" max="14600" width="16.42578125" style="1841" customWidth="1"/>
    <col min="14601" max="14601" width="17.140625" style="1841" customWidth="1"/>
    <col min="14602" max="14848" width="9.140625" style="1841"/>
    <col min="14849" max="14849" width="4.140625" style="1841" customWidth="1"/>
    <col min="14850" max="14850" width="24.42578125" style="1841" customWidth="1"/>
    <col min="14851" max="14851" width="12.28515625" style="1841" customWidth="1"/>
    <col min="14852" max="14852" width="9.42578125" style="1841" customWidth="1"/>
    <col min="14853" max="14853" width="18.42578125" style="1841" customWidth="1"/>
    <col min="14854" max="14854" width="16.42578125" style="1841" customWidth="1"/>
    <col min="14855" max="14855" width="15.42578125" style="1841" customWidth="1"/>
    <col min="14856" max="14856" width="16.42578125" style="1841" customWidth="1"/>
    <col min="14857" max="14857" width="17.140625" style="1841" customWidth="1"/>
    <col min="14858" max="15104" width="9.140625" style="1841"/>
    <col min="15105" max="15105" width="4.140625" style="1841" customWidth="1"/>
    <col min="15106" max="15106" width="24.42578125" style="1841" customWidth="1"/>
    <col min="15107" max="15107" width="12.28515625" style="1841" customWidth="1"/>
    <col min="15108" max="15108" width="9.42578125" style="1841" customWidth="1"/>
    <col min="15109" max="15109" width="18.42578125" style="1841" customWidth="1"/>
    <col min="15110" max="15110" width="16.42578125" style="1841" customWidth="1"/>
    <col min="15111" max="15111" width="15.42578125" style="1841" customWidth="1"/>
    <col min="15112" max="15112" width="16.42578125" style="1841" customWidth="1"/>
    <col min="15113" max="15113" width="17.140625" style="1841" customWidth="1"/>
    <col min="15114" max="15360" width="9.140625" style="1841"/>
    <col min="15361" max="15361" width="4.140625" style="1841" customWidth="1"/>
    <col min="15362" max="15362" width="24.42578125" style="1841" customWidth="1"/>
    <col min="15363" max="15363" width="12.28515625" style="1841" customWidth="1"/>
    <col min="15364" max="15364" width="9.42578125" style="1841" customWidth="1"/>
    <col min="15365" max="15365" width="18.42578125" style="1841" customWidth="1"/>
    <col min="15366" max="15366" width="16.42578125" style="1841" customWidth="1"/>
    <col min="15367" max="15367" width="15.42578125" style="1841" customWidth="1"/>
    <col min="15368" max="15368" width="16.42578125" style="1841" customWidth="1"/>
    <col min="15369" max="15369" width="17.140625" style="1841" customWidth="1"/>
    <col min="15370" max="15616" width="9.140625" style="1841"/>
    <col min="15617" max="15617" width="4.140625" style="1841" customWidth="1"/>
    <col min="15618" max="15618" width="24.42578125" style="1841" customWidth="1"/>
    <col min="15619" max="15619" width="12.28515625" style="1841" customWidth="1"/>
    <col min="15620" max="15620" width="9.42578125" style="1841" customWidth="1"/>
    <col min="15621" max="15621" width="18.42578125" style="1841" customWidth="1"/>
    <col min="15622" max="15622" width="16.42578125" style="1841" customWidth="1"/>
    <col min="15623" max="15623" width="15.42578125" style="1841" customWidth="1"/>
    <col min="15624" max="15624" width="16.42578125" style="1841" customWidth="1"/>
    <col min="15625" max="15625" width="17.140625" style="1841" customWidth="1"/>
    <col min="15626" max="15872" width="9.140625" style="1841"/>
    <col min="15873" max="15873" width="4.140625" style="1841" customWidth="1"/>
    <col min="15874" max="15874" width="24.42578125" style="1841" customWidth="1"/>
    <col min="15875" max="15875" width="12.28515625" style="1841" customWidth="1"/>
    <col min="15876" max="15876" width="9.42578125" style="1841" customWidth="1"/>
    <col min="15877" max="15877" width="18.42578125" style="1841" customWidth="1"/>
    <col min="15878" max="15878" width="16.42578125" style="1841" customWidth="1"/>
    <col min="15879" max="15879" width="15.42578125" style="1841" customWidth="1"/>
    <col min="15880" max="15880" width="16.42578125" style="1841" customWidth="1"/>
    <col min="15881" max="15881" width="17.140625" style="1841" customWidth="1"/>
    <col min="15882" max="16128" width="9.140625" style="1841"/>
    <col min="16129" max="16129" width="4.140625" style="1841" customWidth="1"/>
    <col min="16130" max="16130" width="24.42578125" style="1841" customWidth="1"/>
    <col min="16131" max="16131" width="12.28515625" style="1841" customWidth="1"/>
    <col min="16132" max="16132" width="9.42578125" style="1841" customWidth="1"/>
    <col min="16133" max="16133" width="18.42578125" style="1841" customWidth="1"/>
    <col min="16134" max="16134" width="16.42578125" style="1841" customWidth="1"/>
    <col min="16135" max="16135" width="15.42578125" style="1841" customWidth="1"/>
    <col min="16136" max="16136" width="16.42578125" style="1841" customWidth="1"/>
    <col min="16137" max="16137" width="17.140625" style="1841" customWidth="1"/>
    <col min="16138" max="16384" width="9.140625" style="1841"/>
  </cols>
  <sheetData>
    <row r="1" spans="1:9">
      <c r="C1" s="1842" t="s">
        <v>1106</v>
      </c>
      <c r="G1" s="1845" t="s">
        <v>1020</v>
      </c>
    </row>
    <row r="4" spans="1:9" ht="17.25" customHeight="1">
      <c r="A4" s="1842"/>
      <c r="B4" s="1840"/>
      <c r="D4" s="1840"/>
      <c r="E4" s="1840"/>
      <c r="F4" s="1840"/>
      <c r="G4" s="2578" t="s">
        <v>537</v>
      </c>
      <c r="H4" s="2578"/>
      <c r="I4" s="2578"/>
    </row>
    <row r="5" spans="1:9" s="1849" customFormat="1" ht="16.5" customHeight="1">
      <c r="A5" s="1846" t="s">
        <v>0</v>
      </c>
      <c r="B5" s="1846" t="s">
        <v>1105</v>
      </c>
      <c r="C5" s="1846" t="s">
        <v>235</v>
      </c>
      <c r="D5" s="1847" t="s">
        <v>99</v>
      </c>
      <c r="E5" s="1848" t="s">
        <v>1104</v>
      </c>
      <c r="F5" s="1848" t="s">
        <v>1103</v>
      </c>
      <c r="G5" s="1848" t="s">
        <v>39</v>
      </c>
      <c r="H5" s="1848" t="s">
        <v>242</v>
      </c>
      <c r="I5" s="1846" t="s">
        <v>1102</v>
      </c>
    </row>
    <row r="6" spans="1:9" ht="17.25" customHeight="1">
      <c r="A6" s="1850">
        <v>1</v>
      </c>
      <c r="B6" s="1851" t="s">
        <v>1101</v>
      </c>
      <c r="C6" s="1850" t="s">
        <v>829</v>
      </c>
      <c r="D6" s="1852">
        <v>18000</v>
      </c>
      <c r="E6" s="1853">
        <v>5000</v>
      </c>
      <c r="F6" s="1853">
        <f t="shared" ref="F6:F13" si="0">D6*E6</f>
        <v>90000000</v>
      </c>
      <c r="G6" s="1853">
        <v>8000</v>
      </c>
      <c r="H6" s="1853">
        <f t="shared" ref="H6:H13" si="1">D6*G6</f>
        <v>144000000</v>
      </c>
      <c r="I6" s="1854">
        <f t="shared" ref="I6:I13" si="2">H6-F6</f>
        <v>54000000</v>
      </c>
    </row>
    <row r="7" spans="1:9" ht="17.25" customHeight="1">
      <c r="A7" s="1850">
        <v>2</v>
      </c>
      <c r="B7" s="1851" t="s">
        <v>1100</v>
      </c>
      <c r="C7" s="1850" t="s">
        <v>829</v>
      </c>
      <c r="D7" s="1852">
        <v>10000</v>
      </c>
      <c r="E7" s="1853">
        <v>6000</v>
      </c>
      <c r="F7" s="1853">
        <f t="shared" si="0"/>
        <v>60000000</v>
      </c>
      <c r="G7" s="1853">
        <v>7000</v>
      </c>
      <c r="H7" s="1853">
        <f t="shared" si="1"/>
        <v>70000000</v>
      </c>
      <c r="I7" s="1854">
        <f t="shared" si="2"/>
        <v>10000000</v>
      </c>
    </row>
    <row r="8" spans="1:9" ht="17.25" customHeight="1">
      <c r="A8" s="1850">
        <v>3</v>
      </c>
      <c r="B8" s="1851" t="s">
        <v>1099</v>
      </c>
      <c r="C8" s="1850" t="s">
        <v>829</v>
      </c>
      <c r="D8" s="1852">
        <v>15000</v>
      </c>
      <c r="E8" s="1853">
        <v>15000</v>
      </c>
      <c r="F8" s="1853">
        <f t="shared" si="0"/>
        <v>225000000</v>
      </c>
      <c r="G8" s="1853">
        <v>17000</v>
      </c>
      <c r="H8" s="1853">
        <f t="shared" si="1"/>
        <v>255000000</v>
      </c>
      <c r="I8" s="1854">
        <f t="shared" si="2"/>
        <v>30000000</v>
      </c>
    </row>
    <row r="9" spans="1:9" ht="17.25" customHeight="1">
      <c r="A9" s="1850">
        <v>4</v>
      </c>
      <c r="B9" s="1851" t="s">
        <v>1098</v>
      </c>
      <c r="C9" s="1850" t="s">
        <v>829</v>
      </c>
      <c r="D9" s="1852">
        <v>15000</v>
      </c>
      <c r="E9" s="1853">
        <v>20000</v>
      </c>
      <c r="F9" s="1853">
        <f t="shared" si="0"/>
        <v>300000000</v>
      </c>
      <c r="G9" s="1853">
        <v>23000</v>
      </c>
      <c r="H9" s="1853">
        <f t="shared" si="1"/>
        <v>345000000</v>
      </c>
      <c r="I9" s="1854">
        <f t="shared" si="2"/>
        <v>45000000</v>
      </c>
    </row>
    <row r="10" spans="1:9" ht="17.25" customHeight="1">
      <c r="A10" s="1850">
        <v>5</v>
      </c>
      <c r="B10" s="1851" t="s">
        <v>1097</v>
      </c>
      <c r="C10" s="1850" t="s">
        <v>829</v>
      </c>
      <c r="D10" s="1852">
        <v>10000</v>
      </c>
      <c r="E10" s="1853">
        <v>5000</v>
      </c>
      <c r="F10" s="1853">
        <f t="shared" si="0"/>
        <v>50000000</v>
      </c>
      <c r="G10" s="1853">
        <v>6000</v>
      </c>
      <c r="H10" s="1853">
        <f t="shared" si="1"/>
        <v>60000000</v>
      </c>
      <c r="I10" s="1854">
        <f t="shared" si="2"/>
        <v>10000000</v>
      </c>
    </row>
    <row r="11" spans="1:9" ht="17.25" customHeight="1">
      <c r="A11" s="1850">
        <v>6</v>
      </c>
      <c r="B11" s="1851" t="s">
        <v>298</v>
      </c>
      <c r="C11" s="1850" t="s">
        <v>829</v>
      </c>
      <c r="D11" s="1852">
        <v>10000</v>
      </c>
      <c r="E11" s="1853">
        <v>3000</v>
      </c>
      <c r="F11" s="1853">
        <f t="shared" si="0"/>
        <v>30000000</v>
      </c>
      <c r="G11" s="1853">
        <v>5000</v>
      </c>
      <c r="H11" s="1853">
        <f t="shared" si="1"/>
        <v>50000000</v>
      </c>
      <c r="I11" s="1854">
        <f t="shared" si="2"/>
        <v>20000000</v>
      </c>
    </row>
    <row r="12" spans="1:9" ht="17.25" customHeight="1">
      <c r="A12" s="1850">
        <v>7</v>
      </c>
      <c r="B12" s="1851" t="s">
        <v>1096</v>
      </c>
      <c r="C12" s="1850" t="s">
        <v>829</v>
      </c>
      <c r="D12" s="1852">
        <v>30000</v>
      </c>
      <c r="E12" s="1853">
        <v>75000</v>
      </c>
      <c r="F12" s="1853">
        <f t="shared" si="0"/>
        <v>2250000000</v>
      </c>
      <c r="G12" s="1853">
        <v>90000</v>
      </c>
      <c r="H12" s="1853">
        <f t="shared" si="1"/>
        <v>2700000000</v>
      </c>
      <c r="I12" s="1854">
        <f t="shared" si="2"/>
        <v>450000000</v>
      </c>
    </row>
    <row r="13" spans="1:9" ht="17.25" customHeight="1">
      <c r="A13" s="1850">
        <v>8</v>
      </c>
      <c r="B13" s="1851" t="s">
        <v>1095</v>
      </c>
      <c r="C13" s="1850" t="s">
        <v>11</v>
      </c>
      <c r="D13" s="1852">
        <v>20000</v>
      </c>
      <c r="E13" s="1853">
        <v>125000</v>
      </c>
      <c r="F13" s="1853">
        <f t="shared" si="0"/>
        <v>2500000000</v>
      </c>
      <c r="G13" s="1853">
        <v>140000</v>
      </c>
      <c r="H13" s="1853">
        <f t="shared" si="1"/>
        <v>2800000000</v>
      </c>
      <c r="I13" s="1854">
        <f t="shared" si="2"/>
        <v>300000000</v>
      </c>
    </row>
    <row r="14" spans="1:9" s="1860" customFormat="1" ht="17.25" customHeight="1">
      <c r="A14" s="1855"/>
      <c r="B14" s="1856" t="s">
        <v>1094</v>
      </c>
      <c r="C14" s="1855"/>
      <c r="D14" s="1857"/>
      <c r="E14" s="1858"/>
      <c r="F14" s="1858">
        <f>SUM(F6:F13)</f>
        <v>5505000000</v>
      </c>
      <c r="G14" s="1858"/>
      <c r="H14" s="1858">
        <f>SUM(H6:H13)</f>
        <v>6424000000</v>
      </c>
      <c r="I14" s="1859">
        <f>SUM(I6:I13)</f>
        <v>919000000</v>
      </c>
    </row>
    <row r="15" spans="1:9" s="1865" customFormat="1">
      <c r="A15" s="1861"/>
      <c r="B15" s="1862" t="s">
        <v>1093</v>
      </c>
      <c r="C15" s="1862"/>
      <c r="D15" s="1863"/>
      <c r="E15" s="1863">
        <f>SUM(E16:E19)</f>
        <v>6095000000</v>
      </c>
      <c r="F15" s="1864" t="s">
        <v>1092</v>
      </c>
      <c r="G15" s="1864"/>
      <c r="H15" s="1864"/>
    </row>
    <row r="16" spans="1:9">
      <c r="B16" s="1866" t="s">
        <v>1091</v>
      </c>
      <c r="D16" s="1863"/>
      <c r="E16" s="1867">
        <f>F14</f>
        <v>5505000000</v>
      </c>
      <c r="F16" s="1844" t="s">
        <v>1080</v>
      </c>
    </row>
    <row r="17" spans="1:8" ht="17.25" customHeight="1">
      <c r="B17" s="1866" t="s">
        <v>1090</v>
      </c>
      <c r="D17" s="1863"/>
      <c r="E17" s="1867">
        <v>200000000</v>
      </c>
      <c r="F17" s="1844" t="s">
        <v>1080</v>
      </c>
    </row>
    <row r="18" spans="1:8">
      <c r="B18" s="1866" t="s">
        <v>1089</v>
      </c>
      <c r="D18" s="1863"/>
      <c r="E18" s="1867">
        <v>150000000</v>
      </c>
      <c r="F18" s="1844" t="s">
        <v>1080</v>
      </c>
    </row>
    <row r="19" spans="1:8">
      <c r="B19" s="1866" t="s">
        <v>1088</v>
      </c>
      <c r="D19" s="1863"/>
      <c r="E19" s="1867">
        <v>240000000</v>
      </c>
      <c r="F19" s="1844" t="s">
        <v>1080</v>
      </c>
    </row>
    <row r="20" spans="1:8" s="1865" customFormat="1">
      <c r="A20" s="1861"/>
      <c r="B20" s="2576" t="s">
        <v>1087</v>
      </c>
      <c r="C20" s="2577"/>
      <c r="D20" s="1863"/>
      <c r="E20" s="1868" t="s">
        <v>1086</v>
      </c>
      <c r="F20" s="1864" t="s">
        <v>1085</v>
      </c>
      <c r="G20" s="1864"/>
      <c r="H20" s="1864"/>
    </row>
    <row r="21" spans="1:8" s="1865" customFormat="1">
      <c r="A21" s="1861"/>
      <c r="B21" s="1865" t="s">
        <v>1084</v>
      </c>
      <c r="C21" s="1861"/>
      <c r="D21" s="1863"/>
      <c r="E21" s="1863">
        <f>F14/2</f>
        <v>2752500000</v>
      </c>
      <c r="F21" s="1864" t="s">
        <v>1080</v>
      </c>
      <c r="G21" s="1864"/>
      <c r="H21" s="1864"/>
    </row>
    <row r="22" spans="1:8" s="1865" customFormat="1">
      <c r="A22" s="1861"/>
      <c r="B22" s="1865" t="s">
        <v>1083</v>
      </c>
      <c r="C22" s="1861"/>
      <c r="D22" s="1863"/>
      <c r="E22" s="1863">
        <f>E21-E23</f>
        <v>352500000</v>
      </c>
      <c r="F22" s="1864" t="s">
        <v>1080</v>
      </c>
      <c r="G22" s="1864"/>
      <c r="H22" s="1864"/>
    </row>
    <row r="23" spans="1:8" s="1865" customFormat="1">
      <c r="A23" s="1861"/>
      <c r="B23" s="1865" t="s">
        <v>1082</v>
      </c>
      <c r="C23" s="1861"/>
      <c r="D23" s="1863"/>
      <c r="E23" s="1863">
        <v>2400000000</v>
      </c>
      <c r="F23" s="1864" t="s">
        <v>1080</v>
      </c>
      <c r="G23" s="1864"/>
      <c r="H23" s="1864"/>
    </row>
    <row r="24" spans="1:8" s="1865" customFormat="1">
      <c r="A24" s="1861"/>
      <c r="B24" s="1865" t="s">
        <v>1081</v>
      </c>
      <c r="C24" s="1861"/>
      <c r="D24" s="1863"/>
      <c r="E24" s="1863">
        <f>H14-E15</f>
        <v>329000000</v>
      </c>
      <c r="F24" s="1864" t="s">
        <v>1080</v>
      </c>
      <c r="G24" s="1864"/>
      <c r="H24" s="1864"/>
    </row>
  </sheetData>
  <mergeCells count="2">
    <mergeCell ref="B20:C20"/>
    <mergeCell ref="G4:I4"/>
  </mergeCells>
  <pageMargins left="0.39370078740157483" right="0.23622047244094491" top="0" bottom="0" header="0" footer="0.31496062992125984"/>
  <pageSetup orientation="landscape"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G41"/>
  <sheetViews>
    <sheetView workbookViewId="0">
      <selection activeCell="B1" sqref="B1"/>
    </sheetView>
  </sheetViews>
  <sheetFormatPr defaultRowHeight="16.5"/>
  <cols>
    <col min="1" max="1" width="5" style="6" bestFit="1" customWidth="1"/>
    <col min="2" max="2" width="30" style="6" bestFit="1" customWidth="1"/>
    <col min="3" max="3" width="10.42578125" style="6" customWidth="1"/>
    <col min="4" max="4" width="11.5703125" style="6" customWidth="1"/>
    <col min="5" max="5" width="11" style="6" customWidth="1"/>
    <col min="6" max="6" width="15.85546875" style="6" bestFit="1" customWidth="1"/>
    <col min="7" max="16384" width="9.140625" style="6"/>
  </cols>
  <sheetData>
    <row r="1" spans="1:7">
      <c r="C1" s="6" t="s">
        <v>520</v>
      </c>
      <c r="G1" s="308" t="s">
        <v>1020</v>
      </c>
    </row>
    <row r="3" spans="1:7">
      <c r="A3" s="53" t="s">
        <v>0</v>
      </c>
      <c r="B3" s="53" t="s">
        <v>103</v>
      </c>
      <c r="C3" s="53" t="s">
        <v>2</v>
      </c>
      <c r="D3" s="53" t="s">
        <v>1</v>
      </c>
      <c r="E3" s="53" t="s">
        <v>3</v>
      </c>
      <c r="F3" s="53" t="s">
        <v>4</v>
      </c>
    </row>
    <row r="4" spans="1:7">
      <c r="A4" s="5" t="s">
        <v>109</v>
      </c>
      <c r="B4" s="31" t="s">
        <v>359</v>
      </c>
      <c r="C4" s="31"/>
      <c r="D4" s="31"/>
      <c r="E4" s="31"/>
      <c r="F4" s="40">
        <f>SUM(F5:F20)</f>
        <v>543100000</v>
      </c>
    </row>
    <row r="5" spans="1:7">
      <c r="A5" s="4">
        <v>1</v>
      </c>
      <c r="B5" s="34" t="s">
        <v>392</v>
      </c>
      <c r="C5" s="4" t="s">
        <v>393</v>
      </c>
      <c r="D5" s="42">
        <v>2000</v>
      </c>
      <c r="E5" s="42">
        <v>5500</v>
      </c>
      <c r="F5" s="41">
        <f>E5*D5</f>
        <v>11000000</v>
      </c>
    </row>
    <row r="6" spans="1:7">
      <c r="A6" s="4">
        <v>2</v>
      </c>
      <c r="B6" s="34" t="s">
        <v>394</v>
      </c>
      <c r="C6" s="4" t="s">
        <v>393</v>
      </c>
      <c r="D6" s="42">
        <v>450</v>
      </c>
      <c r="E6" s="42">
        <v>26000</v>
      </c>
      <c r="F6" s="41">
        <f t="shared" ref="F6:F14" si="0">E6*D6</f>
        <v>11700000</v>
      </c>
    </row>
    <row r="7" spans="1:7">
      <c r="A7" s="4">
        <v>3</v>
      </c>
      <c r="B7" s="34" t="s">
        <v>395</v>
      </c>
      <c r="C7" s="4" t="s">
        <v>396</v>
      </c>
      <c r="D7" s="42">
        <v>400</v>
      </c>
      <c r="E7" s="42">
        <v>41000</v>
      </c>
      <c r="F7" s="41">
        <f t="shared" si="0"/>
        <v>16400000</v>
      </c>
    </row>
    <row r="8" spans="1:7">
      <c r="A8" s="4">
        <v>4</v>
      </c>
      <c r="B8" s="34" t="s">
        <v>397</v>
      </c>
      <c r="C8" s="4" t="s">
        <v>396</v>
      </c>
      <c r="D8" s="42">
        <v>550</v>
      </c>
      <c r="E8" s="42">
        <v>82500</v>
      </c>
      <c r="F8" s="41">
        <f t="shared" si="0"/>
        <v>45375000</v>
      </c>
    </row>
    <row r="9" spans="1:7">
      <c r="A9" s="4">
        <v>5</v>
      </c>
      <c r="B9" s="34" t="s">
        <v>398</v>
      </c>
      <c r="C9" s="4" t="s">
        <v>396</v>
      </c>
      <c r="D9" s="42">
        <v>250</v>
      </c>
      <c r="E9" s="42">
        <v>199000</v>
      </c>
      <c r="F9" s="41">
        <f t="shared" si="0"/>
        <v>49750000</v>
      </c>
    </row>
    <row r="10" spans="1:7">
      <c r="A10" s="4">
        <v>6</v>
      </c>
      <c r="B10" s="34" t="s">
        <v>399</v>
      </c>
      <c r="C10" s="4" t="s">
        <v>396</v>
      </c>
      <c r="D10" s="42">
        <v>150</v>
      </c>
      <c r="E10" s="42">
        <v>35000</v>
      </c>
      <c r="F10" s="41">
        <f t="shared" si="0"/>
        <v>5250000</v>
      </c>
    </row>
    <row r="11" spans="1:7">
      <c r="A11" s="4">
        <v>7</v>
      </c>
      <c r="B11" s="34" t="s">
        <v>400</v>
      </c>
      <c r="C11" s="4" t="s">
        <v>11</v>
      </c>
      <c r="D11" s="42">
        <v>950</v>
      </c>
      <c r="E11" s="42">
        <v>11500</v>
      </c>
      <c r="F11" s="41">
        <f t="shared" si="0"/>
        <v>10925000</v>
      </c>
    </row>
    <row r="12" spans="1:7">
      <c r="A12" s="4">
        <v>8</v>
      </c>
      <c r="B12" s="34" t="s">
        <v>401</v>
      </c>
      <c r="C12" s="4" t="s">
        <v>11</v>
      </c>
      <c r="D12" s="42">
        <v>800</v>
      </c>
      <c r="E12" s="42">
        <v>14000</v>
      </c>
      <c r="F12" s="41">
        <f t="shared" si="0"/>
        <v>11200000</v>
      </c>
    </row>
    <row r="13" spans="1:7">
      <c r="A13" s="4">
        <v>9</v>
      </c>
      <c r="B13" s="34" t="s">
        <v>402</v>
      </c>
      <c r="C13" s="4" t="s">
        <v>11</v>
      </c>
      <c r="D13" s="42">
        <v>750</v>
      </c>
      <c r="E13" s="42">
        <v>16000</v>
      </c>
      <c r="F13" s="41">
        <f t="shared" si="0"/>
        <v>12000000</v>
      </c>
    </row>
    <row r="14" spans="1:7">
      <c r="A14" s="4">
        <v>10</v>
      </c>
      <c r="B14" s="34" t="s">
        <v>403</v>
      </c>
      <c r="C14" s="4" t="s">
        <v>11</v>
      </c>
      <c r="D14" s="42">
        <v>500</v>
      </c>
      <c r="E14" s="42">
        <v>15000</v>
      </c>
      <c r="F14" s="41">
        <f t="shared" si="0"/>
        <v>7500000</v>
      </c>
    </row>
    <row r="15" spans="1:7">
      <c r="A15" s="4">
        <v>11</v>
      </c>
      <c r="B15" s="34" t="s">
        <v>404</v>
      </c>
      <c r="C15" s="88"/>
      <c r="D15" s="89"/>
      <c r="E15" s="89"/>
      <c r="F15" s="90">
        <v>155000000</v>
      </c>
    </row>
    <row r="16" spans="1:7">
      <c r="A16" s="4">
        <v>12</v>
      </c>
      <c r="B16" s="34" t="s">
        <v>405</v>
      </c>
      <c r="C16" s="88"/>
      <c r="D16" s="89"/>
      <c r="E16" s="89"/>
      <c r="F16" s="90">
        <v>120000000</v>
      </c>
    </row>
    <row r="17" spans="1:6">
      <c r="A17" s="4">
        <v>13</v>
      </c>
      <c r="B17" s="34" t="s">
        <v>323</v>
      </c>
      <c r="C17" s="34"/>
      <c r="D17" s="34"/>
      <c r="E17" s="34"/>
      <c r="F17" s="41">
        <v>48000000</v>
      </c>
    </row>
    <row r="18" spans="1:6">
      <c r="A18" s="4">
        <v>14</v>
      </c>
      <c r="B18" s="34" t="s">
        <v>291</v>
      </c>
      <c r="C18" s="34"/>
      <c r="D18" s="34"/>
      <c r="E18" s="34"/>
      <c r="F18" s="41">
        <f>F37*F38</f>
        <v>21000000.000000004</v>
      </c>
    </row>
    <row r="19" spans="1:6">
      <c r="A19" s="4">
        <v>15</v>
      </c>
      <c r="B19" s="34" t="s">
        <v>292</v>
      </c>
      <c r="C19" s="34"/>
      <c r="D19" s="34"/>
      <c r="E19" s="34"/>
      <c r="F19" s="41">
        <v>12000000</v>
      </c>
    </row>
    <row r="20" spans="1:6">
      <c r="A20" s="4">
        <v>16</v>
      </c>
      <c r="B20" s="34" t="s">
        <v>293</v>
      </c>
      <c r="C20" s="34"/>
      <c r="D20" s="34"/>
      <c r="E20" s="34"/>
      <c r="F20" s="41">
        <v>6000000</v>
      </c>
    </row>
    <row r="21" spans="1:6">
      <c r="A21" s="5" t="s">
        <v>116</v>
      </c>
      <c r="B21" s="31" t="s">
        <v>242</v>
      </c>
      <c r="C21" s="91"/>
      <c r="D21" s="92"/>
      <c r="E21" s="92"/>
      <c r="F21" s="93">
        <f>SUM(F22:F33)</f>
        <v>568475000</v>
      </c>
    </row>
    <row r="22" spans="1:6">
      <c r="A22" s="4">
        <v>1</v>
      </c>
      <c r="B22" s="34" t="s">
        <v>392</v>
      </c>
      <c r="C22" s="4" t="s">
        <v>393</v>
      </c>
      <c r="D22" s="42">
        <f>D5</f>
        <v>2000</v>
      </c>
      <c r="E22" s="42">
        <v>7500</v>
      </c>
      <c r="F22" s="41">
        <f>E22*D22</f>
        <v>15000000</v>
      </c>
    </row>
    <row r="23" spans="1:6">
      <c r="A23" s="4">
        <v>2</v>
      </c>
      <c r="B23" s="34" t="s">
        <v>394</v>
      </c>
      <c r="C23" s="4" t="s">
        <v>393</v>
      </c>
      <c r="D23" s="42">
        <f t="shared" ref="D23:D31" si="1">D6</f>
        <v>450</v>
      </c>
      <c r="E23" s="42">
        <v>35000</v>
      </c>
      <c r="F23" s="41">
        <f t="shared" ref="F23:F31" si="2">E23*D23</f>
        <v>15750000</v>
      </c>
    </row>
    <row r="24" spans="1:6">
      <c r="A24" s="4">
        <v>3</v>
      </c>
      <c r="B24" s="34" t="s">
        <v>395</v>
      </c>
      <c r="C24" s="4" t="s">
        <v>396</v>
      </c>
      <c r="D24" s="42">
        <f t="shared" si="1"/>
        <v>400</v>
      </c>
      <c r="E24" s="42">
        <v>48000</v>
      </c>
      <c r="F24" s="41">
        <f t="shared" si="2"/>
        <v>19200000</v>
      </c>
    </row>
    <row r="25" spans="1:6">
      <c r="A25" s="4">
        <v>4</v>
      </c>
      <c r="B25" s="34" t="s">
        <v>397</v>
      </c>
      <c r="C25" s="4" t="s">
        <v>396</v>
      </c>
      <c r="D25" s="42">
        <f t="shared" si="1"/>
        <v>550</v>
      </c>
      <c r="E25" s="42">
        <v>86000</v>
      </c>
      <c r="F25" s="41">
        <f t="shared" si="2"/>
        <v>47300000</v>
      </c>
    </row>
    <row r="26" spans="1:6">
      <c r="A26" s="4">
        <v>5</v>
      </c>
      <c r="B26" s="34" t="s">
        <v>398</v>
      </c>
      <c r="C26" s="4" t="s">
        <v>396</v>
      </c>
      <c r="D26" s="42">
        <f t="shared" si="1"/>
        <v>250</v>
      </c>
      <c r="E26" s="42">
        <v>230000</v>
      </c>
      <c r="F26" s="41">
        <f t="shared" si="2"/>
        <v>57500000</v>
      </c>
    </row>
    <row r="27" spans="1:6">
      <c r="A27" s="4">
        <v>6</v>
      </c>
      <c r="B27" s="34" t="s">
        <v>399</v>
      </c>
      <c r="C27" s="4" t="s">
        <v>396</v>
      </c>
      <c r="D27" s="42">
        <f t="shared" si="1"/>
        <v>150</v>
      </c>
      <c r="E27" s="42">
        <v>40000</v>
      </c>
      <c r="F27" s="41">
        <f t="shared" si="2"/>
        <v>6000000</v>
      </c>
    </row>
    <row r="28" spans="1:6">
      <c r="A28" s="4">
        <v>7</v>
      </c>
      <c r="B28" s="34" t="s">
        <v>400</v>
      </c>
      <c r="C28" s="4" t="s">
        <v>11</v>
      </c>
      <c r="D28" s="42">
        <f t="shared" si="1"/>
        <v>950</v>
      </c>
      <c r="E28" s="42">
        <v>14000</v>
      </c>
      <c r="F28" s="41">
        <f t="shared" si="2"/>
        <v>13300000</v>
      </c>
    </row>
    <row r="29" spans="1:6">
      <c r="A29" s="4">
        <v>8</v>
      </c>
      <c r="B29" s="34" t="s">
        <v>401</v>
      </c>
      <c r="C29" s="4" t="s">
        <v>11</v>
      </c>
      <c r="D29" s="42">
        <f t="shared" si="1"/>
        <v>800</v>
      </c>
      <c r="E29" s="42">
        <v>16000</v>
      </c>
      <c r="F29" s="41">
        <f t="shared" si="2"/>
        <v>12800000</v>
      </c>
    </row>
    <row r="30" spans="1:6">
      <c r="A30" s="4">
        <v>9</v>
      </c>
      <c r="B30" s="34" t="s">
        <v>402</v>
      </c>
      <c r="C30" s="4" t="s">
        <v>11</v>
      </c>
      <c r="D30" s="42">
        <f t="shared" si="1"/>
        <v>750</v>
      </c>
      <c r="E30" s="42">
        <v>17500</v>
      </c>
      <c r="F30" s="41">
        <f t="shared" si="2"/>
        <v>13125000</v>
      </c>
    </row>
    <row r="31" spans="1:6">
      <c r="A31" s="4">
        <v>10</v>
      </c>
      <c r="B31" s="34" t="s">
        <v>403</v>
      </c>
      <c r="C31" s="4" t="s">
        <v>11</v>
      </c>
      <c r="D31" s="42">
        <f t="shared" si="1"/>
        <v>500</v>
      </c>
      <c r="E31" s="42">
        <v>17000</v>
      </c>
      <c r="F31" s="41">
        <f t="shared" si="2"/>
        <v>8500000</v>
      </c>
    </row>
    <row r="32" spans="1:6">
      <c r="A32" s="4">
        <v>11</v>
      </c>
      <c r="B32" s="34" t="s">
        <v>404</v>
      </c>
      <c r="C32" s="89"/>
      <c r="D32" s="89"/>
      <c r="E32" s="89"/>
      <c r="F32" s="90">
        <v>200000000</v>
      </c>
    </row>
    <row r="33" spans="1:6">
      <c r="A33" s="4">
        <v>12</v>
      </c>
      <c r="B33" s="34" t="s">
        <v>405</v>
      </c>
      <c r="C33" s="89"/>
      <c r="D33" s="89"/>
      <c r="E33" s="89"/>
      <c r="F33" s="90">
        <v>160000000</v>
      </c>
    </row>
    <row r="34" spans="1:6">
      <c r="A34" s="5" t="s">
        <v>135</v>
      </c>
      <c r="B34" s="31" t="s">
        <v>406</v>
      </c>
      <c r="C34" s="31"/>
      <c r="D34" s="31"/>
      <c r="E34" s="31"/>
      <c r="F34" s="40">
        <f>F21-F4</f>
        <v>25375000</v>
      </c>
    </row>
    <row r="35" spans="1:6" ht="19.5" customHeight="1">
      <c r="A35" s="44" t="s">
        <v>221</v>
      </c>
      <c r="B35" s="2579" t="s">
        <v>222</v>
      </c>
      <c r="C35" s="2580"/>
      <c r="D35" s="94"/>
      <c r="E35" s="94"/>
      <c r="F35" s="95">
        <f>F34/F21</f>
        <v>4.4636967324860374E-2</v>
      </c>
    </row>
    <row r="37" spans="1:6" ht="19.5" customHeight="1">
      <c r="B37" s="6" t="s">
        <v>27</v>
      </c>
      <c r="F37" s="8">
        <v>300000000</v>
      </c>
    </row>
    <row r="38" spans="1:6">
      <c r="B38" s="6" t="s">
        <v>13</v>
      </c>
      <c r="F38" s="61">
        <v>7.0000000000000007E-2</v>
      </c>
    </row>
    <row r="39" spans="1:6">
      <c r="B39" s="96" t="s">
        <v>25</v>
      </c>
      <c r="C39" s="96"/>
      <c r="D39" s="96"/>
      <c r="E39" s="96"/>
      <c r="F39" s="97">
        <f>F4-F17</f>
        <v>495100000</v>
      </c>
    </row>
    <row r="40" spans="1:6">
      <c r="B40" s="96" t="s">
        <v>26</v>
      </c>
      <c r="C40" s="96"/>
      <c r="D40" s="96"/>
      <c r="E40" s="96"/>
      <c r="F40" s="98">
        <f>F39-F37</f>
        <v>195100000</v>
      </c>
    </row>
    <row r="41" spans="1:6">
      <c r="B41" s="96" t="s">
        <v>407</v>
      </c>
      <c r="C41" s="96"/>
      <c r="D41" s="96"/>
      <c r="E41" s="96"/>
      <c r="F41" s="99">
        <f>F40/F39</f>
        <v>0.394061805695819</v>
      </c>
    </row>
  </sheetData>
  <mergeCells count="1">
    <mergeCell ref="B35:C35"/>
  </mergeCells>
  <pageMargins left="0.75" right="0.75" top="1" bottom="1" header="0.5" footer="0.5"/>
  <pageSetup orientation="portrait" verticalDpi="0"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J51"/>
  <sheetViews>
    <sheetView workbookViewId="0">
      <selection activeCell="C2" sqref="C2"/>
    </sheetView>
  </sheetViews>
  <sheetFormatPr defaultRowHeight="16.5"/>
  <cols>
    <col min="1" max="1" width="4.28515625" style="381" bestFit="1" customWidth="1"/>
    <col min="2" max="2" width="33.140625" style="381" customWidth="1"/>
    <col min="3" max="3" width="8.140625" style="381" bestFit="1" customWidth="1"/>
    <col min="4" max="4" width="8.28515625" style="381" bestFit="1" customWidth="1"/>
    <col min="5" max="5" width="15.42578125" style="439" bestFit="1" customWidth="1"/>
    <col min="6" max="6" width="16.140625" style="381" bestFit="1" customWidth="1"/>
    <col min="7" max="9" width="9.140625" style="381"/>
    <col min="10" max="10" width="16.42578125" style="381" bestFit="1" customWidth="1"/>
    <col min="11" max="16384" width="9.140625" style="381"/>
  </cols>
  <sheetData>
    <row r="1" spans="1:10">
      <c r="C1" s="381" t="s">
        <v>973</v>
      </c>
      <c r="G1" s="438" t="s">
        <v>1020</v>
      </c>
    </row>
    <row r="4" spans="1:10" ht="33">
      <c r="A4" s="395" t="s">
        <v>0</v>
      </c>
      <c r="B4" s="395" t="s">
        <v>103</v>
      </c>
      <c r="C4" s="395" t="s">
        <v>2</v>
      </c>
      <c r="D4" s="395" t="s">
        <v>1</v>
      </c>
      <c r="E4" s="2342" t="s">
        <v>3</v>
      </c>
      <c r="F4" s="395" t="s">
        <v>4</v>
      </c>
    </row>
    <row r="5" spans="1:10">
      <c r="A5" s="367" t="s">
        <v>109</v>
      </c>
      <c r="B5" s="365" t="s">
        <v>359</v>
      </c>
      <c r="C5" s="365"/>
      <c r="D5" s="365"/>
      <c r="E5" s="38"/>
      <c r="F5" s="403">
        <f>SUM(F6:F30)</f>
        <v>1570000000</v>
      </c>
    </row>
    <row r="6" spans="1:10">
      <c r="A6" s="369">
        <v>1</v>
      </c>
      <c r="B6" s="370" t="s">
        <v>949</v>
      </c>
      <c r="C6" s="369" t="s">
        <v>950</v>
      </c>
      <c r="D6" s="42">
        <v>2000</v>
      </c>
      <c r="E6" s="42">
        <v>5500</v>
      </c>
      <c r="F6" s="404">
        <f>E6*D6</f>
        <v>11000000</v>
      </c>
    </row>
    <row r="7" spans="1:10">
      <c r="A7" s="369">
        <v>2</v>
      </c>
      <c r="B7" s="370" t="s">
        <v>951</v>
      </c>
      <c r="C7" s="369" t="s">
        <v>393</v>
      </c>
      <c r="D7" s="42">
        <v>3000</v>
      </c>
      <c r="E7" s="42">
        <v>60000</v>
      </c>
      <c r="F7" s="404">
        <f t="shared" ref="F7:F24" si="0">E7*D7</f>
        <v>180000000</v>
      </c>
      <c r="J7" s="405">
        <f>SUM(F6:F23)</f>
        <v>1396000000</v>
      </c>
    </row>
    <row r="8" spans="1:10">
      <c r="A8" s="369">
        <v>3</v>
      </c>
      <c r="B8" s="370" t="s">
        <v>952</v>
      </c>
      <c r="C8" s="369" t="s">
        <v>393</v>
      </c>
      <c r="D8" s="42">
        <v>1000</v>
      </c>
      <c r="E8" s="42">
        <v>60000</v>
      </c>
      <c r="F8" s="404">
        <f t="shared" si="0"/>
        <v>60000000</v>
      </c>
      <c r="J8" s="381">
        <v>1300000000</v>
      </c>
    </row>
    <row r="9" spans="1:10">
      <c r="A9" s="369">
        <v>4</v>
      </c>
      <c r="B9" s="370" t="s">
        <v>953</v>
      </c>
      <c r="C9" s="369" t="s">
        <v>393</v>
      </c>
      <c r="D9" s="42">
        <v>2500</v>
      </c>
      <c r="E9" s="42">
        <v>200000</v>
      </c>
      <c r="F9" s="404">
        <f t="shared" si="0"/>
        <v>500000000</v>
      </c>
      <c r="J9" s="405">
        <f>J7-J8</f>
        <v>96000000</v>
      </c>
    </row>
    <row r="10" spans="1:10">
      <c r="A10" s="369">
        <v>5</v>
      </c>
      <c r="B10" s="370" t="s">
        <v>954</v>
      </c>
      <c r="C10" s="369" t="s">
        <v>393</v>
      </c>
      <c r="D10" s="42">
        <v>2200</v>
      </c>
      <c r="E10" s="42">
        <v>60000</v>
      </c>
      <c r="F10" s="404">
        <f t="shared" si="0"/>
        <v>132000000</v>
      </c>
      <c r="J10" s="381">
        <f>J9/J7</f>
        <v>6.8767908309455589E-2</v>
      </c>
    </row>
    <row r="11" spans="1:10">
      <c r="A11" s="369">
        <v>6</v>
      </c>
      <c r="B11" s="370" t="s">
        <v>955</v>
      </c>
      <c r="C11" s="369" t="s">
        <v>393</v>
      </c>
      <c r="D11" s="42">
        <v>2000</v>
      </c>
      <c r="E11" s="42">
        <v>60000</v>
      </c>
      <c r="F11" s="404">
        <f t="shared" si="0"/>
        <v>120000000</v>
      </c>
    </row>
    <row r="12" spans="1:10">
      <c r="A12" s="369">
        <v>7</v>
      </c>
      <c r="B12" s="370" t="s">
        <v>956</v>
      </c>
      <c r="C12" s="369" t="s">
        <v>393</v>
      </c>
      <c r="D12" s="42">
        <v>1600</v>
      </c>
      <c r="E12" s="42">
        <v>25000</v>
      </c>
      <c r="F12" s="404">
        <f t="shared" si="0"/>
        <v>40000000</v>
      </c>
    </row>
    <row r="13" spans="1:10">
      <c r="A13" s="369">
        <v>8</v>
      </c>
      <c r="B13" s="370" t="s">
        <v>957</v>
      </c>
      <c r="C13" s="369" t="s">
        <v>108</v>
      </c>
      <c r="D13" s="42">
        <v>1500</v>
      </c>
      <c r="E13" s="42">
        <v>10000</v>
      </c>
      <c r="F13" s="404">
        <f t="shared" si="0"/>
        <v>15000000</v>
      </c>
    </row>
    <row r="14" spans="1:10">
      <c r="A14" s="369">
        <v>9</v>
      </c>
      <c r="B14" s="370" t="s">
        <v>958</v>
      </c>
      <c r="C14" s="369" t="s">
        <v>108</v>
      </c>
      <c r="D14" s="42">
        <v>1000</v>
      </c>
      <c r="E14" s="42">
        <v>10000</v>
      </c>
      <c r="F14" s="404">
        <f t="shared" si="0"/>
        <v>10000000</v>
      </c>
    </row>
    <row r="15" spans="1:10">
      <c r="A15" s="369">
        <v>10</v>
      </c>
      <c r="B15" s="370" t="s">
        <v>959</v>
      </c>
      <c r="C15" s="369" t="s">
        <v>108</v>
      </c>
      <c r="D15" s="42">
        <v>2000</v>
      </c>
      <c r="E15" s="42">
        <v>5000</v>
      </c>
      <c r="F15" s="404">
        <f t="shared" si="0"/>
        <v>10000000</v>
      </c>
    </row>
    <row r="16" spans="1:10">
      <c r="A16" s="369">
        <v>11</v>
      </c>
      <c r="B16" s="370" t="s">
        <v>960</v>
      </c>
      <c r="C16" s="369" t="s">
        <v>108</v>
      </c>
      <c r="D16" s="42">
        <v>3000</v>
      </c>
      <c r="E16" s="418">
        <v>8000</v>
      </c>
      <c r="F16" s="404">
        <f t="shared" si="0"/>
        <v>24000000</v>
      </c>
    </row>
    <row r="17" spans="1:7">
      <c r="A17" s="369">
        <v>12</v>
      </c>
      <c r="B17" s="370" t="s">
        <v>961</v>
      </c>
      <c r="C17" s="369" t="s">
        <v>108</v>
      </c>
      <c r="D17" s="42">
        <v>2000</v>
      </c>
      <c r="E17" s="418">
        <v>15000</v>
      </c>
      <c r="F17" s="404">
        <f t="shared" si="0"/>
        <v>30000000</v>
      </c>
    </row>
    <row r="18" spans="1:7">
      <c r="A18" s="369">
        <v>13</v>
      </c>
      <c r="B18" s="370" t="s">
        <v>962</v>
      </c>
      <c r="C18" s="419" t="s">
        <v>963</v>
      </c>
      <c r="D18" s="418">
        <v>2000</v>
      </c>
      <c r="E18" s="418">
        <v>60000</v>
      </c>
      <c r="F18" s="404">
        <f>E18*D18</f>
        <v>120000000</v>
      </c>
    </row>
    <row r="19" spans="1:7">
      <c r="A19" s="369">
        <v>14</v>
      </c>
      <c r="B19" s="370" t="s">
        <v>964</v>
      </c>
      <c r="C19" s="419" t="s">
        <v>965</v>
      </c>
      <c r="D19" s="418">
        <v>800</v>
      </c>
      <c r="E19" s="418">
        <v>5000</v>
      </c>
      <c r="F19" s="404">
        <f t="shared" si="0"/>
        <v>4000000</v>
      </c>
    </row>
    <row r="20" spans="1:7">
      <c r="A20" s="369">
        <v>15</v>
      </c>
      <c r="B20" s="370" t="s">
        <v>966</v>
      </c>
      <c r="C20" s="419" t="s">
        <v>108</v>
      </c>
      <c r="D20" s="418">
        <v>1000</v>
      </c>
      <c r="E20" s="418">
        <v>15000</v>
      </c>
      <c r="F20" s="404">
        <f t="shared" si="0"/>
        <v>15000000</v>
      </c>
    </row>
    <row r="21" spans="1:7">
      <c r="A21" s="369">
        <v>16</v>
      </c>
      <c r="B21" s="370" t="s">
        <v>967</v>
      </c>
      <c r="C21" s="419" t="s">
        <v>108</v>
      </c>
      <c r="D21" s="418">
        <v>1000</v>
      </c>
      <c r="E21" s="418">
        <v>60000</v>
      </c>
      <c r="F21" s="404">
        <f t="shared" si="0"/>
        <v>60000000</v>
      </c>
    </row>
    <row r="22" spans="1:7">
      <c r="A22" s="369">
        <v>17</v>
      </c>
      <c r="B22" s="370" t="s">
        <v>968</v>
      </c>
      <c r="C22" s="419" t="s">
        <v>108</v>
      </c>
      <c r="D22" s="418">
        <v>500</v>
      </c>
      <c r="E22" s="418">
        <v>100000</v>
      </c>
      <c r="F22" s="404">
        <f t="shared" si="0"/>
        <v>50000000</v>
      </c>
    </row>
    <row r="23" spans="1:7">
      <c r="A23" s="369">
        <v>18</v>
      </c>
      <c r="B23" s="370" t="s">
        <v>969</v>
      </c>
      <c r="C23" s="419" t="s">
        <v>108</v>
      </c>
      <c r="D23" s="418">
        <v>1000</v>
      </c>
      <c r="E23" s="418">
        <v>15000</v>
      </c>
      <c r="F23" s="404">
        <f t="shared" si="0"/>
        <v>15000000</v>
      </c>
    </row>
    <row r="24" spans="1:7">
      <c r="A24" s="369">
        <v>19</v>
      </c>
      <c r="B24" s="370" t="s">
        <v>970</v>
      </c>
      <c r="C24" s="419" t="s">
        <v>10</v>
      </c>
      <c r="D24" s="416">
        <v>1</v>
      </c>
      <c r="E24" s="418">
        <v>48000000</v>
      </c>
      <c r="F24" s="417">
        <f t="shared" si="0"/>
        <v>48000000</v>
      </c>
    </row>
    <row r="25" spans="1:7">
      <c r="A25" s="369">
        <v>20</v>
      </c>
      <c r="B25" s="370" t="s">
        <v>971</v>
      </c>
      <c r="C25" s="419"/>
      <c r="D25" s="416"/>
      <c r="E25" s="418"/>
      <c r="F25" s="417">
        <v>12000000</v>
      </c>
    </row>
    <row r="26" spans="1:7">
      <c r="A26" s="369">
        <v>21</v>
      </c>
      <c r="B26" s="370" t="s">
        <v>972</v>
      </c>
      <c r="C26" s="419"/>
      <c r="D26" s="416"/>
      <c r="E26" s="418"/>
      <c r="F26" s="417">
        <v>900000</v>
      </c>
    </row>
    <row r="27" spans="1:7">
      <c r="A27" s="369">
        <v>22</v>
      </c>
      <c r="B27" s="370" t="s">
        <v>323</v>
      </c>
      <c r="C27" s="370"/>
      <c r="D27" s="370"/>
      <c r="E27" s="42"/>
      <c r="F27" s="404">
        <v>1100000</v>
      </c>
    </row>
    <row r="28" spans="1:7">
      <c r="A28" s="369">
        <v>23</v>
      </c>
      <c r="B28" s="370" t="s">
        <v>291</v>
      </c>
      <c r="C28" s="370"/>
      <c r="D28" s="370"/>
      <c r="E28" s="42"/>
      <c r="F28" s="404">
        <f>(J8*6.5*5+J8*8.5*7)/1200</f>
        <v>99666666.666666672</v>
      </c>
    </row>
    <row r="29" spans="1:7">
      <c r="A29" s="369">
        <v>24</v>
      </c>
      <c r="B29" s="370" t="s">
        <v>292</v>
      </c>
      <c r="C29" s="370"/>
      <c r="D29" s="370"/>
      <c r="E29" s="42"/>
      <c r="F29" s="404">
        <v>6333333.3333333284</v>
      </c>
      <c r="G29" s="405"/>
    </row>
    <row r="30" spans="1:7">
      <c r="A30" s="369">
        <v>25</v>
      </c>
      <c r="B30" s="370" t="s">
        <v>293</v>
      </c>
      <c r="C30" s="370"/>
      <c r="D30" s="370"/>
      <c r="E30" s="42"/>
      <c r="F30" s="404">
        <v>6000000</v>
      </c>
    </row>
    <row r="31" spans="1:7">
      <c r="A31" s="367" t="s">
        <v>116</v>
      </c>
      <c r="B31" s="365" t="s">
        <v>242</v>
      </c>
      <c r="C31" s="412"/>
      <c r="D31" s="413"/>
      <c r="E31" s="420"/>
      <c r="F31" s="414">
        <f>SUM(F32:F49)</f>
        <v>1675200000</v>
      </c>
    </row>
    <row r="32" spans="1:7">
      <c r="A32" s="369">
        <v>1</v>
      </c>
      <c r="B32" s="370" t="s">
        <v>949</v>
      </c>
      <c r="C32" s="369" t="str">
        <f>C6</f>
        <v>cuốn</v>
      </c>
      <c r="D32" s="42">
        <f>D6</f>
        <v>2000</v>
      </c>
      <c r="E32" s="42">
        <f>E6*1.2</f>
        <v>6600</v>
      </c>
      <c r="F32" s="404">
        <f>E32*D32</f>
        <v>13200000</v>
      </c>
    </row>
    <row r="33" spans="1:6">
      <c r="A33" s="369">
        <v>2</v>
      </c>
      <c r="B33" s="370" t="s">
        <v>951</v>
      </c>
      <c r="C33" s="369" t="str">
        <f t="shared" ref="C33:D48" si="1">C7</f>
        <v>hộp</v>
      </c>
      <c r="D33" s="42">
        <f t="shared" si="1"/>
        <v>3000</v>
      </c>
      <c r="E33" s="42">
        <f t="shared" ref="E33:E49" si="2">E7*1.2</f>
        <v>72000</v>
      </c>
      <c r="F33" s="404">
        <f t="shared" ref="F33:F49" si="3">E33*D33</f>
        <v>216000000</v>
      </c>
    </row>
    <row r="34" spans="1:6">
      <c r="A34" s="369">
        <v>3</v>
      </c>
      <c r="B34" s="370" t="s">
        <v>952</v>
      </c>
      <c r="C34" s="369" t="str">
        <f t="shared" si="1"/>
        <v>hộp</v>
      </c>
      <c r="D34" s="42">
        <f t="shared" si="1"/>
        <v>1000</v>
      </c>
      <c r="E34" s="42">
        <f t="shared" si="2"/>
        <v>72000</v>
      </c>
      <c r="F34" s="404">
        <f t="shared" si="3"/>
        <v>72000000</v>
      </c>
    </row>
    <row r="35" spans="1:6">
      <c r="A35" s="369">
        <v>4</v>
      </c>
      <c r="B35" s="370" t="s">
        <v>953</v>
      </c>
      <c r="C35" s="369" t="str">
        <f t="shared" si="1"/>
        <v>hộp</v>
      </c>
      <c r="D35" s="42">
        <f t="shared" si="1"/>
        <v>2500</v>
      </c>
      <c r="E35" s="42">
        <f t="shared" si="2"/>
        <v>240000</v>
      </c>
      <c r="F35" s="404">
        <f t="shared" si="3"/>
        <v>600000000</v>
      </c>
    </row>
    <row r="36" spans="1:6">
      <c r="A36" s="369">
        <v>5</v>
      </c>
      <c r="B36" s="370" t="s">
        <v>954</v>
      </c>
      <c r="C36" s="369" t="str">
        <f t="shared" si="1"/>
        <v>hộp</v>
      </c>
      <c r="D36" s="42">
        <f t="shared" si="1"/>
        <v>2200</v>
      </c>
      <c r="E36" s="42">
        <f t="shared" si="2"/>
        <v>72000</v>
      </c>
      <c r="F36" s="404">
        <f t="shared" si="3"/>
        <v>158400000</v>
      </c>
    </row>
    <row r="37" spans="1:6">
      <c r="A37" s="369">
        <v>6</v>
      </c>
      <c r="B37" s="370" t="s">
        <v>955</v>
      </c>
      <c r="C37" s="369" t="str">
        <f t="shared" si="1"/>
        <v>hộp</v>
      </c>
      <c r="D37" s="42">
        <f t="shared" si="1"/>
        <v>2000</v>
      </c>
      <c r="E37" s="42">
        <f t="shared" si="2"/>
        <v>72000</v>
      </c>
      <c r="F37" s="404">
        <f t="shared" si="3"/>
        <v>144000000</v>
      </c>
    </row>
    <row r="38" spans="1:6">
      <c r="A38" s="369">
        <v>7</v>
      </c>
      <c r="B38" s="370" t="s">
        <v>956</v>
      </c>
      <c r="C38" s="369" t="str">
        <f t="shared" si="1"/>
        <v>hộp</v>
      </c>
      <c r="D38" s="42">
        <f t="shared" si="1"/>
        <v>1600</v>
      </c>
      <c r="E38" s="42">
        <f t="shared" si="2"/>
        <v>30000</v>
      </c>
      <c r="F38" s="404">
        <f t="shared" si="3"/>
        <v>48000000</v>
      </c>
    </row>
    <row r="39" spans="1:6">
      <c r="A39" s="369">
        <v>8</v>
      </c>
      <c r="B39" s="370" t="s">
        <v>957</v>
      </c>
      <c r="C39" s="369" t="str">
        <f t="shared" si="1"/>
        <v>cái</v>
      </c>
      <c r="D39" s="42">
        <f t="shared" si="1"/>
        <v>1500</v>
      </c>
      <c r="E39" s="42">
        <f t="shared" si="2"/>
        <v>12000</v>
      </c>
      <c r="F39" s="404">
        <f t="shared" si="3"/>
        <v>18000000</v>
      </c>
    </row>
    <row r="40" spans="1:6">
      <c r="A40" s="369">
        <v>9</v>
      </c>
      <c r="B40" s="370" t="s">
        <v>958</v>
      </c>
      <c r="C40" s="369" t="str">
        <f t="shared" si="1"/>
        <v>cái</v>
      </c>
      <c r="D40" s="42">
        <f t="shared" si="1"/>
        <v>1000</v>
      </c>
      <c r="E40" s="42">
        <f t="shared" si="2"/>
        <v>12000</v>
      </c>
      <c r="F40" s="404">
        <f t="shared" si="3"/>
        <v>12000000</v>
      </c>
    </row>
    <row r="41" spans="1:6">
      <c r="A41" s="369">
        <v>10</v>
      </c>
      <c r="B41" s="370" t="s">
        <v>959</v>
      </c>
      <c r="C41" s="369" t="str">
        <f t="shared" si="1"/>
        <v>cái</v>
      </c>
      <c r="D41" s="42">
        <f t="shared" si="1"/>
        <v>2000</v>
      </c>
      <c r="E41" s="42">
        <f t="shared" si="2"/>
        <v>6000</v>
      </c>
      <c r="F41" s="404">
        <f t="shared" si="3"/>
        <v>12000000</v>
      </c>
    </row>
    <row r="42" spans="1:6">
      <c r="A42" s="369">
        <v>11</v>
      </c>
      <c r="B42" s="370" t="s">
        <v>960</v>
      </c>
      <c r="C42" s="369" t="str">
        <f>C16</f>
        <v>cái</v>
      </c>
      <c r="D42" s="42">
        <f t="shared" si="1"/>
        <v>3000</v>
      </c>
      <c r="E42" s="42">
        <f t="shared" si="2"/>
        <v>9600</v>
      </c>
      <c r="F42" s="404">
        <f t="shared" si="3"/>
        <v>28800000</v>
      </c>
    </row>
    <row r="43" spans="1:6">
      <c r="A43" s="369">
        <v>12</v>
      </c>
      <c r="B43" s="370" t="s">
        <v>961</v>
      </c>
      <c r="C43" s="369" t="str">
        <f t="shared" si="1"/>
        <v>cái</v>
      </c>
      <c r="D43" s="42">
        <f t="shared" si="1"/>
        <v>2000</v>
      </c>
      <c r="E43" s="42">
        <f t="shared" si="2"/>
        <v>18000</v>
      </c>
      <c r="F43" s="404">
        <f t="shared" si="3"/>
        <v>36000000</v>
      </c>
    </row>
    <row r="44" spans="1:6">
      <c r="A44" s="369">
        <v>13</v>
      </c>
      <c r="B44" s="370" t="s">
        <v>962</v>
      </c>
      <c r="C44" s="369" t="str">
        <f t="shared" si="1"/>
        <v>thùng</v>
      </c>
      <c r="D44" s="42">
        <f t="shared" si="1"/>
        <v>2000</v>
      </c>
      <c r="E44" s="42">
        <f t="shared" si="2"/>
        <v>72000</v>
      </c>
      <c r="F44" s="404">
        <f t="shared" si="3"/>
        <v>144000000</v>
      </c>
    </row>
    <row r="45" spans="1:6">
      <c r="A45" s="369">
        <v>14</v>
      </c>
      <c r="B45" s="370" t="s">
        <v>964</v>
      </c>
      <c r="C45" s="369" t="str">
        <f t="shared" si="1"/>
        <v>cuộn</v>
      </c>
      <c r="D45" s="42">
        <f t="shared" si="1"/>
        <v>800</v>
      </c>
      <c r="E45" s="42">
        <f t="shared" si="2"/>
        <v>6000</v>
      </c>
      <c r="F45" s="404">
        <f t="shared" si="3"/>
        <v>4800000</v>
      </c>
    </row>
    <row r="46" spans="1:6">
      <c r="A46" s="369">
        <v>15</v>
      </c>
      <c r="B46" s="370" t="s">
        <v>966</v>
      </c>
      <c r="C46" s="369" t="str">
        <f t="shared" si="1"/>
        <v>cái</v>
      </c>
      <c r="D46" s="42">
        <f t="shared" si="1"/>
        <v>1000</v>
      </c>
      <c r="E46" s="42">
        <f t="shared" si="2"/>
        <v>18000</v>
      </c>
      <c r="F46" s="404">
        <f t="shared" si="3"/>
        <v>18000000</v>
      </c>
    </row>
    <row r="47" spans="1:6">
      <c r="A47" s="369">
        <v>16</v>
      </c>
      <c r="B47" s="370" t="s">
        <v>967</v>
      </c>
      <c r="C47" s="369" t="str">
        <f t="shared" si="1"/>
        <v>cái</v>
      </c>
      <c r="D47" s="42">
        <f t="shared" si="1"/>
        <v>1000</v>
      </c>
      <c r="E47" s="42">
        <f t="shared" si="2"/>
        <v>72000</v>
      </c>
      <c r="F47" s="404">
        <f t="shared" si="3"/>
        <v>72000000</v>
      </c>
    </row>
    <row r="48" spans="1:6">
      <c r="A48" s="369">
        <v>17</v>
      </c>
      <c r="B48" s="370" t="s">
        <v>968</v>
      </c>
      <c r="C48" s="369" t="str">
        <f t="shared" si="1"/>
        <v>cái</v>
      </c>
      <c r="D48" s="42">
        <f t="shared" si="1"/>
        <v>500</v>
      </c>
      <c r="E48" s="42">
        <f t="shared" si="2"/>
        <v>120000</v>
      </c>
      <c r="F48" s="404">
        <f t="shared" si="3"/>
        <v>60000000</v>
      </c>
    </row>
    <row r="49" spans="1:6">
      <c r="A49" s="369">
        <v>18</v>
      </c>
      <c r="B49" s="370" t="s">
        <v>969</v>
      </c>
      <c r="C49" s="369" t="str">
        <f>C23</f>
        <v>cái</v>
      </c>
      <c r="D49" s="42">
        <f>D23</f>
        <v>1000</v>
      </c>
      <c r="E49" s="42">
        <f t="shared" si="2"/>
        <v>18000</v>
      </c>
      <c r="F49" s="404">
        <f t="shared" si="3"/>
        <v>18000000</v>
      </c>
    </row>
    <row r="50" spans="1:6">
      <c r="A50" s="367" t="s">
        <v>135</v>
      </c>
      <c r="B50" s="365" t="s">
        <v>406</v>
      </c>
      <c r="C50" s="365"/>
      <c r="D50" s="365"/>
      <c r="E50" s="38"/>
      <c r="F50" s="403">
        <f>F31-F5</f>
        <v>105200000</v>
      </c>
    </row>
    <row r="51" spans="1:6" ht="17.25">
      <c r="A51" s="421" t="s">
        <v>221</v>
      </c>
      <c r="B51" s="2581" t="s">
        <v>222</v>
      </c>
      <c r="C51" s="2582"/>
      <c r="D51" s="415"/>
      <c r="E51" s="422"/>
      <c r="F51" s="95">
        <f>F50/F31</f>
        <v>6.2798471824259794E-2</v>
      </c>
    </row>
  </sheetData>
  <mergeCells count="1">
    <mergeCell ref="B51:C51"/>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1"/>
  <sheetViews>
    <sheetView workbookViewId="0">
      <selection activeCell="B10" sqref="B10"/>
    </sheetView>
  </sheetViews>
  <sheetFormatPr defaultRowHeight="16.5"/>
  <cols>
    <col min="1" max="1" width="5" style="6" bestFit="1" customWidth="1"/>
    <col min="2" max="2" width="45.140625" style="6" customWidth="1"/>
    <col min="3" max="4" width="20.85546875" style="6" customWidth="1"/>
    <col min="5" max="5" width="13.28515625" style="6" customWidth="1"/>
    <col min="6" max="16384" width="9.140625" style="6"/>
  </cols>
  <sheetData>
    <row r="1" spans="1:7">
      <c r="C1" s="6" t="s">
        <v>470</v>
      </c>
      <c r="G1" s="308" t="s">
        <v>1020</v>
      </c>
    </row>
    <row r="3" spans="1:7" s="109" customFormat="1" ht="33">
      <c r="A3" s="53" t="s">
        <v>0</v>
      </c>
      <c r="B3" s="53" t="s">
        <v>103</v>
      </c>
      <c r="C3" s="53" t="s">
        <v>259</v>
      </c>
      <c r="D3" s="53" t="s">
        <v>236</v>
      </c>
    </row>
    <row r="4" spans="1:7">
      <c r="A4" s="5" t="s">
        <v>109</v>
      </c>
      <c r="B4" s="31" t="s">
        <v>242</v>
      </c>
      <c r="C4" s="40">
        <f>SUM(C5:C5)</f>
        <v>90600000</v>
      </c>
      <c r="D4" s="40">
        <f>SUM(D5:D5)</f>
        <v>1087200000</v>
      </c>
    </row>
    <row r="5" spans="1:7">
      <c r="A5" s="4" t="s">
        <v>30</v>
      </c>
      <c r="B5" s="34" t="s">
        <v>260</v>
      </c>
      <c r="C5" s="41">
        <f>C6*1.2</f>
        <v>90600000</v>
      </c>
      <c r="D5" s="48">
        <f t="shared" ref="D5:D15" si="0">C5*12</f>
        <v>1087200000</v>
      </c>
    </row>
    <row r="6" spans="1:7">
      <c r="A6" s="5" t="s">
        <v>116</v>
      </c>
      <c r="B6" s="31" t="s">
        <v>237</v>
      </c>
      <c r="C6" s="40">
        <f>SUM(C7:C14)</f>
        <v>75500000</v>
      </c>
      <c r="D6" s="40">
        <f>SUM(D7:D14)</f>
        <v>906000000</v>
      </c>
    </row>
    <row r="7" spans="1:7">
      <c r="A7" s="4">
        <v>1</v>
      </c>
      <c r="B7" s="34" t="s">
        <v>261</v>
      </c>
      <c r="C7" s="41">
        <v>20000000</v>
      </c>
      <c r="D7" s="48">
        <f t="shared" si="0"/>
        <v>240000000</v>
      </c>
    </row>
    <row r="8" spans="1:7">
      <c r="A8" s="4">
        <v>2</v>
      </c>
      <c r="B8" s="34" t="s">
        <v>262</v>
      </c>
      <c r="C8" s="41">
        <v>10000000</v>
      </c>
      <c r="D8" s="48">
        <f t="shared" si="0"/>
        <v>120000000</v>
      </c>
    </row>
    <row r="9" spans="1:7">
      <c r="A9" s="4">
        <v>3</v>
      </c>
      <c r="B9" s="34" t="s">
        <v>263</v>
      </c>
      <c r="C9" s="41">
        <v>15000000</v>
      </c>
      <c r="D9" s="48">
        <f t="shared" si="0"/>
        <v>180000000</v>
      </c>
    </row>
    <row r="10" spans="1:7">
      <c r="A10" s="4">
        <v>4</v>
      </c>
      <c r="B10" s="34" t="s">
        <v>264</v>
      </c>
      <c r="C10" s="41">
        <v>5000000</v>
      </c>
      <c r="D10" s="48">
        <f t="shared" si="0"/>
        <v>60000000</v>
      </c>
    </row>
    <row r="11" spans="1:7">
      <c r="A11" s="4">
        <v>5</v>
      </c>
      <c r="B11" s="34" t="s">
        <v>265</v>
      </c>
      <c r="C11" s="41">
        <v>10000000</v>
      </c>
      <c r="D11" s="48">
        <f t="shared" si="0"/>
        <v>120000000</v>
      </c>
    </row>
    <row r="12" spans="1:7">
      <c r="A12" s="4">
        <v>6</v>
      </c>
      <c r="B12" s="34" t="s">
        <v>266</v>
      </c>
      <c r="C12" s="41">
        <v>10000000</v>
      </c>
      <c r="D12" s="48">
        <f t="shared" si="0"/>
        <v>120000000</v>
      </c>
    </row>
    <row r="13" spans="1:7">
      <c r="A13" s="4">
        <v>7</v>
      </c>
      <c r="B13" s="34" t="s">
        <v>194</v>
      </c>
      <c r="C13" s="41">
        <v>500000</v>
      </c>
      <c r="D13" s="48">
        <f t="shared" si="0"/>
        <v>6000000</v>
      </c>
    </row>
    <row r="14" spans="1:7">
      <c r="A14" s="4">
        <v>8</v>
      </c>
      <c r="B14" s="34" t="s">
        <v>21</v>
      </c>
      <c r="C14" s="41">
        <v>5000000</v>
      </c>
      <c r="D14" s="48">
        <f t="shared" si="0"/>
        <v>60000000</v>
      </c>
    </row>
    <row r="15" spans="1:7" s="110" customFormat="1" ht="17.25">
      <c r="A15" s="44" t="s">
        <v>135</v>
      </c>
      <c r="B15" s="14" t="s">
        <v>220</v>
      </c>
      <c r="C15" s="45">
        <f>C4-C6</f>
        <v>15100000</v>
      </c>
      <c r="D15" s="150">
        <f t="shared" si="0"/>
        <v>181200000</v>
      </c>
    </row>
    <row r="16" spans="1:7" ht="17.25">
      <c r="A16" s="44" t="s">
        <v>221</v>
      </c>
      <c r="B16" s="9" t="s">
        <v>222</v>
      </c>
      <c r="C16" s="2546">
        <f>C15/C4</f>
        <v>0.16666666666666666</v>
      </c>
      <c r="D16" s="2547"/>
    </row>
    <row r="19" spans="2:3">
      <c r="B19" s="8" t="s">
        <v>27</v>
      </c>
      <c r="C19" s="8">
        <v>550000000</v>
      </c>
    </row>
    <row r="20" spans="2:3">
      <c r="B20" s="8" t="s">
        <v>267</v>
      </c>
      <c r="C20" s="8">
        <f>D6-C19</f>
        <v>356000000</v>
      </c>
    </row>
    <row r="21" spans="2:3">
      <c r="B21" s="8" t="s">
        <v>268</v>
      </c>
      <c r="C21" s="15">
        <f>C20/D6</f>
        <v>0.39293598233995586</v>
      </c>
    </row>
  </sheetData>
  <mergeCells count="1">
    <mergeCell ref="C16:D16"/>
  </mergeCells>
  <pageMargins left="0.75" right="0.75" top="1" bottom="1" header="0.5" footer="0.5"/>
  <pageSetup orientation="portrait" verticalDpi="0" r:id="rId1"/>
  <headerFooter alignWithMargins="0"/>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J31"/>
  <sheetViews>
    <sheetView workbookViewId="0">
      <selection activeCell="G18" sqref="G18"/>
    </sheetView>
  </sheetViews>
  <sheetFormatPr defaultRowHeight="16.5"/>
  <cols>
    <col min="1" max="1" width="9.28515625" style="381" bestFit="1" customWidth="1"/>
    <col min="2" max="2" width="29.140625" style="381" customWidth="1"/>
    <col min="3" max="3" width="11" style="381" customWidth="1"/>
    <col min="4" max="4" width="13.85546875" style="381" customWidth="1"/>
    <col min="5" max="5" width="15.85546875" style="381" customWidth="1"/>
    <col min="6" max="7" width="16.42578125" style="381" bestFit="1" customWidth="1"/>
    <col min="8" max="8" width="9.28515625" style="381" bestFit="1" customWidth="1"/>
    <col min="9" max="9" width="13" style="381" bestFit="1" customWidth="1"/>
    <col min="10" max="10" width="16.140625" style="381" bestFit="1" customWidth="1"/>
    <col min="11" max="16384" width="9.140625" style="381"/>
  </cols>
  <sheetData>
    <row r="1" spans="1:7">
      <c r="C1" s="381" t="s">
        <v>902</v>
      </c>
      <c r="G1" s="438" t="s">
        <v>1020</v>
      </c>
    </row>
    <row r="4" spans="1:7">
      <c r="A4" s="402" t="s">
        <v>0</v>
      </c>
      <c r="B4" s="395" t="s">
        <v>103</v>
      </c>
      <c r="C4" s="402"/>
      <c r="D4" s="402"/>
      <c r="E4" s="402" t="s">
        <v>234</v>
      </c>
    </row>
    <row r="5" spans="1:7">
      <c r="A5" s="367" t="s">
        <v>116</v>
      </c>
      <c r="B5" s="365" t="s">
        <v>211</v>
      </c>
      <c r="C5" s="365" t="s">
        <v>1</v>
      </c>
      <c r="D5" s="365" t="s">
        <v>3</v>
      </c>
      <c r="E5" s="403">
        <f>SUM(E6:E15)</f>
        <v>1169500000</v>
      </c>
    </row>
    <row r="6" spans="1:7">
      <c r="A6" s="367">
        <v>1</v>
      </c>
      <c r="B6" s="370" t="s">
        <v>893</v>
      </c>
      <c r="C6" s="369">
        <v>30</v>
      </c>
      <c r="D6" s="42">
        <v>7500000</v>
      </c>
      <c r="E6" s="404">
        <f t="shared" ref="E6:E11" si="0">C6*D6</f>
        <v>225000000</v>
      </c>
      <c r="F6" s="405">
        <f>SUM(E6:E11)</f>
        <v>1104000000</v>
      </c>
      <c r="G6" s="405">
        <f>E5-E13</f>
        <v>1138000000</v>
      </c>
    </row>
    <row r="7" spans="1:7">
      <c r="A7" s="367">
        <v>2</v>
      </c>
      <c r="B7" s="370" t="s">
        <v>894</v>
      </c>
      <c r="C7" s="369">
        <v>35</v>
      </c>
      <c r="D7" s="42">
        <v>9000000</v>
      </c>
      <c r="E7" s="404">
        <f t="shared" si="0"/>
        <v>315000000</v>
      </c>
    </row>
    <row r="8" spans="1:7">
      <c r="A8" s="367">
        <v>3</v>
      </c>
      <c r="B8" s="370" t="s">
        <v>895</v>
      </c>
      <c r="C8" s="369">
        <v>40</v>
      </c>
      <c r="D8" s="42">
        <v>4500000</v>
      </c>
      <c r="E8" s="404">
        <f t="shared" si="0"/>
        <v>180000000</v>
      </c>
    </row>
    <row r="9" spans="1:7">
      <c r="A9" s="367">
        <v>4</v>
      </c>
      <c r="B9" s="370" t="s">
        <v>896</v>
      </c>
      <c r="C9" s="369">
        <v>60</v>
      </c>
      <c r="D9" s="42">
        <v>4500000</v>
      </c>
      <c r="E9" s="404">
        <f t="shared" si="0"/>
        <v>270000000</v>
      </c>
    </row>
    <row r="10" spans="1:7">
      <c r="A10" s="367">
        <v>5</v>
      </c>
      <c r="B10" s="370" t="s">
        <v>897</v>
      </c>
      <c r="C10" s="369">
        <v>40</v>
      </c>
      <c r="D10" s="42">
        <v>1500000</v>
      </c>
      <c r="E10" s="404">
        <f t="shared" si="0"/>
        <v>60000000</v>
      </c>
    </row>
    <row r="11" spans="1:7">
      <c r="A11" s="367">
        <v>6</v>
      </c>
      <c r="B11" s="370" t="s">
        <v>898</v>
      </c>
      <c r="C11" s="369">
        <v>36</v>
      </c>
      <c r="D11" s="42">
        <v>1500000</v>
      </c>
      <c r="E11" s="404">
        <f t="shared" si="0"/>
        <v>54000000</v>
      </c>
    </row>
    <row r="12" spans="1:7">
      <c r="A12" s="369">
        <v>7</v>
      </c>
      <c r="B12" s="370" t="s">
        <v>323</v>
      </c>
      <c r="C12" s="369"/>
      <c r="D12" s="42">
        <v>3000000</v>
      </c>
      <c r="E12" s="404">
        <v>18000000</v>
      </c>
    </row>
    <row r="13" spans="1:7">
      <c r="A13" s="369">
        <v>8</v>
      </c>
      <c r="B13" s="370" t="s">
        <v>213</v>
      </c>
      <c r="C13" s="369"/>
      <c r="D13" s="370"/>
      <c r="E13" s="404">
        <f>E27*E28/2</f>
        <v>31500000</v>
      </c>
    </row>
    <row r="14" spans="1:7">
      <c r="A14" s="369">
        <v>9</v>
      </c>
      <c r="B14" s="370" t="s">
        <v>324</v>
      </c>
      <c r="C14" s="369"/>
      <c r="D14" s="370"/>
      <c r="E14" s="404">
        <v>6000000</v>
      </c>
    </row>
    <row r="15" spans="1:7">
      <c r="A15" s="369">
        <v>10</v>
      </c>
      <c r="B15" s="370" t="s">
        <v>217</v>
      </c>
      <c r="C15" s="369"/>
      <c r="D15" s="370"/>
      <c r="E15" s="404">
        <v>10000000</v>
      </c>
    </row>
    <row r="16" spans="1:7" s="399" customFormat="1">
      <c r="A16" s="367" t="s">
        <v>109</v>
      </c>
      <c r="B16" s="365" t="s">
        <v>242</v>
      </c>
      <c r="C16" s="367"/>
      <c r="D16" s="365"/>
      <c r="E16" s="403">
        <f>SUM(E17:E22)</f>
        <v>1277000000</v>
      </c>
    </row>
    <row r="17" spans="1:10">
      <c r="A17" s="369" t="s">
        <v>30</v>
      </c>
      <c r="B17" s="370" t="s">
        <v>893</v>
      </c>
      <c r="C17" s="369">
        <v>30</v>
      </c>
      <c r="D17" s="42">
        <v>8200000</v>
      </c>
      <c r="E17" s="404">
        <f t="shared" ref="E17:E22" si="1">C17*D17</f>
        <v>246000000</v>
      </c>
    </row>
    <row r="18" spans="1:10">
      <c r="A18" s="369" t="s">
        <v>30</v>
      </c>
      <c r="B18" s="370" t="s">
        <v>894</v>
      </c>
      <c r="C18" s="369">
        <v>35</v>
      </c>
      <c r="D18" s="42">
        <v>10000000</v>
      </c>
      <c r="E18" s="404">
        <f t="shared" si="1"/>
        <v>350000000</v>
      </c>
    </row>
    <row r="19" spans="1:10">
      <c r="A19" s="369" t="s">
        <v>30</v>
      </c>
      <c r="B19" s="370" t="s">
        <v>895</v>
      </c>
      <c r="C19" s="369">
        <v>40</v>
      </c>
      <c r="D19" s="42">
        <v>5500000</v>
      </c>
      <c r="E19" s="404">
        <f t="shared" si="1"/>
        <v>220000000</v>
      </c>
    </row>
    <row r="20" spans="1:10">
      <c r="A20" s="369" t="s">
        <v>30</v>
      </c>
      <c r="B20" s="370" t="s">
        <v>896</v>
      </c>
      <c r="C20" s="369">
        <v>60</v>
      </c>
      <c r="D20" s="42">
        <v>5400000</v>
      </c>
      <c r="E20" s="404">
        <f t="shared" si="1"/>
        <v>324000000</v>
      </c>
    </row>
    <row r="21" spans="1:10">
      <c r="A21" s="369" t="s">
        <v>30</v>
      </c>
      <c r="B21" s="370" t="s">
        <v>897</v>
      </c>
      <c r="C21" s="369">
        <v>40</v>
      </c>
      <c r="D21" s="42">
        <v>1850000</v>
      </c>
      <c r="E21" s="404">
        <f t="shared" si="1"/>
        <v>74000000</v>
      </c>
    </row>
    <row r="22" spans="1:10">
      <c r="A22" s="369" t="s">
        <v>30</v>
      </c>
      <c r="B22" s="370" t="s">
        <v>898</v>
      </c>
      <c r="C22" s="369">
        <v>36</v>
      </c>
      <c r="D22" s="42">
        <v>1750000</v>
      </c>
      <c r="E22" s="404">
        <f t="shared" si="1"/>
        <v>63000000</v>
      </c>
    </row>
    <row r="23" spans="1:10">
      <c r="A23" s="367" t="s">
        <v>135</v>
      </c>
      <c r="B23" s="365" t="s">
        <v>136</v>
      </c>
      <c r="C23" s="365"/>
      <c r="D23" s="365"/>
      <c r="E23" s="403">
        <f>E16-E5</f>
        <v>107500000</v>
      </c>
    </row>
    <row r="24" spans="1:10">
      <c r="A24" s="365"/>
      <c r="B24" s="2583" t="s">
        <v>218</v>
      </c>
      <c r="C24" s="2583"/>
      <c r="D24" s="2583"/>
      <c r="E24" s="2583"/>
    </row>
    <row r="26" spans="1:10">
      <c r="B26" s="381" t="s">
        <v>325</v>
      </c>
      <c r="E26" s="405"/>
    </row>
    <row r="27" spans="1:10" ht="49.5">
      <c r="B27" s="381" t="s">
        <v>12</v>
      </c>
      <c r="E27" s="78">
        <v>700000000</v>
      </c>
      <c r="G27" s="440" t="s">
        <v>0</v>
      </c>
      <c r="H27" s="440" t="s">
        <v>899</v>
      </c>
      <c r="I27" s="374" t="s">
        <v>900</v>
      </c>
      <c r="J27" s="440" t="s">
        <v>901</v>
      </c>
    </row>
    <row r="28" spans="1:10">
      <c r="B28" s="381" t="s">
        <v>305</v>
      </c>
      <c r="E28" s="406">
        <v>0.09</v>
      </c>
      <c r="G28" s="411">
        <v>1</v>
      </c>
      <c r="H28" s="411">
        <v>10425</v>
      </c>
      <c r="I28" s="441">
        <v>43049</v>
      </c>
      <c r="J28" s="442">
        <v>87716299</v>
      </c>
    </row>
    <row r="29" spans="1:10">
      <c r="G29" s="411">
        <v>2</v>
      </c>
      <c r="H29" s="411">
        <v>10545</v>
      </c>
      <c r="I29" s="441">
        <v>43054</v>
      </c>
      <c r="J29" s="442">
        <v>43165623</v>
      </c>
    </row>
    <row r="30" spans="1:10">
      <c r="G30" s="411">
        <v>3</v>
      </c>
      <c r="H30" s="411">
        <v>10631</v>
      </c>
      <c r="I30" s="441">
        <v>43057</v>
      </c>
      <c r="J30" s="442">
        <v>72437200</v>
      </c>
    </row>
    <row r="31" spans="1:10">
      <c r="G31" s="411" t="s">
        <v>234</v>
      </c>
      <c r="H31" s="411"/>
      <c r="I31" s="411"/>
      <c r="J31" s="408">
        <f>SUM(J28:J30)</f>
        <v>203319122</v>
      </c>
    </row>
  </sheetData>
  <mergeCells count="1">
    <mergeCell ref="B24:E24"/>
  </mergeCells>
  <pageMargins left="0.7" right="0.7" top="0.75" bottom="0.75" header="0.3" footer="0.3"/>
  <pageSetup paperSize="9" orientation="portrait" verticalDpi="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B1:G48"/>
  <sheetViews>
    <sheetView zoomScaleNormal="100" workbookViewId="0">
      <selection activeCell="C5" sqref="C5"/>
    </sheetView>
  </sheetViews>
  <sheetFormatPr defaultColWidth="13.85546875" defaultRowHeight="16.5"/>
  <cols>
    <col min="1" max="1" width="4.7109375" style="1045" customWidth="1"/>
    <col min="2" max="2" width="6" style="1045" customWidth="1"/>
    <col min="3" max="3" width="30.140625" style="1045" customWidth="1"/>
    <col min="4" max="4" width="23.140625" style="1045" bestFit="1" customWidth="1"/>
    <col min="5" max="5" width="19.28515625" style="1045" customWidth="1"/>
    <col min="6" max="6" width="12.5703125" style="1046" customWidth="1"/>
    <col min="7" max="7" width="21.5703125" style="1045" customWidth="1"/>
    <col min="8" max="256" width="13.85546875" style="1045"/>
    <col min="257" max="257" width="4.7109375" style="1045" customWidth="1"/>
    <col min="258" max="258" width="6" style="1045" customWidth="1"/>
    <col min="259" max="259" width="30.140625" style="1045" customWidth="1"/>
    <col min="260" max="260" width="18.85546875" style="1045" customWidth="1"/>
    <col min="261" max="261" width="19.28515625" style="1045" customWidth="1"/>
    <col min="262" max="262" width="12.5703125" style="1045" customWidth="1"/>
    <col min="263" max="263" width="21.5703125" style="1045" customWidth="1"/>
    <col min="264" max="512" width="13.85546875" style="1045"/>
    <col min="513" max="513" width="4.7109375" style="1045" customWidth="1"/>
    <col min="514" max="514" width="6" style="1045" customWidth="1"/>
    <col min="515" max="515" width="30.140625" style="1045" customWidth="1"/>
    <col min="516" max="516" width="18.85546875" style="1045" customWidth="1"/>
    <col min="517" max="517" width="19.28515625" style="1045" customWidth="1"/>
    <col min="518" max="518" width="12.5703125" style="1045" customWidth="1"/>
    <col min="519" max="519" width="21.5703125" style="1045" customWidth="1"/>
    <col min="520" max="768" width="13.85546875" style="1045"/>
    <col min="769" max="769" width="4.7109375" style="1045" customWidth="1"/>
    <col min="770" max="770" width="6" style="1045" customWidth="1"/>
    <col min="771" max="771" width="30.140625" style="1045" customWidth="1"/>
    <col min="772" max="772" width="18.85546875" style="1045" customWidth="1"/>
    <col min="773" max="773" width="19.28515625" style="1045" customWidth="1"/>
    <col min="774" max="774" width="12.5703125" style="1045" customWidth="1"/>
    <col min="775" max="775" width="21.5703125" style="1045" customWidth="1"/>
    <col min="776" max="1024" width="13.85546875" style="1045"/>
    <col min="1025" max="1025" width="4.7109375" style="1045" customWidth="1"/>
    <col min="1026" max="1026" width="6" style="1045" customWidth="1"/>
    <col min="1027" max="1027" width="30.140625" style="1045" customWidth="1"/>
    <col min="1028" max="1028" width="18.85546875" style="1045" customWidth="1"/>
    <col min="1029" max="1029" width="19.28515625" style="1045" customWidth="1"/>
    <col min="1030" max="1030" width="12.5703125" style="1045" customWidth="1"/>
    <col min="1031" max="1031" width="21.5703125" style="1045" customWidth="1"/>
    <col min="1032" max="1280" width="13.85546875" style="1045"/>
    <col min="1281" max="1281" width="4.7109375" style="1045" customWidth="1"/>
    <col min="1282" max="1282" width="6" style="1045" customWidth="1"/>
    <col min="1283" max="1283" width="30.140625" style="1045" customWidth="1"/>
    <col min="1284" max="1284" width="18.85546875" style="1045" customWidth="1"/>
    <col min="1285" max="1285" width="19.28515625" style="1045" customWidth="1"/>
    <col min="1286" max="1286" width="12.5703125" style="1045" customWidth="1"/>
    <col min="1287" max="1287" width="21.5703125" style="1045" customWidth="1"/>
    <col min="1288" max="1536" width="13.85546875" style="1045"/>
    <col min="1537" max="1537" width="4.7109375" style="1045" customWidth="1"/>
    <col min="1538" max="1538" width="6" style="1045" customWidth="1"/>
    <col min="1539" max="1539" width="30.140625" style="1045" customWidth="1"/>
    <col min="1540" max="1540" width="18.85546875" style="1045" customWidth="1"/>
    <col min="1541" max="1541" width="19.28515625" style="1045" customWidth="1"/>
    <col min="1542" max="1542" width="12.5703125" style="1045" customWidth="1"/>
    <col min="1543" max="1543" width="21.5703125" style="1045" customWidth="1"/>
    <col min="1544" max="1792" width="13.85546875" style="1045"/>
    <col min="1793" max="1793" width="4.7109375" style="1045" customWidth="1"/>
    <col min="1794" max="1794" width="6" style="1045" customWidth="1"/>
    <col min="1795" max="1795" width="30.140625" style="1045" customWidth="1"/>
    <col min="1796" max="1796" width="18.85546875" style="1045" customWidth="1"/>
    <col min="1797" max="1797" width="19.28515625" style="1045" customWidth="1"/>
    <col min="1798" max="1798" width="12.5703125" style="1045" customWidth="1"/>
    <col min="1799" max="1799" width="21.5703125" style="1045" customWidth="1"/>
    <col min="1800" max="2048" width="13.85546875" style="1045"/>
    <col min="2049" max="2049" width="4.7109375" style="1045" customWidth="1"/>
    <col min="2050" max="2050" width="6" style="1045" customWidth="1"/>
    <col min="2051" max="2051" width="30.140625" style="1045" customWidth="1"/>
    <col min="2052" max="2052" width="18.85546875" style="1045" customWidth="1"/>
    <col min="2053" max="2053" width="19.28515625" style="1045" customWidth="1"/>
    <col min="2054" max="2054" width="12.5703125" style="1045" customWidth="1"/>
    <col min="2055" max="2055" width="21.5703125" style="1045" customWidth="1"/>
    <col min="2056" max="2304" width="13.85546875" style="1045"/>
    <col min="2305" max="2305" width="4.7109375" style="1045" customWidth="1"/>
    <col min="2306" max="2306" width="6" style="1045" customWidth="1"/>
    <col min="2307" max="2307" width="30.140625" style="1045" customWidth="1"/>
    <col min="2308" max="2308" width="18.85546875" style="1045" customWidth="1"/>
    <col min="2309" max="2309" width="19.28515625" style="1045" customWidth="1"/>
    <col min="2310" max="2310" width="12.5703125" style="1045" customWidth="1"/>
    <col min="2311" max="2311" width="21.5703125" style="1045" customWidth="1"/>
    <col min="2312" max="2560" width="13.85546875" style="1045"/>
    <col min="2561" max="2561" width="4.7109375" style="1045" customWidth="1"/>
    <col min="2562" max="2562" width="6" style="1045" customWidth="1"/>
    <col min="2563" max="2563" width="30.140625" style="1045" customWidth="1"/>
    <col min="2564" max="2564" width="18.85546875" style="1045" customWidth="1"/>
    <col min="2565" max="2565" width="19.28515625" style="1045" customWidth="1"/>
    <col min="2566" max="2566" width="12.5703125" style="1045" customWidth="1"/>
    <col min="2567" max="2567" width="21.5703125" style="1045" customWidth="1"/>
    <col min="2568" max="2816" width="13.85546875" style="1045"/>
    <col min="2817" max="2817" width="4.7109375" style="1045" customWidth="1"/>
    <col min="2818" max="2818" width="6" style="1045" customWidth="1"/>
    <col min="2819" max="2819" width="30.140625" style="1045" customWidth="1"/>
    <col min="2820" max="2820" width="18.85546875" style="1045" customWidth="1"/>
    <col min="2821" max="2821" width="19.28515625" style="1045" customWidth="1"/>
    <col min="2822" max="2822" width="12.5703125" style="1045" customWidth="1"/>
    <col min="2823" max="2823" width="21.5703125" style="1045" customWidth="1"/>
    <col min="2824" max="3072" width="13.85546875" style="1045"/>
    <col min="3073" max="3073" width="4.7109375" style="1045" customWidth="1"/>
    <col min="3074" max="3074" width="6" style="1045" customWidth="1"/>
    <col min="3075" max="3075" width="30.140625" style="1045" customWidth="1"/>
    <col min="3076" max="3076" width="18.85546875" style="1045" customWidth="1"/>
    <col min="3077" max="3077" width="19.28515625" style="1045" customWidth="1"/>
    <col min="3078" max="3078" width="12.5703125" style="1045" customWidth="1"/>
    <col min="3079" max="3079" width="21.5703125" style="1045" customWidth="1"/>
    <col min="3080" max="3328" width="13.85546875" style="1045"/>
    <col min="3329" max="3329" width="4.7109375" style="1045" customWidth="1"/>
    <col min="3330" max="3330" width="6" style="1045" customWidth="1"/>
    <col min="3331" max="3331" width="30.140625" style="1045" customWidth="1"/>
    <col min="3332" max="3332" width="18.85546875" style="1045" customWidth="1"/>
    <col min="3333" max="3333" width="19.28515625" style="1045" customWidth="1"/>
    <col min="3334" max="3334" width="12.5703125" style="1045" customWidth="1"/>
    <col min="3335" max="3335" width="21.5703125" style="1045" customWidth="1"/>
    <col min="3336" max="3584" width="13.85546875" style="1045"/>
    <col min="3585" max="3585" width="4.7109375" style="1045" customWidth="1"/>
    <col min="3586" max="3586" width="6" style="1045" customWidth="1"/>
    <col min="3587" max="3587" width="30.140625" style="1045" customWidth="1"/>
    <col min="3588" max="3588" width="18.85546875" style="1045" customWidth="1"/>
    <col min="3589" max="3589" width="19.28515625" style="1045" customWidth="1"/>
    <col min="3590" max="3590" width="12.5703125" style="1045" customWidth="1"/>
    <col min="3591" max="3591" width="21.5703125" style="1045" customWidth="1"/>
    <col min="3592" max="3840" width="13.85546875" style="1045"/>
    <col min="3841" max="3841" width="4.7109375" style="1045" customWidth="1"/>
    <col min="3842" max="3842" width="6" style="1045" customWidth="1"/>
    <col min="3843" max="3843" width="30.140625" style="1045" customWidth="1"/>
    <col min="3844" max="3844" width="18.85546875" style="1045" customWidth="1"/>
    <col min="3845" max="3845" width="19.28515625" style="1045" customWidth="1"/>
    <col min="3846" max="3846" width="12.5703125" style="1045" customWidth="1"/>
    <col min="3847" max="3847" width="21.5703125" style="1045" customWidth="1"/>
    <col min="3848" max="4096" width="13.85546875" style="1045"/>
    <col min="4097" max="4097" width="4.7109375" style="1045" customWidth="1"/>
    <col min="4098" max="4098" width="6" style="1045" customWidth="1"/>
    <col min="4099" max="4099" width="30.140625" style="1045" customWidth="1"/>
    <col min="4100" max="4100" width="18.85546875" style="1045" customWidth="1"/>
    <col min="4101" max="4101" width="19.28515625" style="1045" customWidth="1"/>
    <col min="4102" max="4102" width="12.5703125" style="1045" customWidth="1"/>
    <col min="4103" max="4103" width="21.5703125" style="1045" customWidth="1"/>
    <col min="4104" max="4352" width="13.85546875" style="1045"/>
    <col min="4353" max="4353" width="4.7109375" style="1045" customWidth="1"/>
    <col min="4354" max="4354" width="6" style="1045" customWidth="1"/>
    <col min="4355" max="4355" width="30.140625" style="1045" customWidth="1"/>
    <col min="4356" max="4356" width="18.85546875" style="1045" customWidth="1"/>
    <col min="4357" max="4357" width="19.28515625" style="1045" customWidth="1"/>
    <col min="4358" max="4358" width="12.5703125" style="1045" customWidth="1"/>
    <col min="4359" max="4359" width="21.5703125" style="1045" customWidth="1"/>
    <col min="4360" max="4608" width="13.85546875" style="1045"/>
    <col min="4609" max="4609" width="4.7109375" style="1045" customWidth="1"/>
    <col min="4610" max="4610" width="6" style="1045" customWidth="1"/>
    <col min="4611" max="4611" width="30.140625" style="1045" customWidth="1"/>
    <col min="4612" max="4612" width="18.85546875" style="1045" customWidth="1"/>
    <col min="4613" max="4613" width="19.28515625" style="1045" customWidth="1"/>
    <col min="4614" max="4614" width="12.5703125" style="1045" customWidth="1"/>
    <col min="4615" max="4615" width="21.5703125" style="1045" customWidth="1"/>
    <col min="4616" max="4864" width="13.85546875" style="1045"/>
    <col min="4865" max="4865" width="4.7109375" style="1045" customWidth="1"/>
    <col min="4866" max="4866" width="6" style="1045" customWidth="1"/>
    <col min="4867" max="4867" width="30.140625" style="1045" customWidth="1"/>
    <col min="4868" max="4868" width="18.85546875" style="1045" customWidth="1"/>
    <col min="4869" max="4869" width="19.28515625" style="1045" customWidth="1"/>
    <col min="4870" max="4870" width="12.5703125" style="1045" customWidth="1"/>
    <col min="4871" max="4871" width="21.5703125" style="1045" customWidth="1"/>
    <col min="4872" max="5120" width="13.85546875" style="1045"/>
    <col min="5121" max="5121" width="4.7109375" style="1045" customWidth="1"/>
    <col min="5122" max="5122" width="6" style="1045" customWidth="1"/>
    <col min="5123" max="5123" width="30.140625" style="1045" customWidth="1"/>
    <col min="5124" max="5124" width="18.85546875" style="1045" customWidth="1"/>
    <col min="5125" max="5125" width="19.28515625" style="1045" customWidth="1"/>
    <col min="5126" max="5126" width="12.5703125" style="1045" customWidth="1"/>
    <col min="5127" max="5127" width="21.5703125" style="1045" customWidth="1"/>
    <col min="5128" max="5376" width="13.85546875" style="1045"/>
    <col min="5377" max="5377" width="4.7109375" style="1045" customWidth="1"/>
    <col min="5378" max="5378" width="6" style="1045" customWidth="1"/>
    <col min="5379" max="5379" width="30.140625" style="1045" customWidth="1"/>
    <col min="5380" max="5380" width="18.85546875" style="1045" customWidth="1"/>
    <col min="5381" max="5381" width="19.28515625" style="1045" customWidth="1"/>
    <col min="5382" max="5382" width="12.5703125" style="1045" customWidth="1"/>
    <col min="5383" max="5383" width="21.5703125" style="1045" customWidth="1"/>
    <col min="5384" max="5632" width="13.85546875" style="1045"/>
    <col min="5633" max="5633" width="4.7109375" style="1045" customWidth="1"/>
    <col min="5634" max="5634" width="6" style="1045" customWidth="1"/>
    <col min="5635" max="5635" width="30.140625" style="1045" customWidth="1"/>
    <col min="5636" max="5636" width="18.85546875" style="1045" customWidth="1"/>
    <col min="5637" max="5637" width="19.28515625" style="1045" customWidth="1"/>
    <col min="5638" max="5638" width="12.5703125" style="1045" customWidth="1"/>
    <col min="5639" max="5639" width="21.5703125" style="1045" customWidth="1"/>
    <col min="5640" max="5888" width="13.85546875" style="1045"/>
    <col min="5889" max="5889" width="4.7109375" style="1045" customWidth="1"/>
    <col min="5890" max="5890" width="6" style="1045" customWidth="1"/>
    <col min="5891" max="5891" width="30.140625" style="1045" customWidth="1"/>
    <col min="5892" max="5892" width="18.85546875" style="1045" customWidth="1"/>
    <col min="5893" max="5893" width="19.28515625" style="1045" customWidth="1"/>
    <col min="5894" max="5894" width="12.5703125" style="1045" customWidth="1"/>
    <col min="5895" max="5895" width="21.5703125" style="1045" customWidth="1"/>
    <col min="5896" max="6144" width="13.85546875" style="1045"/>
    <col min="6145" max="6145" width="4.7109375" style="1045" customWidth="1"/>
    <col min="6146" max="6146" width="6" style="1045" customWidth="1"/>
    <col min="6147" max="6147" width="30.140625" style="1045" customWidth="1"/>
    <col min="6148" max="6148" width="18.85546875" style="1045" customWidth="1"/>
    <col min="6149" max="6149" width="19.28515625" style="1045" customWidth="1"/>
    <col min="6150" max="6150" width="12.5703125" style="1045" customWidth="1"/>
    <col min="6151" max="6151" width="21.5703125" style="1045" customWidth="1"/>
    <col min="6152" max="6400" width="13.85546875" style="1045"/>
    <col min="6401" max="6401" width="4.7109375" style="1045" customWidth="1"/>
    <col min="6402" max="6402" width="6" style="1045" customWidth="1"/>
    <col min="6403" max="6403" width="30.140625" style="1045" customWidth="1"/>
    <col min="6404" max="6404" width="18.85546875" style="1045" customWidth="1"/>
    <col min="6405" max="6405" width="19.28515625" style="1045" customWidth="1"/>
    <col min="6406" max="6406" width="12.5703125" style="1045" customWidth="1"/>
    <col min="6407" max="6407" width="21.5703125" style="1045" customWidth="1"/>
    <col min="6408" max="6656" width="13.85546875" style="1045"/>
    <col min="6657" max="6657" width="4.7109375" style="1045" customWidth="1"/>
    <col min="6658" max="6658" width="6" style="1045" customWidth="1"/>
    <col min="6659" max="6659" width="30.140625" style="1045" customWidth="1"/>
    <col min="6660" max="6660" width="18.85546875" style="1045" customWidth="1"/>
    <col min="6661" max="6661" width="19.28515625" style="1045" customWidth="1"/>
    <col min="6662" max="6662" width="12.5703125" style="1045" customWidth="1"/>
    <col min="6663" max="6663" width="21.5703125" style="1045" customWidth="1"/>
    <col min="6664" max="6912" width="13.85546875" style="1045"/>
    <col min="6913" max="6913" width="4.7109375" style="1045" customWidth="1"/>
    <col min="6914" max="6914" width="6" style="1045" customWidth="1"/>
    <col min="6915" max="6915" width="30.140625" style="1045" customWidth="1"/>
    <col min="6916" max="6916" width="18.85546875" style="1045" customWidth="1"/>
    <col min="6917" max="6917" width="19.28515625" style="1045" customWidth="1"/>
    <col min="6918" max="6918" width="12.5703125" style="1045" customWidth="1"/>
    <col min="6919" max="6919" width="21.5703125" style="1045" customWidth="1"/>
    <col min="6920" max="7168" width="13.85546875" style="1045"/>
    <col min="7169" max="7169" width="4.7109375" style="1045" customWidth="1"/>
    <col min="7170" max="7170" width="6" style="1045" customWidth="1"/>
    <col min="7171" max="7171" width="30.140625" style="1045" customWidth="1"/>
    <col min="7172" max="7172" width="18.85546875" style="1045" customWidth="1"/>
    <col min="7173" max="7173" width="19.28515625" style="1045" customWidth="1"/>
    <col min="7174" max="7174" width="12.5703125" style="1045" customWidth="1"/>
    <col min="7175" max="7175" width="21.5703125" style="1045" customWidth="1"/>
    <col min="7176" max="7424" width="13.85546875" style="1045"/>
    <col min="7425" max="7425" width="4.7109375" style="1045" customWidth="1"/>
    <col min="7426" max="7426" width="6" style="1045" customWidth="1"/>
    <col min="7427" max="7427" width="30.140625" style="1045" customWidth="1"/>
    <col min="7428" max="7428" width="18.85546875" style="1045" customWidth="1"/>
    <col min="7429" max="7429" width="19.28515625" style="1045" customWidth="1"/>
    <col min="7430" max="7430" width="12.5703125" style="1045" customWidth="1"/>
    <col min="7431" max="7431" width="21.5703125" style="1045" customWidth="1"/>
    <col min="7432" max="7680" width="13.85546875" style="1045"/>
    <col min="7681" max="7681" width="4.7109375" style="1045" customWidth="1"/>
    <col min="7682" max="7682" width="6" style="1045" customWidth="1"/>
    <col min="7683" max="7683" width="30.140625" style="1045" customWidth="1"/>
    <col min="7684" max="7684" width="18.85546875" style="1045" customWidth="1"/>
    <col min="7685" max="7685" width="19.28515625" style="1045" customWidth="1"/>
    <col min="7686" max="7686" width="12.5703125" style="1045" customWidth="1"/>
    <col min="7687" max="7687" width="21.5703125" style="1045" customWidth="1"/>
    <col min="7688" max="7936" width="13.85546875" style="1045"/>
    <col min="7937" max="7937" width="4.7109375" style="1045" customWidth="1"/>
    <col min="7938" max="7938" width="6" style="1045" customWidth="1"/>
    <col min="7939" max="7939" width="30.140625" style="1045" customWidth="1"/>
    <col min="7940" max="7940" width="18.85546875" style="1045" customWidth="1"/>
    <col min="7941" max="7941" width="19.28515625" style="1045" customWidth="1"/>
    <col min="7942" max="7942" width="12.5703125" style="1045" customWidth="1"/>
    <col min="7943" max="7943" width="21.5703125" style="1045" customWidth="1"/>
    <col min="7944" max="8192" width="13.85546875" style="1045"/>
    <col min="8193" max="8193" width="4.7109375" style="1045" customWidth="1"/>
    <col min="8194" max="8194" width="6" style="1045" customWidth="1"/>
    <col min="8195" max="8195" width="30.140625" style="1045" customWidth="1"/>
    <col min="8196" max="8196" width="18.85546875" style="1045" customWidth="1"/>
    <col min="8197" max="8197" width="19.28515625" style="1045" customWidth="1"/>
    <col min="8198" max="8198" width="12.5703125" style="1045" customWidth="1"/>
    <col min="8199" max="8199" width="21.5703125" style="1045" customWidth="1"/>
    <col min="8200" max="8448" width="13.85546875" style="1045"/>
    <col min="8449" max="8449" width="4.7109375" style="1045" customWidth="1"/>
    <col min="8450" max="8450" width="6" style="1045" customWidth="1"/>
    <col min="8451" max="8451" width="30.140625" style="1045" customWidth="1"/>
    <col min="8452" max="8452" width="18.85546875" style="1045" customWidth="1"/>
    <col min="8453" max="8453" width="19.28515625" style="1045" customWidth="1"/>
    <col min="8454" max="8454" width="12.5703125" style="1045" customWidth="1"/>
    <col min="8455" max="8455" width="21.5703125" style="1045" customWidth="1"/>
    <col min="8456" max="8704" width="13.85546875" style="1045"/>
    <col min="8705" max="8705" width="4.7109375" style="1045" customWidth="1"/>
    <col min="8706" max="8706" width="6" style="1045" customWidth="1"/>
    <col min="8707" max="8707" width="30.140625" style="1045" customWidth="1"/>
    <col min="8708" max="8708" width="18.85546875" style="1045" customWidth="1"/>
    <col min="8709" max="8709" width="19.28515625" style="1045" customWidth="1"/>
    <col min="8710" max="8710" width="12.5703125" style="1045" customWidth="1"/>
    <col min="8711" max="8711" width="21.5703125" style="1045" customWidth="1"/>
    <col min="8712" max="8960" width="13.85546875" style="1045"/>
    <col min="8961" max="8961" width="4.7109375" style="1045" customWidth="1"/>
    <col min="8962" max="8962" width="6" style="1045" customWidth="1"/>
    <col min="8963" max="8963" width="30.140625" style="1045" customWidth="1"/>
    <col min="8964" max="8964" width="18.85546875" style="1045" customWidth="1"/>
    <col min="8965" max="8965" width="19.28515625" style="1045" customWidth="1"/>
    <col min="8966" max="8966" width="12.5703125" style="1045" customWidth="1"/>
    <col min="8967" max="8967" width="21.5703125" style="1045" customWidth="1"/>
    <col min="8968" max="9216" width="13.85546875" style="1045"/>
    <col min="9217" max="9217" width="4.7109375" style="1045" customWidth="1"/>
    <col min="9218" max="9218" width="6" style="1045" customWidth="1"/>
    <col min="9219" max="9219" width="30.140625" style="1045" customWidth="1"/>
    <col min="9220" max="9220" width="18.85546875" style="1045" customWidth="1"/>
    <col min="9221" max="9221" width="19.28515625" style="1045" customWidth="1"/>
    <col min="9222" max="9222" width="12.5703125" style="1045" customWidth="1"/>
    <col min="9223" max="9223" width="21.5703125" style="1045" customWidth="1"/>
    <col min="9224" max="9472" width="13.85546875" style="1045"/>
    <col min="9473" max="9473" width="4.7109375" style="1045" customWidth="1"/>
    <col min="9474" max="9474" width="6" style="1045" customWidth="1"/>
    <col min="9475" max="9475" width="30.140625" style="1045" customWidth="1"/>
    <col min="9476" max="9476" width="18.85546875" style="1045" customWidth="1"/>
    <col min="9477" max="9477" width="19.28515625" style="1045" customWidth="1"/>
    <col min="9478" max="9478" width="12.5703125" style="1045" customWidth="1"/>
    <col min="9479" max="9479" width="21.5703125" style="1045" customWidth="1"/>
    <col min="9480" max="9728" width="13.85546875" style="1045"/>
    <col min="9729" max="9729" width="4.7109375" style="1045" customWidth="1"/>
    <col min="9730" max="9730" width="6" style="1045" customWidth="1"/>
    <col min="9731" max="9731" width="30.140625" style="1045" customWidth="1"/>
    <col min="9732" max="9732" width="18.85546875" style="1045" customWidth="1"/>
    <col min="9733" max="9733" width="19.28515625" style="1045" customWidth="1"/>
    <col min="9734" max="9734" width="12.5703125" style="1045" customWidth="1"/>
    <col min="9735" max="9735" width="21.5703125" style="1045" customWidth="1"/>
    <col min="9736" max="9984" width="13.85546875" style="1045"/>
    <col min="9985" max="9985" width="4.7109375" style="1045" customWidth="1"/>
    <col min="9986" max="9986" width="6" style="1045" customWidth="1"/>
    <col min="9987" max="9987" width="30.140625" style="1045" customWidth="1"/>
    <col min="9988" max="9988" width="18.85546875" style="1045" customWidth="1"/>
    <col min="9989" max="9989" width="19.28515625" style="1045" customWidth="1"/>
    <col min="9990" max="9990" width="12.5703125" style="1045" customWidth="1"/>
    <col min="9991" max="9991" width="21.5703125" style="1045" customWidth="1"/>
    <col min="9992" max="10240" width="13.85546875" style="1045"/>
    <col min="10241" max="10241" width="4.7109375" style="1045" customWidth="1"/>
    <col min="10242" max="10242" width="6" style="1045" customWidth="1"/>
    <col min="10243" max="10243" width="30.140625" style="1045" customWidth="1"/>
    <col min="10244" max="10244" width="18.85546875" style="1045" customWidth="1"/>
    <col min="10245" max="10245" width="19.28515625" style="1045" customWidth="1"/>
    <col min="10246" max="10246" width="12.5703125" style="1045" customWidth="1"/>
    <col min="10247" max="10247" width="21.5703125" style="1045" customWidth="1"/>
    <col min="10248" max="10496" width="13.85546875" style="1045"/>
    <col min="10497" max="10497" width="4.7109375" style="1045" customWidth="1"/>
    <col min="10498" max="10498" width="6" style="1045" customWidth="1"/>
    <col min="10499" max="10499" width="30.140625" style="1045" customWidth="1"/>
    <col min="10500" max="10500" width="18.85546875" style="1045" customWidth="1"/>
    <col min="10501" max="10501" width="19.28515625" style="1045" customWidth="1"/>
    <col min="10502" max="10502" width="12.5703125" style="1045" customWidth="1"/>
    <col min="10503" max="10503" width="21.5703125" style="1045" customWidth="1"/>
    <col min="10504" max="10752" width="13.85546875" style="1045"/>
    <col min="10753" max="10753" width="4.7109375" style="1045" customWidth="1"/>
    <col min="10754" max="10754" width="6" style="1045" customWidth="1"/>
    <col min="10755" max="10755" width="30.140625" style="1045" customWidth="1"/>
    <col min="10756" max="10756" width="18.85546875" style="1045" customWidth="1"/>
    <col min="10757" max="10757" width="19.28515625" style="1045" customWidth="1"/>
    <col min="10758" max="10758" width="12.5703125" style="1045" customWidth="1"/>
    <col min="10759" max="10759" width="21.5703125" style="1045" customWidth="1"/>
    <col min="10760" max="11008" width="13.85546875" style="1045"/>
    <col min="11009" max="11009" width="4.7109375" style="1045" customWidth="1"/>
    <col min="11010" max="11010" width="6" style="1045" customWidth="1"/>
    <col min="11011" max="11011" width="30.140625" style="1045" customWidth="1"/>
    <col min="11012" max="11012" width="18.85546875" style="1045" customWidth="1"/>
    <col min="11013" max="11013" width="19.28515625" style="1045" customWidth="1"/>
    <col min="11014" max="11014" width="12.5703125" style="1045" customWidth="1"/>
    <col min="11015" max="11015" width="21.5703125" style="1045" customWidth="1"/>
    <col min="11016" max="11264" width="13.85546875" style="1045"/>
    <col min="11265" max="11265" width="4.7109375" style="1045" customWidth="1"/>
    <col min="11266" max="11266" width="6" style="1045" customWidth="1"/>
    <col min="11267" max="11267" width="30.140625" style="1045" customWidth="1"/>
    <col min="11268" max="11268" width="18.85546875" style="1045" customWidth="1"/>
    <col min="11269" max="11269" width="19.28515625" style="1045" customWidth="1"/>
    <col min="11270" max="11270" width="12.5703125" style="1045" customWidth="1"/>
    <col min="11271" max="11271" width="21.5703125" style="1045" customWidth="1"/>
    <col min="11272" max="11520" width="13.85546875" style="1045"/>
    <col min="11521" max="11521" width="4.7109375" style="1045" customWidth="1"/>
    <col min="11522" max="11522" width="6" style="1045" customWidth="1"/>
    <col min="11523" max="11523" width="30.140625" style="1045" customWidth="1"/>
    <col min="11524" max="11524" width="18.85546875" style="1045" customWidth="1"/>
    <col min="11525" max="11525" width="19.28515625" style="1045" customWidth="1"/>
    <col min="11526" max="11526" width="12.5703125" style="1045" customWidth="1"/>
    <col min="11527" max="11527" width="21.5703125" style="1045" customWidth="1"/>
    <col min="11528" max="11776" width="13.85546875" style="1045"/>
    <col min="11777" max="11777" width="4.7109375" style="1045" customWidth="1"/>
    <col min="11778" max="11778" width="6" style="1045" customWidth="1"/>
    <col min="11779" max="11779" width="30.140625" style="1045" customWidth="1"/>
    <col min="11780" max="11780" width="18.85546875" style="1045" customWidth="1"/>
    <col min="11781" max="11781" width="19.28515625" style="1045" customWidth="1"/>
    <col min="11782" max="11782" width="12.5703125" style="1045" customWidth="1"/>
    <col min="11783" max="11783" width="21.5703125" style="1045" customWidth="1"/>
    <col min="11784" max="12032" width="13.85546875" style="1045"/>
    <col min="12033" max="12033" width="4.7109375" style="1045" customWidth="1"/>
    <col min="12034" max="12034" width="6" style="1045" customWidth="1"/>
    <col min="12035" max="12035" width="30.140625" style="1045" customWidth="1"/>
    <col min="12036" max="12036" width="18.85546875" style="1045" customWidth="1"/>
    <col min="12037" max="12037" width="19.28515625" style="1045" customWidth="1"/>
    <col min="12038" max="12038" width="12.5703125" style="1045" customWidth="1"/>
    <col min="12039" max="12039" width="21.5703125" style="1045" customWidth="1"/>
    <col min="12040" max="12288" width="13.85546875" style="1045"/>
    <col min="12289" max="12289" width="4.7109375" style="1045" customWidth="1"/>
    <col min="12290" max="12290" width="6" style="1045" customWidth="1"/>
    <col min="12291" max="12291" width="30.140625" style="1045" customWidth="1"/>
    <col min="12292" max="12292" width="18.85546875" style="1045" customWidth="1"/>
    <col min="12293" max="12293" width="19.28515625" style="1045" customWidth="1"/>
    <col min="12294" max="12294" width="12.5703125" style="1045" customWidth="1"/>
    <col min="12295" max="12295" width="21.5703125" style="1045" customWidth="1"/>
    <col min="12296" max="12544" width="13.85546875" style="1045"/>
    <col min="12545" max="12545" width="4.7109375" style="1045" customWidth="1"/>
    <col min="12546" max="12546" width="6" style="1045" customWidth="1"/>
    <col min="12547" max="12547" width="30.140625" style="1045" customWidth="1"/>
    <col min="12548" max="12548" width="18.85546875" style="1045" customWidth="1"/>
    <col min="12549" max="12549" width="19.28515625" style="1045" customWidth="1"/>
    <col min="12550" max="12550" width="12.5703125" style="1045" customWidth="1"/>
    <col min="12551" max="12551" width="21.5703125" style="1045" customWidth="1"/>
    <col min="12552" max="12800" width="13.85546875" style="1045"/>
    <col min="12801" max="12801" width="4.7109375" style="1045" customWidth="1"/>
    <col min="12802" max="12802" width="6" style="1045" customWidth="1"/>
    <col min="12803" max="12803" width="30.140625" style="1045" customWidth="1"/>
    <col min="12804" max="12804" width="18.85546875" style="1045" customWidth="1"/>
    <col min="12805" max="12805" width="19.28515625" style="1045" customWidth="1"/>
    <col min="12806" max="12806" width="12.5703125" style="1045" customWidth="1"/>
    <col min="12807" max="12807" width="21.5703125" style="1045" customWidth="1"/>
    <col min="12808" max="13056" width="13.85546875" style="1045"/>
    <col min="13057" max="13057" width="4.7109375" style="1045" customWidth="1"/>
    <col min="13058" max="13058" width="6" style="1045" customWidth="1"/>
    <col min="13059" max="13059" width="30.140625" style="1045" customWidth="1"/>
    <col min="13060" max="13060" width="18.85546875" style="1045" customWidth="1"/>
    <col min="13061" max="13061" width="19.28515625" style="1045" customWidth="1"/>
    <col min="13062" max="13062" width="12.5703125" style="1045" customWidth="1"/>
    <col min="13063" max="13063" width="21.5703125" style="1045" customWidth="1"/>
    <col min="13064" max="13312" width="13.85546875" style="1045"/>
    <col min="13313" max="13313" width="4.7109375" style="1045" customWidth="1"/>
    <col min="13314" max="13314" width="6" style="1045" customWidth="1"/>
    <col min="13315" max="13315" width="30.140625" style="1045" customWidth="1"/>
    <col min="13316" max="13316" width="18.85546875" style="1045" customWidth="1"/>
    <col min="13317" max="13317" width="19.28515625" style="1045" customWidth="1"/>
    <col min="13318" max="13318" width="12.5703125" style="1045" customWidth="1"/>
    <col min="13319" max="13319" width="21.5703125" style="1045" customWidth="1"/>
    <col min="13320" max="13568" width="13.85546875" style="1045"/>
    <col min="13569" max="13569" width="4.7109375" style="1045" customWidth="1"/>
    <col min="13570" max="13570" width="6" style="1045" customWidth="1"/>
    <col min="13571" max="13571" width="30.140625" style="1045" customWidth="1"/>
    <col min="13572" max="13572" width="18.85546875" style="1045" customWidth="1"/>
    <col min="13573" max="13573" width="19.28515625" style="1045" customWidth="1"/>
    <col min="13574" max="13574" width="12.5703125" style="1045" customWidth="1"/>
    <col min="13575" max="13575" width="21.5703125" style="1045" customWidth="1"/>
    <col min="13576" max="13824" width="13.85546875" style="1045"/>
    <col min="13825" max="13825" width="4.7109375" style="1045" customWidth="1"/>
    <col min="13826" max="13826" width="6" style="1045" customWidth="1"/>
    <col min="13827" max="13827" width="30.140625" style="1045" customWidth="1"/>
    <col min="13828" max="13828" width="18.85546875" style="1045" customWidth="1"/>
    <col min="13829" max="13829" width="19.28515625" style="1045" customWidth="1"/>
    <col min="13830" max="13830" width="12.5703125" style="1045" customWidth="1"/>
    <col min="13831" max="13831" width="21.5703125" style="1045" customWidth="1"/>
    <col min="13832" max="14080" width="13.85546875" style="1045"/>
    <col min="14081" max="14081" width="4.7109375" style="1045" customWidth="1"/>
    <col min="14082" max="14082" width="6" style="1045" customWidth="1"/>
    <col min="14083" max="14083" width="30.140625" style="1045" customWidth="1"/>
    <col min="14084" max="14084" width="18.85546875" style="1045" customWidth="1"/>
    <col min="14085" max="14085" width="19.28515625" style="1045" customWidth="1"/>
    <col min="14086" max="14086" width="12.5703125" style="1045" customWidth="1"/>
    <col min="14087" max="14087" width="21.5703125" style="1045" customWidth="1"/>
    <col min="14088" max="14336" width="13.85546875" style="1045"/>
    <col min="14337" max="14337" width="4.7109375" style="1045" customWidth="1"/>
    <col min="14338" max="14338" width="6" style="1045" customWidth="1"/>
    <col min="14339" max="14339" width="30.140625" style="1045" customWidth="1"/>
    <col min="14340" max="14340" width="18.85546875" style="1045" customWidth="1"/>
    <col min="14341" max="14341" width="19.28515625" style="1045" customWidth="1"/>
    <col min="14342" max="14342" width="12.5703125" style="1045" customWidth="1"/>
    <col min="14343" max="14343" width="21.5703125" style="1045" customWidth="1"/>
    <col min="14344" max="14592" width="13.85546875" style="1045"/>
    <col min="14593" max="14593" width="4.7109375" style="1045" customWidth="1"/>
    <col min="14594" max="14594" width="6" style="1045" customWidth="1"/>
    <col min="14595" max="14595" width="30.140625" style="1045" customWidth="1"/>
    <col min="14596" max="14596" width="18.85546875" style="1045" customWidth="1"/>
    <col min="14597" max="14597" width="19.28515625" style="1045" customWidth="1"/>
    <col min="14598" max="14598" width="12.5703125" style="1045" customWidth="1"/>
    <col min="14599" max="14599" width="21.5703125" style="1045" customWidth="1"/>
    <col min="14600" max="14848" width="13.85546875" style="1045"/>
    <col min="14849" max="14849" width="4.7109375" style="1045" customWidth="1"/>
    <col min="14850" max="14850" width="6" style="1045" customWidth="1"/>
    <col min="14851" max="14851" width="30.140625" style="1045" customWidth="1"/>
    <col min="14852" max="14852" width="18.85546875" style="1045" customWidth="1"/>
    <col min="14853" max="14853" width="19.28515625" style="1045" customWidth="1"/>
    <col min="14854" max="14854" width="12.5703125" style="1045" customWidth="1"/>
    <col min="14855" max="14855" width="21.5703125" style="1045" customWidth="1"/>
    <col min="14856" max="15104" width="13.85546875" style="1045"/>
    <col min="15105" max="15105" width="4.7109375" style="1045" customWidth="1"/>
    <col min="15106" max="15106" width="6" style="1045" customWidth="1"/>
    <col min="15107" max="15107" width="30.140625" style="1045" customWidth="1"/>
    <col min="15108" max="15108" width="18.85546875" style="1045" customWidth="1"/>
    <col min="15109" max="15109" width="19.28515625" style="1045" customWidth="1"/>
    <col min="15110" max="15110" width="12.5703125" style="1045" customWidth="1"/>
    <col min="15111" max="15111" width="21.5703125" style="1045" customWidth="1"/>
    <col min="15112" max="15360" width="13.85546875" style="1045"/>
    <col min="15361" max="15361" width="4.7109375" style="1045" customWidth="1"/>
    <col min="15362" max="15362" width="6" style="1045" customWidth="1"/>
    <col min="15363" max="15363" width="30.140625" style="1045" customWidth="1"/>
    <col min="15364" max="15364" width="18.85546875" style="1045" customWidth="1"/>
    <col min="15365" max="15365" width="19.28515625" style="1045" customWidth="1"/>
    <col min="15366" max="15366" width="12.5703125" style="1045" customWidth="1"/>
    <col min="15367" max="15367" width="21.5703125" style="1045" customWidth="1"/>
    <col min="15368" max="15616" width="13.85546875" style="1045"/>
    <col min="15617" max="15617" width="4.7109375" style="1045" customWidth="1"/>
    <col min="15618" max="15618" width="6" style="1045" customWidth="1"/>
    <col min="15619" max="15619" width="30.140625" style="1045" customWidth="1"/>
    <col min="15620" max="15620" width="18.85546875" style="1045" customWidth="1"/>
    <col min="15621" max="15621" width="19.28515625" style="1045" customWidth="1"/>
    <col min="15622" max="15622" width="12.5703125" style="1045" customWidth="1"/>
    <col min="15623" max="15623" width="21.5703125" style="1045" customWidth="1"/>
    <col min="15624" max="15872" width="13.85546875" style="1045"/>
    <col min="15873" max="15873" width="4.7109375" style="1045" customWidth="1"/>
    <col min="15874" max="15874" width="6" style="1045" customWidth="1"/>
    <col min="15875" max="15875" width="30.140625" style="1045" customWidth="1"/>
    <col min="15876" max="15876" width="18.85546875" style="1045" customWidth="1"/>
    <col min="15877" max="15877" width="19.28515625" style="1045" customWidth="1"/>
    <col min="15878" max="15878" width="12.5703125" style="1045" customWidth="1"/>
    <col min="15879" max="15879" width="21.5703125" style="1045" customWidth="1"/>
    <col min="15880" max="16128" width="13.85546875" style="1045"/>
    <col min="16129" max="16129" width="4.7109375" style="1045" customWidth="1"/>
    <col min="16130" max="16130" width="6" style="1045" customWidth="1"/>
    <col min="16131" max="16131" width="30.140625" style="1045" customWidth="1"/>
    <col min="16132" max="16132" width="18.85546875" style="1045" customWidth="1"/>
    <col min="16133" max="16133" width="19.28515625" style="1045" customWidth="1"/>
    <col min="16134" max="16134" width="12.5703125" style="1045" customWidth="1"/>
    <col min="16135" max="16135" width="21.5703125" style="1045" customWidth="1"/>
    <col min="16136" max="16384" width="13.85546875" style="1045"/>
  </cols>
  <sheetData>
    <row r="1" spans="2:7">
      <c r="C1" s="1045" t="s">
        <v>1987</v>
      </c>
      <c r="G1" s="1385" t="s">
        <v>1020</v>
      </c>
    </row>
    <row r="5" spans="2:7" ht="18.75" customHeight="1">
      <c r="B5" s="1050" t="s">
        <v>1986</v>
      </c>
      <c r="D5" s="1094" t="s">
        <v>1985</v>
      </c>
      <c r="E5" s="1093"/>
      <c r="F5" s="1092" t="s">
        <v>1984</v>
      </c>
    </row>
    <row r="6" spans="2:7" ht="18.75" customHeight="1">
      <c r="B6" s="1050" t="s">
        <v>1983</v>
      </c>
    </row>
    <row r="7" spans="2:7" s="1066" customFormat="1" ht="33.75" customHeight="1">
      <c r="B7" s="1064" t="s">
        <v>97</v>
      </c>
      <c r="C7" s="1075" t="s">
        <v>1982</v>
      </c>
      <c r="D7" s="1064" t="s">
        <v>100</v>
      </c>
      <c r="E7" s="1064" t="s">
        <v>1</v>
      </c>
      <c r="F7" s="1074" t="s">
        <v>3</v>
      </c>
      <c r="G7" s="1064" t="s">
        <v>4</v>
      </c>
    </row>
    <row r="8" spans="2:7">
      <c r="B8" s="1085" t="s">
        <v>480</v>
      </c>
      <c r="C8" s="1091" t="s">
        <v>322</v>
      </c>
      <c r="D8" s="1085"/>
      <c r="E8" s="1085"/>
      <c r="F8" s="1090"/>
      <c r="G8" s="1090">
        <f>SUM(G9:G14)</f>
        <v>2427600000</v>
      </c>
    </row>
    <row r="9" spans="2:7">
      <c r="B9" s="1072">
        <v>1</v>
      </c>
      <c r="C9" s="1073" t="s">
        <v>1981</v>
      </c>
      <c r="D9" s="1072" t="s">
        <v>515</v>
      </c>
      <c r="E9" s="1071">
        <v>170</v>
      </c>
      <c r="F9" s="1070">
        <v>5500000</v>
      </c>
      <c r="G9" s="1070">
        <f t="shared" ref="G9:G14" si="0">E9*F9</f>
        <v>935000000</v>
      </c>
    </row>
    <row r="10" spans="2:7">
      <c r="B10" s="1072">
        <v>2</v>
      </c>
      <c r="C10" s="1073" t="s">
        <v>1980</v>
      </c>
      <c r="D10" s="1072" t="s">
        <v>515</v>
      </c>
      <c r="E10" s="1071">
        <f>E9</f>
        <v>170</v>
      </c>
      <c r="F10" s="1070">
        <v>100000</v>
      </c>
      <c r="G10" s="1070">
        <f t="shared" si="0"/>
        <v>17000000</v>
      </c>
    </row>
    <row r="11" spans="2:7">
      <c r="B11" s="1072">
        <v>3</v>
      </c>
      <c r="C11" s="1073" t="s">
        <v>1979</v>
      </c>
      <c r="D11" s="1072" t="s">
        <v>515</v>
      </c>
      <c r="E11" s="1071">
        <f>E10</f>
        <v>170</v>
      </c>
      <c r="F11" s="1070">
        <v>100000</v>
      </c>
      <c r="G11" s="1070">
        <f t="shared" si="0"/>
        <v>17000000</v>
      </c>
    </row>
    <row r="12" spans="2:7">
      <c r="B12" s="1072">
        <v>4</v>
      </c>
      <c r="C12" s="1073" t="s">
        <v>1978</v>
      </c>
      <c r="D12" s="1072" t="s">
        <v>515</v>
      </c>
      <c r="E12" s="1071">
        <f>E9</f>
        <v>170</v>
      </c>
      <c r="F12" s="1070">
        <v>8200000</v>
      </c>
      <c r="G12" s="1070">
        <f t="shared" si="0"/>
        <v>1394000000</v>
      </c>
    </row>
    <row r="13" spans="2:7" ht="33">
      <c r="B13" s="1072">
        <v>5</v>
      </c>
      <c r="C13" s="1073" t="s">
        <v>1977</v>
      </c>
      <c r="D13" s="1072" t="s">
        <v>515</v>
      </c>
      <c r="E13" s="1071">
        <f>(E9*0.8)+E12</f>
        <v>306</v>
      </c>
      <c r="F13" s="1070">
        <v>100000</v>
      </c>
      <c r="G13" s="1070">
        <f t="shared" si="0"/>
        <v>30600000</v>
      </c>
    </row>
    <row r="14" spans="2:7">
      <c r="B14" s="1072">
        <v>6</v>
      </c>
      <c r="C14" s="1073" t="s">
        <v>802</v>
      </c>
      <c r="D14" s="1072" t="s">
        <v>515</v>
      </c>
      <c r="E14" s="1071">
        <f>E12+E9</f>
        <v>340</v>
      </c>
      <c r="F14" s="1070">
        <v>100000</v>
      </c>
      <c r="G14" s="1070">
        <f t="shared" si="0"/>
        <v>34000000</v>
      </c>
    </row>
    <row r="15" spans="2:7" s="1050" customFormat="1">
      <c r="B15" s="1085" t="s">
        <v>485</v>
      </c>
      <c r="C15" s="1089" t="s">
        <v>359</v>
      </c>
      <c r="D15" s="1085"/>
      <c r="E15" s="1088"/>
      <c r="F15" s="1087"/>
      <c r="G15" s="1087">
        <f>SUM(G16:G18)</f>
        <v>139162000</v>
      </c>
    </row>
    <row r="16" spans="2:7" ht="33">
      <c r="B16" s="1072">
        <v>1</v>
      </c>
      <c r="C16" s="1086" t="s">
        <v>1976</v>
      </c>
      <c r="D16" s="1072"/>
      <c r="E16" s="1071"/>
      <c r="F16" s="1070"/>
      <c r="G16" s="1070">
        <f>G30*1.5%</f>
        <v>40621500.000000007</v>
      </c>
    </row>
    <row r="17" spans="2:7">
      <c r="B17" s="1072">
        <v>2</v>
      </c>
      <c r="C17" s="1086" t="s">
        <v>1975</v>
      </c>
      <c r="D17" s="1072"/>
      <c r="E17" s="1071"/>
      <c r="F17" s="1070"/>
      <c r="G17" s="1070">
        <f>G24*8.5%</f>
        <v>85000000</v>
      </c>
    </row>
    <row r="18" spans="2:7">
      <c r="B18" s="1072">
        <v>3</v>
      </c>
      <c r="C18" s="1086" t="s">
        <v>217</v>
      </c>
      <c r="D18" s="1072"/>
      <c r="E18" s="1071"/>
      <c r="F18" s="1070"/>
      <c r="G18" s="1070">
        <f>G30*0.5%</f>
        <v>13540500.000000002</v>
      </c>
    </row>
    <row r="19" spans="2:7" ht="18.75" customHeight="1">
      <c r="B19" s="1085" t="s">
        <v>1974</v>
      </c>
      <c r="C19" s="1085" t="s">
        <v>1094</v>
      </c>
      <c r="D19" s="1084"/>
      <c r="E19" s="1083"/>
      <c r="F19" s="1082"/>
      <c r="G19" s="1081">
        <f>G8+G15</f>
        <v>2566762000</v>
      </c>
    </row>
    <row r="20" spans="2:7" ht="18.75" customHeight="1">
      <c r="B20" s="1080"/>
      <c r="C20" s="1080"/>
      <c r="D20" s="1058"/>
      <c r="E20" s="1057"/>
      <c r="F20" s="1056"/>
      <c r="G20" s="1055"/>
    </row>
    <row r="21" spans="2:7" ht="18" customHeight="1">
      <c r="B21" s="1077" t="s">
        <v>1973</v>
      </c>
      <c r="C21" s="1078"/>
      <c r="D21" s="1058"/>
      <c r="E21" s="1057"/>
      <c r="F21" s="1056">
        <v>180</v>
      </c>
      <c r="G21" s="1055" t="s">
        <v>1972</v>
      </c>
    </row>
    <row r="22" spans="2:7" ht="18" customHeight="1">
      <c r="B22" s="1077" t="s">
        <v>1971</v>
      </c>
      <c r="C22" s="1078"/>
      <c r="D22" s="1058">
        <v>360</v>
      </c>
      <c r="E22" s="1057" t="s">
        <v>1970</v>
      </c>
      <c r="F22" s="1079">
        <f>D22/F21</f>
        <v>2</v>
      </c>
      <c r="G22" s="1055"/>
    </row>
    <row r="23" spans="2:7" ht="18" customHeight="1">
      <c r="B23" s="1077" t="s">
        <v>1969</v>
      </c>
      <c r="C23" s="1078"/>
      <c r="D23" s="1056">
        <f>G8/F22</f>
        <v>1213800000</v>
      </c>
      <c r="E23" s="1057" t="s">
        <v>1968</v>
      </c>
      <c r="F23" s="1056" t="s">
        <v>1077</v>
      </c>
      <c r="G23" s="1055"/>
    </row>
    <row r="24" spans="2:7" ht="18" customHeight="1">
      <c r="B24" s="1077"/>
      <c r="C24" s="1058" t="s">
        <v>1967</v>
      </c>
      <c r="D24" s="1056">
        <f>D23-G24</f>
        <v>213800000</v>
      </c>
      <c r="E24" s="1057" t="s">
        <v>1966</v>
      </c>
      <c r="F24" s="1056" t="s">
        <v>1965</v>
      </c>
      <c r="G24" s="1055">
        <v>1000000000</v>
      </c>
    </row>
    <row r="25" spans="2:7" ht="18" customHeight="1">
      <c r="B25" s="1077"/>
      <c r="C25" s="1058"/>
      <c r="D25" s="1056"/>
      <c r="E25" s="1057"/>
      <c r="F25" s="1056"/>
      <c r="G25" s="1055"/>
    </row>
    <row r="26" spans="2:7" ht="19.5" customHeight="1">
      <c r="B26" s="1050" t="s">
        <v>1964</v>
      </c>
      <c r="C26" s="1050"/>
      <c r="D26" s="1050"/>
      <c r="E26" s="1050"/>
      <c r="G26" s="1076"/>
    </row>
    <row r="27" spans="2:7" ht="32.25" customHeight="1">
      <c r="B27" s="1064" t="s">
        <v>97</v>
      </c>
      <c r="C27" s="1075" t="s">
        <v>1963</v>
      </c>
      <c r="D27" s="1064" t="s">
        <v>100</v>
      </c>
      <c r="E27" s="1064" t="s">
        <v>1</v>
      </c>
      <c r="F27" s="1074" t="s">
        <v>3</v>
      </c>
      <c r="G27" s="1064" t="s">
        <v>4</v>
      </c>
    </row>
    <row r="28" spans="2:7">
      <c r="B28" s="1072">
        <v>1</v>
      </c>
      <c r="C28" s="1073" t="s">
        <v>1962</v>
      </c>
      <c r="D28" s="1072" t="s">
        <v>515</v>
      </c>
      <c r="E28" s="1071">
        <f>E13*0.9</f>
        <v>275.40000000000003</v>
      </c>
      <c r="F28" s="1070">
        <v>9200000</v>
      </c>
      <c r="G28" s="1070">
        <f>E28*F28</f>
        <v>2533680000.0000005</v>
      </c>
    </row>
    <row r="29" spans="2:7" s="1066" customFormat="1" ht="33">
      <c r="B29" s="1065">
        <v>2</v>
      </c>
      <c r="C29" s="1069" t="s">
        <v>1961</v>
      </c>
      <c r="D29" s="1065" t="s">
        <v>515</v>
      </c>
      <c r="E29" s="1068">
        <f>E13*0.1</f>
        <v>30.6</v>
      </c>
      <c r="F29" s="1067">
        <v>5700000</v>
      </c>
      <c r="G29" s="1067">
        <f>E29*F29</f>
        <v>174420000</v>
      </c>
    </row>
    <row r="30" spans="2:7" ht="21" customHeight="1">
      <c r="B30" s="1065"/>
      <c r="C30" s="1064" t="s">
        <v>1094</v>
      </c>
      <c r="D30" s="1063"/>
      <c r="E30" s="1062">
        <f>SUM(E28:E29)</f>
        <v>306.00000000000006</v>
      </c>
      <c r="F30" s="1061"/>
      <c r="G30" s="1060">
        <f>SUM(G28:G29)</f>
        <v>2708100000.0000005</v>
      </c>
    </row>
    <row r="31" spans="2:7" ht="21" customHeight="1">
      <c r="B31" s="1058"/>
      <c r="C31" s="1059" t="s">
        <v>1960</v>
      </c>
      <c r="D31" s="1058"/>
      <c r="E31" s="1057"/>
      <c r="F31" s="1056"/>
      <c r="G31" s="1055"/>
    </row>
    <row r="32" spans="2:7">
      <c r="B32" s="1054" t="s">
        <v>1959</v>
      </c>
      <c r="C32" s="1050"/>
      <c r="D32" s="1052">
        <f>G30</f>
        <v>2708100000.0000005</v>
      </c>
      <c r="E32" s="1050" t="s">
        <v>202</v>
      </c>
    </row>
    <row r="33" spans="2:7">
      <c r="B33" s="1054" t="s">
        <v>1958</v>
      </c>
      <c r="C33" s="1050"/>
      <c r="D33" s="1052">
        <f>D34+D35+D36+D37</f>
        <v>2566762000</v>
      </c>
      <c r="E33" s="1050" t="s">
        <v>202</v>
      </c>
    </row>
    <row r="34" spans="2:7">
      <c r="B34" s="1045" t="s">
        <v>1957</v>
      </c>
      <c r="D34" s="1046">
        <f>G8</f>
        <v>2427600000</v>
      </c>
      <c r="E34" s="1050" t="s">
        <v>202</v>
      </c>
    </row>
    <row r="35" spans="2:7">
      <c r="B35" s="1045" t="s">
        <v>1956</v>
      </c>
      <c r="D35" s="1046">
        <f>G17</f>
        <v>85000000</v>
      </c>
      <c r="E35" s="1050" t="s">
        <v>202</v>
      </c>
    </row>
    <row r="36" spans="2:7">
      <c r="B36" s="1045" t="s">
        <v>1955</v>
      </c>
      <c r="D36" s="1046">
        <f>G16</f>
        <v>40621500.000000007</v>
      </c>
      <c r="E36" s="1050" t="s">
        <v>202</v>
      </c>
    </row>
    <row r="37" spans="2:7">
      <c r="B37" s="1045" t="s">
        <v>1954</v>
      </c>
      <c r="D37" s="1046">
        <f>G18</f>
        <v>13540500.000000002</v>
      </c>
      <c r="E37" s="1050" t="s">
        <v>202</v>
      </c>
    </row>
    <row r="38" spans="2:7">
      <c r="B38" s="1054" t="s">
        <v>1953</v>
      </c>
      <c r="C38" s="1050"/>
      <c r="D38" s="1052">
        <f>D32-D33</f>
        <v>141338000.00000048</v>
      </c>
      <c r="E38" s="1050" t="s">
        <v>202</v>
      </c>
    </row>
    <row r="39" spans="2:7">
      <c r="B39" s="1048" t="s">
        <v>1952</v>
      </c>
      <c r="D39" s="1046">
        <f>D38*8%</f>
        <v>11307040.000000039</v>
      </c>
      <c r="E39" s="1050" t="s">
        <v>202</v>
      </c>
    </row>
    <row r="40" spans="2:7">
      <c r="B40" s="1053" t="s">
        <v>1951</v>
      </c>
      <c r="C40" s="1050"/>
      <c r="D40" s="1052">
        <f>D38-D39</f>
        <v>130030960.00000043</v>
      </c>
      <c r="E40" s="1050" t="s">
        <v>202</v>
      </c>
    </row>
    <row r="41" spans="2:7" ht="15" customHeight="1">
      <c r="B41" s="1051" t="s">
        <v>1950</v>
      </c>
      <c r="C41" s="1050"/>
    </row>
    <row r="42" spans="2:7">
      <c r="B42" s="1049" t="s">
        <v>1949</v>
      </c>
      <c r="D42" s="1046">
        <f>D23</f>
        <v>1213800000</v>
      </c>
      <c r="E42" s="1045" t="s">
        <v>202</v>
      </c>
    </row>
    <row r="43" spans="2:7">
      <c r="B43" s="1049" t="s">
        <v>1948</v>
      </c>
      <c r="D43" s="1046">
        <f>D24</f>
        <v>213800000</v>
      </c>
      <c r="E43" s="1045" t="s">
        <v>202</v>
      </c>
    </row>
    <row r="44" spans="2:7">
      <c r="B44" s="1049" t="s">
        <v>1947</v>
      </c>
      <c r="D44" s="1046">
        <v>1000000000</v>
      </c>
      <c r="E44" s="1045" t="s">
        <v>202</v>
      </c>
    </row>
    <row r="45" spans="2:7">
      <c r="B45" s="1048" t="s">
        <v>1946</v>
      </c>
      <c r="D45" s="1047">
        <v>12</v>
      </c>
      <c r="E45" s="1045" t="s">
        <v>74</v>
      </c>
    </row>
    <row r="48" spans="2:7">
      <c r="E48" s="2584"/>
      <c r="F48" s="2584"/>
      <c r="G48" s="2584"/>
    </row>
  </sheetData>
  <mergeCells count="1">
    <mergeCell ref="E48:G48"/>
  </mergeCells>
  <pageMargins left="0.31496062992125984" right="0.31496062992125984" top="0.74803149606299213" bottom="0.74803149606299213" header="0.31496062992125984" footer="0.31496062992125984"/>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31"/>
  <sheetViews>
    <sheetView workbookViewId="0">
      <selection activeCell="B3" sqref="B3"/>
    </sheetView>
  </sheetViews>
  <sheetFormatPr defaultRowHeight="16.5"/>
  <cols>
    <col min="1" max="1" width="4.85546875" style="6" bestFit="1" customWidth="1"/>
    <col min="2" max="2" width="27.42578125" style="6" bestFit="1" customWidth="1"/>
    <col min="3" max="3" width="9.42578125" style="6" customWidth="1"/>
    <col min="4" max="4" width="12.5703125" style="6" customWidth="1"/>
    <col min="5" max="5" width="15" style="6" customWidth="1"/>
    <col min="6" max="6" width="17.7109375" style="6" customWidth="1"/>
    <col min="7" max="16384" width="9.140625" style="6"/>
  </cols>
  <sheetData>
    <row r="1" spans="1:7">
      <c r="C1" s="6" t="s">
        <v>521</v>
      </c>
      <c r="G1" s="308" t="s">
        <v>1020</v>
      </c>
    </row>
    <row r="3" spans="1:7" ht="33">
      <c r="A3" s="31" t="s">
        <v>528</v>
      </c>
      <c r="B3" s="31" t="s">
        <v>326</v>
      </c>
      <c r="C3" s="31" t="s">
        <v>1</v>
      </c>
      <c r="D3" s="31" t="s">
        <v>327</v>
      </c>
      <c r="E3" s="5" t="s">
        <v>226</v>
      </c>
      <c r="F3" s="80" t="s">
        <v>208</v>
      </c>
    </row>
    <row r="4" spans="1:7">
      <c r="A4" s="5" t="s">
        <v>109</v>
      </c>
      <c r="B4" s="31" t="s">
        <v>328</v>
      </c>
      <c r="C4" s="31"/>
      <c r="D4" s="81"/>
      <c r="E4" s="40">
        <f>SUM(E5:E12)</f>
        <v>61300000</v>
      </c>
      <c r="F4" s="40">
        <f>SUM(F5:F12)</f>
        <v>367800000</v>
      </c>
    </row>
    <row r="5" spans="1:7">
      <c r="A5" s="4">
        <v>1</v>
      </c>
      <c r="B5" s="34" t="s">
        <v>329</v>
      </c>
      <c r="C5" s="34">
        <v>4</v>
      </c>
      <c r="D5" s="43">
        <v>7000000</v>
      </c>
      <c r="E5" s="41">
        <f>D5*C5</f>
        <v>28000000</v>
      </c>
      <c r="F5" s="48">
        <f>E5*6</f>
        <v>168000000</v>
      </c>
    </row>
    <row r="6" spans="1:7">
      <c r="A6" s="4">
        <v>2</v>
      </c>
      <c r="B6" s="34" t="s">
        <v>330</v>
      </c>
      <c r="C6" s="82">
        <v>3</v>
      </c>
      <c r="D6" s="41">
        <v>1500000</v>
      </c>
      <c r="E6" s="41">
        <f>D6*C6</f>
        <v>4500000</v>
      </c>
      <c r="F6" s="48">
        <f t="shared" ref="F6:F12" si="0">E6*6</f>
        <v>27000000</v>
      </c>
    </row>
    <row r="7" spans="1:7">
      <c r="A7" s="4">
        <v>3</v>
      </c>
      <c r="B7" s="34" t="s">
        <v>331</v>
      </c>
      <c r="C7" s="82">
        <v>5</v>
      </c>
      <c r="D7" s="41">
        <v>1800000</v>
      </c>
      <c r="E7" s="41">
        <f t="shared" ref="E7:E12" si="1">D7*C7</f>
        <v>9000000</v>
      </c>
      <c r="F7" s="48">
        <f t="shared" si="0"/>
        <v>54000000</v>
      </c>
    </row>
    <row r="8" spans="1:7">
      <c r="A8" s="4">
        <v>4</v>
      </c>
      <c r="B8" s="34" t="s">
        <v>332</v>
      </c>
      <c r="C8" s="82">
        <v>5</v>
      </c>
      <c r="D8" s="41">
        <v>550000</v>
      </c>
      <c r="E8" s="41">
        <f t="shared" si="1"/>
        <v>2750000</v>
      </c>
      <c r="F8" s="48">
        <f t="shared" si="0"/>
        <v>16500000</v>
      </c>
    </row>
    <row r="9" spans="1:7">
      <c r="A9" s="4">
        <v>5</v>
      </c>
      <c r="B9" s="34" t="s">
        <v>333</v>
      </c>
      <c r="C9" s="82">
        <v>4</v>
      </c>
      <c r="D9" s="41">
        <v>2700000</v>
      </c>
      <c r="E9" s="41">
        <f t="shared" si="1"/>
        <v>10800000</v>
      </c>
      <c r="F9" s="48">
        <f t="shared" si="0"/>
        <v>64800000</v>
      </c>
    </row>
    <row r="10" spans="1:7">
      <c r="A10" s="4">
        <v>6</v>
      </c>
      <c r="B10" s="34" t="s">
        <v>334</v>
      </c>
      <c r="C10" s="82">
        <v>5</v>
      </c>
      <c r="D10" s="41">
        <v>600000</v>
      </c>
      <c r="E10" s="41">
        <f t="shared" si="1"/>
        <v>3000000</v>
      </c>
      <c r="F10" s="48">
        <f t="shared" si="0"/>
        <v>18000000</v>
      </c>
    </row>
    <row r="11" spans="1:7">
      <c r="A11" s="4">
        <v>7</v>
      </c>
      <c r="B11" s="34" t="s">
        <v>335</v>
      </c>
      <c r="C11" s="82">
        <v>5</v>
      </c>
      <c r="D11" s="41">
        <v>350000</v>
      </c>
      <c r="E11" s="41">
        <f t="shared" si="1"/>
        <v>1750000</v>
      </c>
      <c r="F11" s="48">
        <f t="shared" si="0"/>
        <v>10500000</v>
      </c>
    </row>
    <row r="12" spans="1:7">
      <c r="A12" s="4">
        <v>8</v>
      </c>
      <c r="B12" s="34" t="s">
        <v>336</v>
      </c>
      <c r="C12" s="34">
        <v>10</v>
      </c>
      <c r="D12" s="43">
        <v>150000</v>
      </c>
      <c r="E12" s="41">
        <f t="shared" si="1"/>
        <v>1500000</v>
      </c>
      <c r="F12" s="48">
        <f t="shared" si="0"/>
        <v>9000000</v>
      </c>
    </row>
    <row r="13" spans="1:7">
      <c r="A13" s="5" t="s">
        <v>116</v>
      </c>
      <c r="B13" s="31" t="s">
        <v>211</v>
      </c>
      <c r="C13" s="34"/>
      <c r="D13" s="82"/>
      <c r="E13" s="40">
        <f>E14+E22+E23+E24</f>
        <v>50050000</v>
      </c>
      <c r="F13" s="40">
        <f>F14+F22+F23+F24</f>
        <v>288300000</v>
      </c>
    </row>
    <row r="14" spans="1:7">
      <c r="A14" s="4">
        <v>1</v>
      </c>
      <c r="B14" s="34" t="s">
        <v>322</v>
      </c>
      <c r="C14" s="34"/>
      <c r="D14" s="82"/>
      <c r="E14" s="41">
        <f>SUM(E15:E21)</f>
        <v>46050000</v>
      </c>
      <c r="F14" s="41">
        <f>SUM(F15:F21)</f>
        <v>276300000</v>
      </c>
    </row>
    <row r="15" spans="1:7">
      <c r="A15" s="4" t="s">
        <v>30</v>
      </c>
      <c r="B15" s="34" t="s">
        <v>329</v>
      </c>
      <c r="C15" s="34">
        <v>4</v>
      </c>
      <c r="D15" s="43">
        <v>5000000</v>
      </c>
      <c r="E15" s="41">
        <f t="shared" ref="E15:E21" si="2">D15*C15</f>
        <v>20000000</v>
      </c>
      <c r="F15" s="48">
        <f>E15*6</f>
        <v>120000000</v>
      </c>
    </row>
    <row r="16" spans="1:7">
      <c r="A16" s="4" t="s">
        <v>30</v>
      </c>
      <c r="B16" s="34" t="s">
        <v>330</v>
      </c>
      <c r="C16" s="82">
        <v>3</v>
      </c>
      <c r="D16" s="43">
        <v>1200000</v>
      </c>
      <c r="E16" s="41">
        <f t="shared" si="2"/>
        <v>3600000</v>
      </c>
      <c r="F16" s="48">
        <f t="shared" ref="F16:F21" si="3">E16*6</f>
        <v>21600000</v>
      </c>
    </row>
    <row r="17" spans="1:6">
      <c r="A17" s="4" t="s">
        <v>30</v>
      </c>
      <c r="B17" s="34" t="s">
        <v>331</v>
      </c>
      <c r="C17" s="82">
        <v>5</v>
      </c>
      <c r="D17" s="43">
        <v>1500000</v>
      </c>
      <c r="E17" s="41">
        <f t="shared" si="2"/>
        <v>7500000</v>
      </c>
      <c r="F17" s="48">
        <f t="shared" si="3"/>
        <v>45000000</v>
      </c>
    </row>
    <row r="18" spans="1:6">
      <c r="A18" s="4" t="s">
        <v>30</v>
      </c>
      <c r="B18" s="34" t="s">
        <v>332</v>
      </c>
      <c r="C18" s="82">
        <v>5</v>
      </c>
      <c r="D18" s="43">
        <v>350000</v>
      </c>
      <c r="E18" s="41">
        <f t="shared" si="2"/>
        <v>1750000</v>
      </c>
      <c r="F18" s="48">
        <f t="shared" si="3"/>
        <v>10500000</v>
      </c>
    </row>
    <row r="19" spans="1:6">
      <c r="A19" s="4" t="s">
        <v>30</v>
      </c>
      <c r="B19" s="34" t="s">
        <v>333</v>
      </c>
      <c r="C19" s="82">
        <v>4</v>
      </c>
      <c r="D19" s="43">
        <v>2300000</v>
      </c>
      <c r="E19" s="41">
        <f t="shared" si="2"/>
        <v>9200000</v>
      </c>
      <c r="F19" s="48">
        <f t="shared" si="3"/>
        <v>55200000</v>
      </c>
    </row>
    <row r="20" spans="1:6">
      <c r="A20" s="4" t="s">
        <v>30</v>
      </c>
      <c r="B20" s="34" t="s">
        <v>334</v>
      </c>
      <c r="C20" s="82">
        <v>5</v>
      </c>
      <c r="D20" s="43">
        <v>480000</v>
      </c>
      <c r="E20" s="41">
        <f t="shared" si="2"/>
        <v>2400000</v>
      </c>
      <c r="F20" s="48">
        <f t="shared" si="3"/>
        <v>14400000</v>
      </c>
    </row>
    <row r="21" spans="1:6">
      <c r="A21" s="4" t="s">
        <v>30</v>
      </c>
      <c r="B21" s="34" t="s">
        <v>335</v>
      </c>
      <c r="C21" s="82">
        <v>5</v>
      </c>
      <c r="D21" s="43">
        <v>320000</v>
      </c>
      <c r="E21" s="41">
        <f t="shared" si="2"/>
        <v>1600000</v>
      </c>
      <c r="F21" s="48">
        <f t="shared" si="3"/>
        <v>9600000</v>
      </c>
    </row>
    <row r="22" spans="1:6">
      <c r="A22" s="4">
        <v>2</v>
      </c>
      <c r="B22" s="34" t="s">
        <v>336</v>
      </c>
      <c r="C22" s="34">
        <v>10</v>
      </c>
      <c r="D22" s="43"/>
      <c r="E22" s="41"/>
      <c r="F22" s="48">
        <f>E22*3</f>
        <v>0</v>
      </c>
    </row>
    <row r="23" spans="1:6">
      <c r="A23" s="4">
        <v>3</v>
      </c>
      <c r="B23" s="34" t="s">
        <v>337</v>
      </c>
      <c r="C23" s="34"/>
      <c r="D23" s="43"/>
      <c r="E23" s="41">
        <v>3000000</v>
      </c>
      <c r="F23" s="48">
        <f>E23*3</f>
        <v>9000000</v>
      </c>
    </row>
    <row r="24" spans="1:6">
      <c r="A24" s="4">
        <v>4</v>
      </c>
      <c r="B24" s="34" t="s">
        <v>217</v>
      </c>
      <c r="C24" s="34"/>
      <c r="D24" s="43"/>
      <c r="E24" s="41">
        <v>1000000</v>
      </c>
      <c r="F24" s="48">
        <f>E24*3</f>
        <v>3000000</v>
      </c>
    </row>
    <row r="25" spans="1:6" ht="17.25">
      <c r="A25" s="44" t="s">
        <v>135</v>
      </c>
      <c r="B25" s="14" t="s">
        <v>136</v>
      </c>
      <c r="C25" s="14"/>
      <c r="D25" s="83"/>
      <c r="E25" s="45">
        <f>E4-E13</f>
        <v>11250000</v>
      </c>
      <c r="F25" s="45">
        <f>F4-F13</f>
        <v>79500000</v>
      </c>
    </row>
    <row r="26" spans="1:6">
      <c r="A26" s="86"/>
      <c r="B26" s="86"/>
      <c r="C26" s="86"/>
      <c r="D26" s="86"/>
      <c r="E26" s="86"/>
    </row>
    <row r="27" spans="1:6">
      <c r="A27" s="2589" t="s">
        <v>338</v>
      </c>
      <c r="B27" s="2589"/>
      <c r="C27" s="2590">
        <f>F14</f>
        <v>276300000</v>
      </c>
      <c r="D27" s="2590"/>
      <c r="E27" s="86"/>
    </row>
    <row r="28" spans="1:6">
      <c r="A28" s="2589" t="s">
        <v>26</v>
      </c>
      <c r="B28" s="2589"/>
      <c r="C28" s="2590">
        <f>C27-C29</f>
        <v>216300000</v>
      </c>
      <c r="D28" s="2590"/>
      <c r="E28" s="231">
        <f>C28/C27</f>
        <v>0.78284473398479915</v>
      </c>
    </row>
    <row r="29" spans="1:6">
      <c r="A29" s="2585" t="s">
        <v>27</v>
      </c>
      <c r="B29" s="2585"/>
      <c r="C29" s="2591">
        <v>60000000</v>
      </c>
      <c r="D29" s="2591"/>
      <c r="E29" s="86"/>
    </row>
    <row r="30" spans="1:6">
      <c r="A30" s="2585" t="s">
        <v>63</v>
      </c>
      <c r="B30" s="2585"/>
      <c r="C30" s="2586">
        <v>0.13</v>
      </c>
      <c r="D30" s="2586"/>
      <c r="E30" s="86"/>
    </row>
    <row r="31" spans="1:6">
      <c r="A31" s="2587" t="s">
        <v>19</v>
      </c>
      <c r="B31" s="2587"/>
      <c r="C31" s="2588">
        <f>C29*C30/12</f>
        <v>650000</v>
      </c>
      <c r="D31" s="2588"/>
      <c r="E31" s="86"/>
    </row>
  </sheetData>
  <mergeCells count="10">
    <mergeCell ref="A30:B30"/>
    <mergeCell ref="C30:D30"/>
    <mergeCell ref="A31:B31"/>
    <mergeCell ref="C31:D31"/>
    <mergeCell ref="A27:B27"/>
    <mergeCell ref="C27:D27"/>
    <mergeCell ref="A28:B28"/>
    <mergeCell ref="C28:D28"/>
    <mergeCell ref="A29:B29"/>
    <mergeCell ref="C29:D29"/>
  </mergeCells>
  <pageMargins left="0.75" right="0.75" top="1" bottom="1" header="0.5" footer="0.5"/>
  <pageSetup orientation="portrait" verticalDpi="0" r:id="rId1"/>
  <headerFooter alignWithMargins="0"/>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J39"/>
  <sheetViews>
    <sheetView workbookViewId="0">
      <selection activeCell="C2" sqref="C2"/>
    </sheetView>
  </sheetViews>
  <sheetFormatPr defaultColWidth="65.5703125" defaultRowHeight="16.5"/>
  <cols>
    <col min="1" max="1" width="4.28515625" style="381" bestFit="1" customWidth="1"/>
    <col min="2" max="2" width="54.28515625" style="381" bestFit="1" customWidth="1"/>
    <col min="3" max="3" width="8.140625" style="381" bestFit="1" customWidth="1"/>
    <col min="4" max="4" width="10.42578125" style="381" customWidth="1"/>
    <col min="5" max="5" width="15.42578125" style="449" bestFit="1" customWidth="1"/>
    <col min="6" max="6" width="19.85546875" style="381" bestFit="1" customWidth="1"/>
    <col min="7" max="7" width="15.5703125" style="381" customWidth="1"/>
    <col min="8" max="8" width="6.5703125" style="381" bestFit="1" customWidth="1"/>
    <col min="9" max="9" width="10.85546875" style="381" bestFit="1" customWidth="1"/>
    <col min="10" max="10" width="18.28515625" style="381" bestFit="1" customWidth="1"/>
    <col min="11" max="16384" width="65.5703125" style="381"/>
  </cols>
  <sheetData>
    <row r="1" spans="1:10">
      <c r="C1" s="381" t="s">
        <v>842</v>
      </c>
      <c r="G1" s="438" t="s">
        <v>1020</v>
      </c>
    </row>
    <row r="4" spans="1:10" ht="33">
      <c r="A4" s="365" t="s">
        <v>0</v>
      </c>
      <c r="B4" s="365" t="s">
        <v>103</v>
      </c>
      <c r="C4" s="365" t="s">
        <v>2</v>
      </c>
      <c r="D4" s="365" t="s">
        <v>1</v>
      </c>
      <c r="E4" s="366" t="s">
        <v>3</v>
      </c>
      <c r="F4" s="365" t="s">
        <v>821</v>
      </c>
    </row>
    <row r="5" spans="1:10" s="399" customFormat="1">
      <c r="A5" s="367" t="s">
        <v>109</v>
      </c>
      <c r="B5" s="365" t="s">
        <v>359</v>
      </c>
      <c r="C5" s="365"/>
      <c r="D5" s="365"/>
      <c r="E5" s="366"/>
      <c r="F5" s="368">
        <f>SUM(F6:F25)</f>
        <v>2935375000</v>
      </c>
    </row>
    <row r="6" spans="1:10">
      <c r="A6" s="369">
        <v>1</v>
      </c>
      <c r="B6" s="370" t="s">
        <v>822</v>
      </c>
      <c r="C6" s="370" t="s">
        <v>823</v>
      </c>
      <c r="D6" s="370">
        <v>400</v>
      </c>
      <c r="E6" s="371">
        <v>270000</v>
      </c>
      <c r="F6" s="372">
        <f>D6*E6</f>
        <v>108000000</v>
      </c>
      <c r="H6" s="370">
        <v>800</v>
      </c>
      <c r="I6" s="371">
        <v>270000</v>
      </c>
      <c r="J6" s="372">
        <f>H6*I6</f>
        <v>216000000</v>
      </c>
    </row>
    <row r="7" spans="1:10">
      <c r="A7" s="369">
        <v>2</v>
      </c>
      <c r="B7" s="370" t="s">
        <v>824</v>
      </c>
      <c r="C7" s="370" t="s">
        <v>823</v>
      </c>
      <c r="D7" s="370">
        <v>350</v>
      </c>
      <c r="E7" s="371">
        <v>300000</v>
      </c>
      <c r="F7" s="372">
        <f t="shared" ref="F7:F17" si="0">D7*E7</f>
        <v>105000000</v>
      </c>
      <c r="G7" s="396">
        <f>F5-F18-F20</f>
        <v>2661000000</v>
      </c>
      <c r="H7" s="370">
        <v>900</v>
      </c>
      <c r="I7" s="371">
        <v>300000</v>
      </c>
      <c r="J7" s="372">
        <f t="shared" ref="J7:J17" si="1">H7*I7</f>
        <v>270000000</v>
      </c>
    </row>
    <row r="8" spans="1:10">
      <c r="A8" s="369">
        <v>3</v>
      </c>
      <c r="B8" s="370" t="s">
        <v>825</v>
      </c>
      <c r="C8" s="370" t="s">
        <v>823</v>
      </c>
      <c r="D8" s="370">
        <v>200</v>
      </c>
      <c r="E8" s="371">
        <v>400000</v>
      </c>
      <c r="F8" s="372">
        <f t="shared" si="0"/>
        <v>80000000</v>
      </c>
      <c r="H8" s="370">
        <v>690</v>
      </c>
      <c r="I8" s="371">
        <v>400000</v>
      </c>
      <c r="J8" s="372">
        <f t="shared" si="1"/>
        <v>276000000</v>
      </c>
    </row>
    <row r="9" spans="1:10">
      <c r="A9" s="369">
        <v>4</v>
      </c>
      <c r="B9" s="370" t="s">
        <v>826</v>
      </c>
      <c r="C9" s="370" t="s">
        <v>823</v>
      </c>
      <c r="D9" s="370">
        <v>300</v>
      </c>
      <c r="E9" s="371">
        <v>250000</v>
      </c>
      <c r="F9" s="372">
        <f t="shared" si="0"/>
        <v>75000000</v>
      </c>
      <c r="H9" s="370">
        <v>900</v>
      </c>
      <c r="I9" s="371">
        <v>250000</v>
      </c>
      <c r="J9" s="372">
        <f t="shared" si="1"/>
        <v>225000000</v>
      </c>
    </row>
    <row r="10" spans="1:10" ht="18.75" customHeight="1">
      <c r="A10" s="369">
        <v>5</v>
      </c>
      <c r="B10" s="370" t="s">
        <v>827</v>
      </c>
      <c r="C10" s="370" t="s">
        <v>823</v>
      </c>
      <c r="D10" s="370">
        <v>400</v>
      </c>
      <c r="E10" s="371">
        <v>250000</v>
      </c>
      <c r="F10" s="372">
        <f t="shared" si="0"/>
        <v>100000000</v>
      </c>
      <c r="H10" s="370">
        <v>600</v>
      </c>
      <c r="I10" s="371">
        <v>250000</v>
      </c>
      <c r="J10" s="372">
        <f t="shared" si="1"/>
        <v>150000000</v>
      </c>
    </row>
    <row r="11" spans="1:10" ht="18.75" customHeight="1">
      <c r="A11" s="369">
        <v>6</v>
      </c>
      <c r="B11" s="370" t="s">
        <v>828</v>
      </c>
      <c r="C11" s="370" t="s">
        <v>829</v>
      </c>
      <c r="D11" s="370">
        <v>900</v>
      </c>
      <c r="E11" s="371">
        <v>220000</v>
      </c>
      <c r="F11" s="372">
        <f t="shared" si="0"/>
        <v>198000000</v>
      </c>
      <c r="H11" s="370">
        <v>900</v>
      </c>
      <c r="I11" s="371">
        <v>220000</v>
      </c>
      <c r="J11" s="372">
        <f t="shared" si="1"/>
        <v>198000000</v>
      </c>
    </row>
    <row r="12" spans="1:10" ht="18.75" customHeight="1">
      <c r="A12" s="369">
        <v>7</v>
      </c>
      <c r="B12" s="370" t="s">
        <v>830</v>
      </c>
      <c r="C12" s="370" t="s">
        <v>829</v>
      </c>
      <c r="D12" s="370">
        <v>900</v>
      </c>
      <c r="E12" s="371">
        <v>150000</v>
      </c>
      <c r="F12" s="372">
        <f t="shared" si="0"/>
        <v>135000000</v>
      </c>
      <c r="H12" s="370">
        <v>900</v>
      </c>
      <c r="I12" s="371">
        <v>150000</v>
      </c>
      <c r="J12" s="372">
        <f t="shared" si="1"/>
        <v>135000000</v>
      </c>
    </row>
    <row r="13" spans="1:10" ht="18.75" customHeight="1">
      <c r="A13" s="369">
        <v>8</v>
      </c>
      <c r="B13" s="370" t="s">
        <v>831</v>
      </c>
      <c r="C13" s="370" t="s">
        <v>829</v>
      </c>
      <c r="D13" s="370">
        <v>1500</v>
      </c>
      <c r="E13" s="371">
        <v>120000</v>
      </c>
      <c r="F13" s="372">
        <f t="shared" si="0"/>
        <v>180000000</v>
      </c>
      <c r="H13" s="370">
        <v>1500</v>
      </c>
      <c r="I13" s="371">
        <v>120000</v>
      </c>
      <c r="J13" s="372">
        <f t="shared" si="1"/>
        <v>180000000</v>
      </c>
    </row>
    <row r="14" spans="1:10" ht="18.75" customHeight="1">
      <c r="A14" s="369">
        <v>9</v>
      </c>
      <c r="B14" s="370" t="s">
        <v>832</v>
      </c>
      <c r="C14" s="370" t="s">
        <v>829</v>
      </c>
      <c r="D14" s="370">
        <v>800</v>
      </c>
      <c r="E14" s="371">
        <v>300000</v>
      </c>
      <c r="F14" s="372">
        <f t="shared" si="0"/>
        <v>240000000</v>
      </c>
      <c r="H14" s="370">
        <v>1200</v>
      </c>
      <c r="I14" s="371">
        <v>300000</v>
      </c>
      <c r="J14" s="372">
        <f t="shared" si="1"/>
        <v>360000000</v>
      </c>
    </row>
    <row r="15" spans="1:10" ht="18.75" customHeight="1">
      <c r="A15" s="369">
        <v>10</v>
      </c>
      <c r="B15" s="370" t="s">
        <v>833</v>
      </c>
      <c r="C15" s="370" t="s">
        <v>829</v>
      </c>
      <c r="D15" s="370">
        <v>1500</v>
      </c>
      <c r="E15" s="371">
        <v>120000</v>
      </c>
      <c r="F15" s="372">
        <f t="shared" si="0"/>
        <v>180000000</v>
      </c>
      <c r="H15" s="370">
        <v>1500</v>
      </c>
      <c r="I15" s="371">
        <v>120000</v>
      </c>
      <c r="J15" s="372">
        <f t="shared" si="1"/>
        <v>180000000</v>
      </c>
    </row>
    <row r="16" spans="1:10" ht="18.75" customHeight="1">
      <c r="A16" s="369">
        <v>11</v>
      </c>
      <c r="B16" s="370" t="s">
        <v>834</v>
      </c>
      <c r="C16" s="370" t="s">
        <v>11</v>
      </c>
      <c r="D16" s="370">
        <v>700</v>
      </c>
      <c r="E16" s="371">
        <v>300000</v>
      </c>
      <c r="F16" s="372">
        <f t="shared" si="0"/>
        <v>210000000</v>
      </c>
      <c r="H16" s="370">
        <v>900</v>
      </c>
      <c r="I16" s="371">
        <v>300000</v>
      </c>
      <c r="J16" s="372">
        <f t="shared" si="1"/>
        <v>270000000</v>
      </c>
    </row>
    <row r="17" spans="1:10" ht="18.75" customHeight="1">
      <c r="A17" s="369">
        <v>12</v>
      </c>
      <c r="B17" s="370" t="s">
        <v>835</v>
      </c>
      <c r="C17" s="370" t="s">
        <v>836</v>
      </c>
      <c r="D17" s="370">
        <v>1000</v>
      </c>
      <c r="E17" s="371">
        <v>50000</v>
      </c>
      <c r="F17" s="372">
        <f t="shared" si="0"/>
        <v>50000000</v>
      </c>
      <c r="G17" s="396"/>
      <c r="H17" s="370">
        <v>1000</v>
      </c>
      <c r="I17" s="371">
        <v>50000</v>
      </c>
      <c r="J17" s="372">
        <f t="shared" si="1"/>
        <v>50000000</v>
      </c>
    </row>
    <row r="18" spans="1:10">
      <c r="A18" s="369">
        <v>13</v>
      </c>
      <c r="B18" s="370" t="s">
        <v>123</v>
      </c>
      <c r="C18" s="370"/>
      <c r="D18" s="370"/>
      <c r="E18" s="371"/>
      <c r="F18" s="372">
        <v>90000000</v>
      </c>
      <c r="H18" s="370"/>
      <c r="I18" s="371"/>
      <c r="J18" s="372">
        <v>100000000</v>
      </c>
    </row>
    <row r="19" spans="1:10">
      <c r="A19" s="369">
        <v>14</v>
      </c>
      <c r="B19" s="370" t="s">
        <v>837</v>
      </c>
      <c r="C19" s="370"/>
      <c r="D19" s="370"/>
      <c r="E19" s="371"/>
      <c r="F19" s="372">
        <v>100000000</v>
      </c>
      <c r="H19" s="370"/>
      <c r="I19" s="371"/>
      <c r="J19" s="396">
        <f>SUM(J6:J18)</f>
        <v>2610000000</v>
      </c>
    </row>
    <row r="20" spans="1:10">
      <c r="A20" s="369">
        <v>15</v>
      </c>
      <c r="B20" s="370" t="s">
        <v>125</v>
      </c>
      <c r="C20" s="370"/>
      <c r="D20" s="370"/>
      <c r="E20" s="371"/>
      <c r="F20" s="372">
        <f>(F34*0.065*5+F34*0.08*7)/12</f>
        <v>184375000</v>
      </c>
    </row>
    <row r="21" spans="1:10">
      <c r="A21" s="369">
        <v>16</v>
      </c>
      <c r="B21" s="370" t="s">
        <v>838</v>
      </c>
      <c r="C21" s="370" t="s">
        <v>10</v>
      </c>
      <c r="D21" s="370">
        <v>6</v>
      </c>
      <c r="E21" s="371">
        <v>72000000</v>
      </c>
      <c r="F21" s="372">
        <f>D21*E21</f>
        <v>432000000</v>
      </c>
    </row>
    <row r="22" spans="1:10">
      <c r="A22" s="369">
        <v>17</v>
      </c>
      <c r="B22" s="370" t="s">
        <v>839</v>
      </c>
      <c r="C22" s="370" t="s">
        <v>10</v>
      </c>
      <c r="D22" s="370">
        <v>2</v>
      </c>
      <c r="E22" s="371">
        <v>150000000</v>
      </c>
      <c r="F22" s="372">
        <f>D22*E22</f>
        <v>300000000</v>
      </c>
    </row>
    <row r="23" spans="1:10">
      <c r="A23" s="369">
        <v>18</v>
      </c>
      <c r="B23" s="370" t="s">
        <v>814</v>
      </c>
      <c r="C23" s="370"/>
      <c r="D23" s="370"/>
      <c r="E23" s="371"/>
      <c r="F23" s="372">
        <v>3000000</v>
      </c>
    </row>
    <row r="24" spans="1:10">
      <c r="A24" s="369">
        <v>19</v>
      </c>
      <c r="B24" s="370" t="s">
        <v>411</v>
      </c>
      <c r="C24" s="370"/>
      <c r="D24" s="370"/>
      <c r="E24" s="371"/>
      <c r="F24" s="372">
        <v>150000000</v>
      </c>
    </row>
    <row r="25" spans="1:10">
      <c r="A25" s="369">
        <v>20</v>
      </c>
      <c r="B25" s="370" t="s">
        <v>217</v>
      </c>
      <c r="C25" s="370"/>
      <c r="D25" s="370"/>
      <c r="E25" s="371"/>
      <c r="F25" s="372">
        <v>15000000</v>
      </c>
    </row>
    <row r="26" spans="1:10" s="399" customFormat="1">
      <c r="A26" s="367" t="s">
        <v>116</v>
      </c>
      <c r="B26" s="365" t="s">
        <v>110</v>
      </c>
      <c r="C26" s="365"/>
      <c r="D26" s="365"/>
      <c r="E26" s="366"/>
      <c r="F26" s="368">
        <f>F27+F28</f>
        <v>3358000000</v>
      </c>
    </row>
    <row r="27" spans="1:10" ht="33">
      <c r="A27" s="369">
        <v>1</v>
      </c>
      <c r="B27" s="370" t="s">
        <v>840</v>
      </c>
      <c r="C27" s="370"/>
      <c r="D27" s="370"/>
      <c r="E27" s="371"/>
      <c r="F27" s="373">
        <f>6*2000000*250</f>
        <v>3000000000</v>
      </c>
    </row>
    <row r="28" spans="1:10" s="450" customFormat="1" ht="33">
      <c r="A28" s="374">
        <v>2</v>
      </c>
      <c r="B28" s="375" t="s">
        <v>841</v>
      </c>
      <c r="C28" s="375"/>
      <c r="D28" s="375"/>
      <c r="E28" s="376"/>
      <c r="F28" s="373">
        <f>10*30000000+10*5000000+4*2000000</f>
        <v>358000000</v>
      </c>
    </row>
    <row r="29" spans="1:10">
      <c r="A29" s="367" t="s">
        <v>135</v>
      </c>
      <c r="B29" s="365" t="s">
        <v>136</v>
      </c>
      <c r="C29" s="365"/>
      <c r="D29" s="365"/>
      <c r="E29" s="366"/>
      <c r="F29" s="368">
        <f>F26-F5</f>
        <v>422625000</v>
      </c>
    </row>
    <row r="30" spans="1:10">
      <c r="A30" s="367" t="s">
        <v>30</v>
      </c>
      <c r="B30" s="377" t="s">
        <v>218</v>
      </c>
      <c r="C30" s="377"/>
      <c r="D30" s="377"/>
      <c r="E30" s="378"/>
      <c r="F30" s="379">
        <f>F29/F26</f>
        <v>0.12585616438356165</v>
      </c>
    </row>
    <row r="32" spans="1:10">
      <c r="E32" s="443"/>
      <c r="F32" s="443"/>
    </row>
    <row r="33" spans="2:8">
      <c r="E33" s="443"/>
      <c r="F33" s="443"/>
    </row>
    <row r="34" spans="2:8">
      <c r="E34" s="443"/>
      <c r="F34" s="444">
        <v>2500000000</v>
      </c>
    </row>
    <row r="35" spans="2:8">
      <c r="E35" s="443"/>
      <c r="F35" s="443"/>
    </row>
    <row r="36" spans="2:8">
      <c r="B36" s="445"/>
      <c r="C36" s="445"/>
      <c r="D36" s="445"/>
      <c r="E36" s="443"/>
      <c r="F36" s="443"/>
    </row>
    <row r="37" spans="2:8">
      <c r="B37" s="445"/>
      <c r="C37" s="445"/>
      <c r="D37" s="445"/>
      <c r="E37" s="443"/>
      <c r="F37" s="446"/>
      <c r="G37" s="451"/>
    </row>
    <row r="38" spans="2:8">
      <c r="B38" s="445"/>
      <c r="C38" s="445"/>
      <c r="D38" s="445"/>
      <c r="E38" s="443"/>
      <c r="F38" s="447"/>
      <c r="G38" s="451"/>
    </row>
    <row r="39" spans="2:8">
      <c r="B39" s="448"/>
      <c r="C39" s="448"/>
      <c r="D39" s="448"/>
      <c r="E39" s="444"/>
      <c r="F39" s="444"/>
      <c r="G39" s="399"/>
      <c r="H39" s="399"/>
    </row>
  </sheetData>
  <pageMargins left="0.75" right="0.75" top="1" bottom="1" header="0.5" footer="0.5"/>
  <pageSetup paperSize="9" orientation="portrait" r:id="rId1"/>
  <headerFooter alignWithMargins="0"/>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G26"/>
  <sheetViews>
    <sheetView workbookViewId="0">
      <selection activeCell="C1" sqref="C1"/>
    </sheetView>
  </sheetViews>
  <sheetFormatPr defaultColWidth="65.5703125" defaultRowHeight="16.5"/>
  <cols>
    <col min="1" max="1" width="4.140625" style="6" bestFit="1" customWidth="1"/>
    <col min="2" max="2" width="40.42578125" style="6" bestFit="1" customWidth="1"/>
    <col min="3" max="3" width="20.5703125" style="6" bestFit="1" customWidth="1"/>
    <col min="4" max="4" width="18.42578125" style="6" bestFit="1" customWidth="1"/>
    <col min="5" max="5" width="15.5703125" style="6" customWidth="1"/>
    <col min="6" max="6" width="16.85546875" style="6" customWidth="1"/>
    <col min="7" max="16384" width="65.5703125" style="6"/>
  </cols>
  <sheetData>
    <row r="1" spans="1:7">
      <c r="C1" s="6" t="s">
        <v>3213</v>
      </c>
      <c r="G1" s="308" t="s">
        <v>1020</v>
      </c>
    </row>
    <row r="3" spans="1:7">
      <c r="A3" s="31" t="s">
        <v>0</v>
      </c>
      <c r="B3" s="31" t="s">
        <v>103</v>
      </c>
      <c r="C3" s="31" t="s">
        <v>295</v>
      </c>
      <c r="D3" s="5" t="s">
        <v>408</v>
      </c>
    </row>
    <row r="4" spans="1:7" s="28" customFormat="1">
      <c r="A4" s="5" t="s">
        <v>109</v>
      </c>
      <c r="B4" s="31" t="s">
        <v>359</v>
      </c>
      <c r="C4" s="33">
        <f>SUM(C5:C11)</f>
        <v>147562500</v>
      </c>
      <c r="D4" s="33">
        <f>SUM(D5:D11)</f>
        <v>590250000</v>
      </c>
    </row>
    <row r="5" spans="1:7">
      <c r="A5" s="4">
        <v>1</v>
      </c>
      <c r="B5" s="34" t="s">
        <v>322</v>
      </c>
      <c r="C5" s="35">
        <v>80000000</v>
      </c>
      <c r="D5" s="35">
        <f t="shared" ref="D5:D11" si="0">C5*4</f>
        <v>320000000</v>
      </c>
    </row>
    <row r="6" spans="1:7">
      <c r="A6" s="4">
        <v>2</v>
      </c>
      <c r="B6" s="34" t="s">
        <v>409</v>
      </c>
      <c r="C6" s="35">
        <v>50000000</v>
      </c>
      <c r="D6" s="35">
        <f t="shared" si="0"/>
        <v>200000000</v>
      </c>
    </row>
    <row r="7" spans="1:7">
      <c r="A7" s="4">
        <v>3</v>
      </c>
      <c r="B7" s="34" t="s">
        <v>123</v>
      </c>
      <c r="C7" s="35">
        <f>C18/C21*3</f>
        <v>6250000</v>
      </c>
      <c r="D7" s="35">
        <f t="shared" si="0"/>
        <v>25000000</v>
      </c>
    </row>
    <row r="8" spans="1:7">
      <c r="A8" s="4">
        <v>4</v>
      </c>
      <c r="B8" s="34" t="s">
        <v>125</v>
      </c>
      <c r="C8" s="35">
        <f>C22*C24/12*3</f>
        <v>4312500</v>
      </c>
      <c r="D8" s="35">
        <f t="shared" si="0"/>
        <v>17250000</v>
      </c>
    </row>
    <row r="9" spans="1:7">
      <c r="A9" s="4">
        <v>5</v>
      </c>
      <c r="B9" s="34" t="s">
        <v>410</v>
      </c>
      <c r="C9" s="35">
        <v>6000000</v>
      </c>
      <c r="D9" s="35">
        <f t="shared" si="0"/>
        <v>24000000</v>
      </c>
    </row>
    <row r="10" spans="1:7">
      <c r="A10" s="4">
        <v>6</v>
      </c>
      <c r="B10" s="34" t="s">
        <v>411</v>
      </c>
      <c r="C10" s="35">
        <v>500000</v>
      </c>
      <c r="D10" s="35">
        <f t="shared" si="0"/>
        <v>2000000</v>
      </c>
    </row>
    <row r="11" spans="1:7">
      <c r="A11" s="4">
        <v>7</v>
      </c>
      <c r="B11" s="34" t="s">
        <v>217</v>
      </c>
      <c r="C11" s="35">
        <v>500000</v>
      </c>
      <c r="D11" s="35">
        <f t="shared" si="0"/>
        <v>2000000</v>
      </c>
    </row>
    <row r="12" spans="1:7" s="28" customFormat="1">
      <c r="A12" s="5" t="s">
        <v>116</v>
      </c>
      <c r="B12" s="31" t="s">
        <v>110</v>
      </c>
      <c r="C12" s="33">
        <f>SUM(C13:C14)</f>
        <v>173000000</v>
      </c>
      <c r="D12" s="33">
        <f>SUM(D13:D14)</f>
        <v>692000000</v>
      </c>
    </row>
    <row r="13" spans="1:7">
      <c r="A13" s="4">
        <v>1</v>
      </c>
      <c r="B13" s="34" t="s">
        <v>412</v>
      </c>
      <c r="C13" s="35">
        <f>C5*1.35</f>
        <v>108000000</v>
      </c>
      <c r="D13" s="35">
        <f>C13*4</f>
        <v>432000000</v>
      </c>
    </row>
    <row r="14" spans="1:7">
      <c r="A14" s="4">
        <v>2</v>
      </c>
      <c r="B14" s="34" t="s">
        <v>413</v>
      </c>
      <c r="C14" s="35">
        <f>C6*1.3</f>
        <v>65000000</v>
      </c>
      <c r="D14" s="35">
        <f>C14*4</f>
        <v>260000000</v>
      </c>
    </row>
    <row r="15" spans="1:7">
      <c r="A15" s="5" t="s">
        <v>135</v>
      </c>
      <c r="B15" s="31" t="s">
        <v>136</v>
      </c>
      <c r="C15" s="33">
        <f>C12-C4</f>
        <v>25437500</v>
      </c>
      <c r="D15" s="33">
        <f>D12-D4</f>
        <v>101750000</v>
      </c>
    </row>
    <row r="16" spans="1:7">
      <c r="A16" s="5" t="s">
        <v>30</v>
      </c>
      <c r="B16" s="9" t="s">
        <v>218</v>
      </c>
      <c r="C16" s="2546">
        <f>D15/D12</f>
        <v>0.14703757225433525</v>
      </c>
      <c r="D16" s="2547"/>
    </row>
    <row r="18" spans="2:6">
      <c r="B18" s="6" t="s">
        <v>414</v>
      </c>
      <c r="C18" s="8">
        <v>100000000</v>
      </c>
    </row>
    <row r="19" spans="2:6">
      <c r="B19" s="6" t="s">
        <v>415</v>
      </c>
      <c r="C19" s="8">
        <f>C5+C6</f>
        <v>130000000</v>
      </c>
    </row>
    <row r="20" spans="2:6">
      <c r="B20" s="6" t="s">
        <v>223</v>
      </c>
      <c r="C20" s="27">
        <f>SUM(C18:C19)</f>
        <v>230000000</v>
      </c>
    </row>
    <row r="21" spans="2:6">
      <c r="B21" s="6" t="s">
        <v>6</v>
      </c>
      <c r="C21" s="8">
        <v>48</v>
      </c>
    </row>
    <row r="22" spans="2:6">
      <c r="B22" s="232" t="s">
        <v>12</v>
      </c>
      <c r="C22" s="233">
        <v>150000000</v>
      </c>
    </row>
    <row r="23" spans="2:6">
      <c r="B23" s="234" t="s">
        <v>26</v>
      </c>
      <c r="C23" s="8">
        <f>C18+C19-C22</f>
        <v>80000000</v>
      </c>
      <c r="D23" s="235">
        <f>C23/(C18+C19)</f>
        <v>0.34782608695652173</v>
      </c>
    </row>
    <row r="24" spans="2:6">
      <c r="B24" s="234" t="s">
        <v>13</v>
      </c>
      <c r="C24" s="46">
        <v>0.115</v>
      </c>
      <c r="D24" s="8"/>
    </row>
    <row r="25" spans="2:6">
      <c r="B25" s="234"/>
      <c r="C25" s="8"/>
      <c r="D25" s="8"/>
    </row>
    <row r="26" spans="2:6">
      <c r="B26" s="236"/>
      <c r="C26" s="27"/>
      <c r="D26" s="27"/>
      <c r="E26" s="28"/>
      <c r="F26" s="28"/>
    </row>
  </sheetData>
  <mergeCells count="1">
    <mergeCell ref="C16:D16"/>
  </mergeCells>
  <pageMargins left="0.75" right="0.75" top="1" bottom="1" header="0.5" footer="0.5"/>
  <pageSetup paperSize="9" orientation="portrait" verticalDpi="0" r:id="rId1"/>
  <headerFooter alignWithMargins="0"/>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9"/>
  <dimension ref="A1:I57"/>
  <sheetViews>
    <sheetView workbookViewId="0">
      <selection activeCell="G4" sqref="G4"/>
    </sheetView>
  </sheetViews>
  <sheetFormatPr defaultColWidth="9" defaultRowHeight="16.5"/>
  <cols>
    <col min="1" max="1" width="5.28515625" style="1109" customWidth="1"/>
    <col min="2" max="2" width="29.5703125" style="151" customWidth="1"/>
    <col min="3" max="3" width="7.28515625" style="1109" customWidth="1"/>
    <col min="4" max="4" width="9.42578125" style="1493" bestFit="1" customWidth="1"/>
    <col min="5" max="5" width="15.85546875" style="151" customWidth="1"/>
    <col min="6" max="6" width="17.85546875" style="151" bestFit="1" customWidth="1"/>
    <col min="7" max="7" width="9.140625" style="311" bestFit="1" customWidth="1"/>
    <col min="8" max="8" width="9" style="311"/>
    <col min="9" max="9" width="17.85546875" style="311" bestFit="1" customWidth="1"/>
    <col min="10" max="16384" width="9" style="311"/>
  </cols>
  <sheetData>
    <row r="1" spans="1:7">
      <c r="C1" s="1497" t="s">
        <v>3214</v>
      </c>
      <c r="G1" s="309" t="s">
        <v>1020</v>
      </c>
    </row>
    <row r="6" spans="1:7">
      <c r="A6" s="2333" t="s">
        <v>0</v>
      </c>
      <c r="B6" s="2333" t="s">
        <v>1105</v>
      </c>
      <c r="C6" s="2333" t="s">
        <v>100</v>
      </c>
      <c r="D6" s="1513" t="s">
        <v>1</v>
      </c>
      <c r="E6" s="2333" t="s">
        <v>2622</v>
      </c>
      <c r="F6" s="2333" t="s">
        <v>4</v>
      </c>
    </row>
    <row r="7" spans="1:7">
      <c r="A7" s="2333" t="s">
        <v>480</v>
      </c>
      <c r="B7" s="2554" t="s">
        <v>2657</v>
      </c>
      <c r="C7" s="2554"/>
      <c r="D7" s="2554"/>
      <c r="E7" s="2554"/>
      <c r="F7" s="1511">
        <f>SUM(F8:F17)</f>
        <v>1843000000</v>
      </c>
    </row>
    <row r="8" spans="1:7">
      <c r="A8" s="2334">
        <v>1</v>
      </c>
      <c r="B8" s="2314" t="s">
        <v>2648</v>
      </c>
      <c r="C8" s="2334" t="s">
        <v>963</v>
      </c>
      <c r="D8" s="1512">
        <v>1500</v>
      </c>
      <c r="E8" s="1302">
        <v>250000</v>
      </c>
      <c r="F8" s="1507">
        <f t="shared" ref="F8:F15" si="0">D8*E8</f>
        <v>375000000</v>
      </c>
    </row>
    <row r="9" spans="1:7">
      <c r="A9" s="2334">
        <v>2</v>
      </c>
      <c r="B9" s="2314" t="s">
        <v>2647</v>
      </c>
      <c r="C9" s="2334" t="s">
        <v>2646</v>
      </c>
      <c r="D9" s="1512">
        <v>1400</v>
      </c>
      <c r="E9" s="1302">
        <v>200000</v>
      </c>
      <c r="F9" s="1507">
        <f t="shared" si="0"/>
        <v>280000000</v>
      </c>
    </row>
    <row r="10" spans="1:7">
      <c r="A10" s="2334">
        <v>3</v>
      </c>
      <c r="B10" s="158" t="s">
        <v>2645</v>
      </c>
      <c r="C10" s="2334" t="s">
        <v>963</v>
      </c>
      <c r="D10" s="1512">
        <v>1400</v>
      </c>
      <c r="E10" s="1302">
        <v>230000</v>
      </c>
      <c r="F10" s="1507">
        <f t="shared" si="0"/>
        <v>322000000</v>
      </c>
    </row>
    <row r="11" spans="1:7">
      <c r="A11" s="2334">
        <v>4</v>
      </c>
      <c r="B11" s="158" t="s">
        <v>2656</v>
      </c>
      <c r="C11" s="2334" t="s">
        <v>11</v>
      </c>
      <c r="D11" s="1512">
        <v>800</v>
      </c>
      <c r="E11" s="1302">
        <v>150000</v>
      </c>
      <c r="F11" s="1507">
        <f t="shared" si="0"/>
        <v>120000000</v>
      </c>
    </row>
    <row r="12" spans="1:7">
      <c r="A12" s="2334">
        <v>5</v>
      </c>
      <c r="B12" s="158" t="s">
        <v>2655</v>
      </c>
      <c r="C12" s="2334" t="s">
        <v>11</v>
      </c>
      <c r="D12" s="1512">
        <v>800</v>
      </c>
      <c r="E12" s="1302">
        <v>250000</v>
      </c>
      <c r="F12" s="1507">
        <f t="shared" si="0"/>
        <v>200000000</v>
      </c>
    </row>
    <row r="13" spans="1:7">
      <c r="A13" s="2334">
        <v>6</v>
      </c>
      <c r="B13" s="158" t="s">
        <v>2654</v>
      </c>
      <c r="C13" s="2334" t="s">
        <v>11</v>
      </c>
      <c r="D13" s="1512">
        <v>800</v>
      </c>
      <c r="E13" s="1302">
        <v>200000</v>
      </c>
      <c r="F13" s="1507">
        <f t="shared" si="0"/>
        <v>160000000</v>
      </c>
    </row>
    <row r="14" spans="1:7">
      <c r="A14" s="2334">
        <v>7</v>
      </c>
      <c r="B14" s="158" t="s">
        <v>2653</v>
      </c>
      <c r="C14" s="2334" t="s">
        <v>11</v>
      </c>
      <c r="D14" s="1512">
        <v>800</v>
      </c>
      <c r="E14" s="1302">
        <v>120000</v>
      </c>
      <c r="F14" s="1507">
        <f t="shared" si="0"/>
        <v>96000000</v>
      </c>
    </row>
    <row r="15" spans="1:7">
      <c r="A15" s="2334">
        <v>9</v>
      </c>
      <c r="B15" s="158" t="s">
        <v>2652</v>
      </c>
      <c r="C15" s="2334" t="s">
        <v>11</v>
      </c>
      <c r="D15" s="1512">
        <v>800</v>
      </c>
      <c r="E15" s="1302">
        <v>200000</v>
      </c>
      <c r="F15" s="1507">
        <f t="shared" si="0"/>
        <v>160000000</v>
      </c>
    </row>
    <row r="16" spans="1:7">
      <c r="A16" s="2334">
        <v>10</v>
      </c>
      <c r="B16" s="158" t="s">
        <v>2651</v>
      </c>
      <c r="C16" s="2334"/>
      <c r="D16" s="1302"/>
      <c r="E16" s="1302"/>
      <c r="F16" s="160">
        <v>50000000</v>
      </c>
    </row>
    <row r="17" spans="1:9">
      <c r="A17" s="2334">
        <v>11</v>
      </c>
      <c r="B17" s="158" t="s">
        <v>2650</v>
      </c>
      <c r="C17" s="2334"/>
      <c r="D17" s="1302"/>
      <c r="E17" s="1302"/>
      <c r="F17" s="160">
        <v>80000000</v>
      </c>
    </row>
    <row r="18" spans="1:9">
      <c r="A18" s="2333" t="s">
        <v>485</v>
      </c>
      <c r="B18" s="2554" t="s">
        <v>23</v>
      </c>
      <c r="C18" s="2554"/>
      <c r="D18" s="2554"/>
      <c r="E18" s="2554"/>
      <c r="F18" s="1511">
        <f>SUM(F19:F24)</f>
        <v>3143000000</v>
      </c>
    </row>
    <row r="19" spans="1:9">
      <c r="A19" s="2333">
        <v>1</v>
      </c>
      <c r="B19" s="2433" t="s">
        <v>2649</v>
      </c>
      <c r="C19" s="2433"/>
      <c r="D19" s="2433"/>
      <c r="E19" s="2433"/>
      <c r="F19" s="1507"/>
    </row>
    <row r="20" spans="1:9">
      <c r="A20" s="1508" t="s">
        <v>615</v>
      </c>
      <c r="B20" s="2314" t="s">
        <v>2648</v>
      </c>
      <c r="C20" s="2334" t="s">
        <v>963</v>
      </c>
      <c r="D20" s="1510">
        <f>D8</f>
        <v>1500</v>
      </c>
      <c r="E20" s="1509">
        <v>350000</v>
      </c>
      <c r="F20" s="1507">
        <f>D20*E20</f>
        <v>525000000</v>
      </c>
    </row>
    <row r="21" spans="1:9">
      <c r="A21" s="1508" t="s">
        <v>615</v>
      </c>
      <c r="B21" s="2314" t="s">
        <v>2647</v>
      </c>
      <c r="C21" s="2334" t="s">
        <v>2646</v>
      </c>
      <c r="D21" s="1510">
        <f>D9</f>
        <v>1400</v>
      </c>
      <c r="E21" s="1509">
        <v>250000</v>
      </c>
      <c r="F21" s="1507">
        <f>D21*E21</f>
        <v>350000000</v>
      </c>
    </row>
    <row r="22" spans="1:9">
      <c r="A22" s="1508" t="s">
        <v>615</v>
      </c>
      <c r="B22" s="158" t="s">
        <v>2645</v>
      </c>
      <c r="C22" s="2334" t="s">
        <v>963</v>
      </c>
      <c r="D22" s="1510">
        <f>D10</f>
        <v>1400</v>
      </c>
      <c r="E22" s="1509">
        <v>270000</v>
      </c>
      <c r="F22" s="1507">
        <f>D22*E22</f>
        <v>378000000</v>
      </c>
    </row>
    <row r="23" spans="1:9">
      <c r="A23" s="2333">
        <v>2</v>
      </c>
      <c r="B23" s="2554" t="s">
        <v>2644</v>
      </c>
      <c r="C23" s="2554"/>
      <c r="D23" s="2554"/>
      <c r="E23" s="2554"/>
      <c r="F23" s="1507"/>
    </row>
    <row r="24" spans="1:9">
      <c r="A24" s="1508" t="s">
        <v>615</v>
      </c>
      <c r="B24" s="2592" t="s">
        <v>2643</v>
      </c>
      <c r="C24" s="2592"/>
      <c r="D24" s="2592"/>
      <c r="E24" s="2592"/>
      <c r="F24" s="1507">
        <f>90*70000*25*12</f>
        <v>1890000000</v>
      </c>
    </row>
    <row r="25" spans="1:9">
      <c r="A25" s="2333" t="s">
        <v>489</v>
      </c>
      <c r="B25" s="2554" t="s">
        <v>2642</v>
      </c>
      <c r="C25" s="2554"/>
      <c r="D25" s="2554"/>
      <c r="E25" s="2554"/>
      <c r="F25" s="1040">
        <f>F18-F7</f>
        <v>1300000000</v>
      </c>
    </row>
    <row r="26" spans="1:9">
      <c r="A26" s="2333" t="s">
        <v>547</v>
      </c>
      <c r="B26" s="2554" t="s">
        <v>2641</v>
      </c>
      <c r="C26" s="2554"/>
      <c r="D26" s="2554"/>
      <c r="E26" s="2554"/>
      <c r="F26" s="1040">
        <f>SUM(F27:F34)</f>
        <v>1032600000</v>
      </c>
    </row>
    <row r="27" spans="1:9">
      <c r="A27" s="2334" t="s">
        <v>2628</v>
      </c>
      <c r="B27" s="2545" t="s">
        <v>2640</v>
      </c>
      <c r="C27" s="2545"/>
      <c r="D27" s="2545"/>
      <c r="E27" s="2545"/>
      <c r="F27" s="160">
        <f>5*5000000*12</f>
        <v>300000000</v>
      </c>
    </row>
    <row r="28" spans="1:9">
      <c r="A28" s="2334" t="s">
        <v>2628</v>
      </c>
      <c r="B28" s="2545" t="s">
        <v>2639</v>
      </c>
      <c r="C28" s="2545"/>
      <c r="D28" s="2545"/>
      <c r="E28" s="2545"/>
      <c r="F28" s="160">
        <f>2*15000000*12</f>
        <v>360000000</v>
      </c>
    </row>
    <row r="29" spans="1:9">
      <c r="A29" s="2334" t="s">
        <v>2628</v>
      </c>
      <c r="B29" s="2545" t="s">
        <v>2638</v>
      </c>
      <c r="C29" s="2545"/>
      <c r="D29" s="2545"/>
      <c r="E29" s="2545"/>
      <c r="F29" s="160">
        <f>2000000*12</f>
        <v>24000000</v>
      </c>
    </row>
    <row r="30" spans="1:9">
      <c r="A30" s="2334" t="s">
        <v>2628</v>
      </c>
      <c r="B30" s="2545" t="s">
        <v>2637</v>
      </c>
      <c r="C30" s="2545"/>
      <c r="D30" s="2545"/>
      <c r="E30" s="2545"/>
      <c r="F30" s="160">
        <v>50000000</v>
      </c>
    </row>
    <row r="31" spans="1:9">
      <c r="A31" s="2334" t="s">
        <v>2628</v>
      </c>
      <c r="B31" s="2545" t="s">
        <v>2636</v>
      </c>
      <c r="C31" s="2545"/>
      <c r="D31" s="2545"/>
      <c r="E31" s="2545"/>
      <c r="F31" s="160">
        <f>300000*12</f>
        <v>3600000</v>
      </c>
      <c r="H31" s="493" t="s">
        <v>2635</v>
      </c>
      <c r="I31" s="1869">
        <f>F7+F26</f>
        <v>2875600000</v>
      </c>
    </row>
    <row r="32" spans="1:9" s="1870" customFormat="1">
      <c r="A32" s="1506" t="s">
        <v>2628</v>
      </c>
      <c r="B32" s="2545" t="s">
        <v>2634</v>
      </c>
      <c r="C32" s="2545"/>
      <c r="D32" s="2545"/>
      <c r="E32" s="2545"/>
      <c r="F32" s="269">
        <f>E42*E43</f>
        <v>200000000</v>
      </c>
    </row>
    <row r="33" spans="1:7" s="1870" customFormat="1">
      <c r="A33" s="1505" t="s">
        <v>615</v>
      </c>
      <c r="B33" s="2545" t="s">
        <v>2431</v>
      </c>
      <c r="C33" s="2545"/>
      <c r="D33" s="2545"/>
      <c r="E33" s="2545"/>
      <c r="F33" s="269">
        <f>900000000/20</f>
        <v>45000000</v>
      </c>
    </row>
    <row r="34" spans="1:7">
      <c r="A34" s="2334" t="s">
        <v>615</v>
      </c>
      <c r="B34" s="2545" t="s">
        <v>217</v>
      </c>
      <c r="C34" s="2545"/>
      <c r="D34" s="2545"/>
      <c r="E34" s="2545"/>
      <c r="F34" s="160">
        <v>50000000</v>
      </c>
    </row>
    <row r="35" spans="1:7">
      <c r="A35" s="2333" t="s">
        <v>582</v>
      </c>
      <c r="B35" s="2554" t="s">
        <v>24</v>
      </c>
      <c r="C35" s="2554"/>
      <c r="D35" s="2554"/>
      <c r="E35" s="2554"/>
      <c r="F35" s="1040">
        <f>F25-F26</f>
        <v>267400000</v>
      </c>
    </row>
    <row r="36" spans="1:7">
      <c r="A36" s="1294"/>
      <c r="B36" s="1504"/>
      <c r="C36" s="1504"/>
      <c r="D36" s="1503"/>
      <c r="E36" s="1504"/>
      <c r="F36" s="1293"/>
    </row>
    <row r="37" spans="1:7">
      <c r="A37" s="1294" t="s">
        <v>640</v>
      </c>
      <c r="B37" s="1498" t="s">
        <v>2633</v>
      </c>
      <c r="C37" s="1294"/>
      <c r="D37" s="1503"/>
      <c r="E37" s="1293"/>
      <c r="F37" s="1293"/>
    </row>
    <row r="38" spans="1:7">
      <c r="A38" s="1037" t="s">
        <v>2628</v>
      </c>
      <c r="B38" s="1036" t="s">
        <v>2632</v>
      </c>
      <c r="C38" s="1294"/>
      <c r="D38" s="1503"/>
      <c r="E38" s="1367">
        <f>F7+F26-F32-F30</f>
        <v>2625600000</v>
      </c>
      <c r="F38" s="1367" t="s">
        <v>2625</v>
      </c>
    </row>
    <row r="39" spans="1:7">
      <c r="A39" s="1037" t="s">
        <v>2628</v>
      </c>
      <c r="B39" s="1036" t="s">
        <v>2631</v>
      </c>
      <c r="C39" s="1294"/>
      <c r="D39" s="1503"/>
      <c r="E39" s="1502">
        <v>1.2</v>
      </c>
      <c r="F39" s="1367" t="s">
        <v>2630</v>
      </c>
    </row>
    <row r="40" spans="1:7">
      <c r="A40" s="1037" t="s">
        <v>2628</v>
      </c>
      <c r="B40" s="1036" t="s">
        <v>2629</v>
      </c>
      <c r="C40" s="1037"/>
      <c r="D40" s="1501"/>
      <c r="E40" s="1367">
        <f>E38/E39</f>
        <v>2188000000</v>
      </c>
      <c r="F40" s="1367" t="s">
        <v>2625</v>
      </c>
    </row>
    <row r="41" spans="1:7">
      <c r="A41" s="1037" t="s">
        <v>2628</v>
      </c>
      <c r="B41" s="1036" t="s">
        <v>2627</v>
      </c>
      <c r="C41" s="1037"/>
      <c r="D41" s="1501"/>
      <c r="E41" s="1500">
        <f>E40-E42</f>
        <v>188000000</v>
      </c>
      <c r="F41" s="1367" t="s">
        <v>2625</v>
      </c>
      <c r="G41" s="1871">
        <f>E41/E40</f>
        <v>8.5923217550274225E-2</v>
      </c>
    </row>
    <row r="42" spans="1:7">
      <c r="A42" s="1109" t="s">
        <v>2006</v>
      </c>
      <c r="B42" s="1036" t="s">
        <v>2626</v>
      </c>
      <c r="E42" s="494">
        <v>2000000000</v>
      </c>
      <c r="F42" s="1367" t="s">
        <v>2625</v>
      </c>
    </row>
    <row r="43" spans="1:7">
      <c r="A43" s="1109" t="s">
        <v>2006</v>
      </c>
      <c r="B43" s="1036" t="s">
        <v>2624</v>
      </c>
      <c r="E43" s="1499">
        <v>0.1</v>
      </c>
      <c r="F43" s="1367" t="s">
        <v>2623</v>
      </c>
    </row>
    <row r="44" spans="1:7">
      <c r="B44" s="1036"/>
      <c r="E44" s="152"/>
      <c r="F44" s="1367"/>
    </row>
    <row r="45" spans="1:7">
      <c r="B45" s="1036"/>
      <c r="E45" s="152"/>
      <c r="F45" s="1367"/>
    </row>
    <row r="46" spans="1:7">
      <c r="B46" s="1036"/>
      <c r="E46" s="152"/>
      <c r="F46" s="1367"/>
    </row>
    <row r="47" spans="1:7">
      <c r="B47" s="1036"/>
      <c r="E47" s="152"/>
      <c r="F47" s="1367"/>
    </row>
    <row r="48" spans="1:7">
      <c r="B48" s="1036"/>
      <c r="E48" s="152"/>
      <c r="F48" s="1367"/>
    </row>
    <row r="49" spans="1:6">
      <c r="B49" s="1036"/>
      <c r="E49" s="152"/>
      <c r="F49" s="1367"/>
    </row>
    <row r="50" spans="1:6">
      <c r="B50" s="1036"/>
      <c r="E50" s="152"/>
      <c r="F50" s="1367"/>
    </row>
    <row r="51" spans="1:6">
      <c r="B51" s="1036"/>
      <c r="E51" s="152"/>
      <c r="F51" s="1367"/>
    </row>
    <row r="52" spans="1:6">
      <c r="A52" s="1495"/>
      <c r="B52" s="1498"/>
      <c r="E52" s="1496"/>
    </row>
    <row r="53" spans="1:6">
      <c r="C53" s="151"/>
      <c r="E53" s="2305"/>
      <c r="F53" s="1497"/>
    </row>
    <row r="54" spans="1:6">
      <c r="B54" s="156"/>
      <c r="E54" s="1496"/>
      <c r="F54" s="169"/>
    </row>
    <row r="55" spans="1:6">
      <c r="A55" s="1495"/>
      <c r="B55" s="156"/>
      <c r="E55" s="1496"/>
      <c r="F55" s="169"/>
    </row>
    <row r="56" spans="1:6">
      <c r="A56" s="1495"/>
    </row>
    <row r="57" spans="1:6">
      <c r="D57" s="1494"/>
    </row>
  </sheetData>
  <mergeCells count="16">
    <mergeCell ref="B32:E32"/>
    <mergeCell ref="B33:E33"/>
    <mergeCell ref="B34:E34"/>
    <mergeCell ref="B35:E35"/>
    <mergeCell ref="B26:E26"/>
    <mergeCell ref="B27:E27"/>
    <mergeCell ref="B28:E28"/>
    <mergeCell ref="B29:E29"/>
    <mergeCell ref="B30:E30"/>
    <mergeCell ref="B31:E31"/>
    <mergeCell ref="B25:E25"/>
    <mergeCell ref="B7:E7"/>
    <mergeCell ref="B18:E18"/>
    <mergeCell ref="B19:E19"/>
    <mergeCell ref="B23:E23"/>
    <mergeCell ref="B24:E24"/>
  </mergeCells>
  <pageMargins left="0.7" right="0.7" top="0.75" bottom="0.75" header="0.3" footer="0.3"/>
  <pageSetup paperSize="9" orientation="portrait" verticalDpi="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K26"/>
  <sheetViews>
    <sheetView topLeftCell="B1" workbookViewId="0">
      <selection activeCell="B4" sqref="B4"/>
    </sheetView>
  </sheetViews>
  <sheetFormatPr defaultRowHeight="16.5"/>
  <cols>
    <col min="1" max="1" width="5.140625" style="311" bestFit="1" customWidth="1"/>
    <col min="2" max="2" width="41.7109375" style="362" customWidth="1"/>
    <col min="3" max="3" width="12.5703125" style="363" bestFit="1" customWidth="1"/>
    <col min="4" max="4" width="7.42578125" style="363" bestFit="1" customWidth="1"/>
    <col min="5" max="5" width="12.5703125" style="363" bestFit="1" customWidth="1"/>
    <col min="6" max="6" width="15.28515625" style="363" customWidth="1"/>
    <col min="7" max="7" width="19.140625" style="318" bestFit="1" customWidth="1"/>
    <col min="8" max="8" width="9.140625" style="311"/>
    <col min="9" max="9" width="21" style="318" bestFit="1" customWidth="1"/>
    <col min="10" max="10" width="17.85546875" style="318" bestFit="1" customWidth="1"/>
    <col min="11" max="11" width="19.140625" style="311" bestFit="1" customWidth="1"/>
    <col min="12" max="16384" width="9.140625" style="311"/>
  </cols>
  <sheetData>
    <row r="1" spans="1:10">
      <c r="C1" s="364" t="s">
        <v>820</v>
      </c>
      <c r="G1" s="452" t="s">
        <v>1020</v>
      </c>
    </row>
    <row r="4" spans="1:10" ht="33">
      <c r="A4" s="326" t="s">
        <v>97</v>
      </c>
      <c r="B4" s="2355" t="s">
        <v>103</v>
      </c>
      <c r="C4" s="344" t="s">
        <v>2</v>
      </c>
      <c r="D4" s="344" t="s">
        <v>1</v>
      </c>
      <c r="E4" s="344" t="s">
        <v>3</v>
      </c>
      <c r="F4" s="344" t="s">
        <v>804</v>
      </c>
      <c r="G4" s="344" t="s">
        <v>805</v>
      </c>
    </row>
    <row r="5" spans="1:10" s="352" customFormat="1">
      <c r="A5" s="348" t="s">
        <v>109</v>
      </c>
      <c r="B5" s="349" t="s">
        <v>359</v>
      </c>
      <c r="C5" s="350"/>
      <c r="D5" s="350"/>
      <c r="E5" s="350"/>
      <c r="F5" s="350">
        <f t="shared" ref="F5:F10" si="0">G5/12</f>
        <v>132500000</v>
      </c>
      <c r="G5" s="351">
        <f>SUM(G6:G16)</f>
        <v>1590000000</v>
      </c>
      <c r="I5" s="353"/>
      <c r="J5" s="353"/>
    </row>
    <row r="6" spans="1:10">
      <c r="A6" s="326">
        <v>1</v>
      </c>
      <c r="B6" s="354" t="s">
        <v>806</v>
      </c>
      <c r="C6" s="355"/>
      <c r="D6" s="355"/>
      <c r="E6" s="355"/>
      <c r="F6" s="355">
        <f t="shared" si="0"/>
        <v>1666666.6666666667</v>
      </c>
      <c r="G6" s="356">
        <v>20000000</v>
      </c>
    </row>
    <row r="7" spans="1:10">
      <c r="A7" s="326">
        <v>2</v>
      </c>
      <c r="B7" s="354" t="s">
        <v>807</v>
      </c>
      <c r="C7" s="355"/>
      <c r="D7" s="355"/>
      <c r="E7" s="355"/>
      <c r="F7" s="355">
        <f t="shared" si="0"/>
        <v>166666.66666666666</v>
      </c>
      <c r="G7" s="356">
        <v>2000000</v>
      </c>
    </row>
    <row r="8" spans="1:10">
      <c r="A8" s="326">
        <v>3</v>
      </c>
      <c r="B8" s="354" t="s">
        <v>808</v>
      </c>
      <c r="C8" s="355"/>
      <c r="D8" s="355"/>
      <c r="E8" s="355"/>
      <c r="F8" s="355">
        <f t="shared" si="0"/>
        <v>1666666.6666666667</v>
      </c>
      <c r="G8" s="356">
        <v>20000000</v>
      </c>
    </row>
    <row r="9" spans="1:10">
      <c r="A9" s="326">
        <v>4</v>
      </c>
      <c r="B9" s="354" t="s">
        <v>809</v>
      </c>
      <c r="C9" s="355"/>
      <c r="D9" s="355"/>
      <c r="E9" s="355"/>
      <c r="F9" s="355">
        <f t="shared" si="0"/>
        <v>41666666.666666664</v>
      </c>
      <c r="G9" s="356">
        <v>500000000</v>
      </c>
    </row>
    <row r="10" spans="1:10">
      <c r="A10" s="326">
        <v>5</v>
      </c>
      <c r="B10" s="354" t="s">
        <v>810</v>
      </c>
      <c r="C10" s="355"/>
      <c r="D10" s="355"/>
      <c r="E10" s="355"/>
      <c r="F10" s="355">
        <f t="shared" si="0"/>
        <v>40000000</v>
      </c>
      <c r="G10" s="356">
        <f>12000000000/25</f>
        <v>480000000</v>
      </c>
    </row>
    <row r="11" spans="1:10" ht="33">
      <c r="A11" s="326">
        <v>6</v>
      </c>
      <c r="B11" s="354" t="s">
        <v>811</v>
      </c>
      <c r="C11" s="355" t="s">
        <v>10</v>
      </c>
      <c r="D11" s="355">
        <v>2</v>
      </c>
      <c r="E11" s="355">
        <v>5000000</v>
      </c>
      <c r="F11" s="355">
        <v>10000000</v>
      </c>
      <c r="G11" s="356">
        <f>5000000*2*12</f>
        <v>120000000</v>
      </c>
    </row>
    <row r="12" spans="1:10" ht="33">
      <c r="A12" s="326">
        <v>7</v>
      </c>
      <c r="B12" s="354" t="s">
        <v>812</v>
      </c>
      <c r="C12" s="355" t="s">
        <v>10</v>
      </c>
      <c r="D12" s="355">
        <v>4</v>
      </c>
      <c r="E12" s="355">
        <v>6000000</v>
      </c>
      <c r="F12" s="355">
        <v>24000000</v>
      </c>
      <c r="G12" s="356">
        <f>6000000*4*12</f>
        <v>288000000</v>
      </c>
    </row>
    <row r="13" spans="1:10">
      <c r="A13" s="326">
        <v>8</v>
      </c>
      <c r="B13" s="354" t="s">
        <v>813</v>
      </c>
      <c r="C13" s="355" t="s">
        <v>139</v>
      </c>
      <c r="D13" s="355">
        <v>6</v>
      </c>
      <c r="E13" s="355">
        <v>600000</v>
      </c>
      <c r="F13" s="355"/>
      <c r="G13" s="356">
        <f>D13*E13</f>
        <v>3600000</v>
      </c>
    </row>
    <row r="14" spans="1:10">
      <c r="A14" s="326">
        <v>9</v>
      </c>
      <c r="B14" s="354" t="s">
        <v>814</v>
      </c>
      <c r="C14" s="355"/>
      <c r="D14" s="355"/>
      <c r="E14" s="355"/>
      <c r="F14" s="355">
        <v>12000000</v>
      </c>
      <c r="G14" s="356">
        <f>F14*12</f>
        <v>144000000</v>
      </c>
    </row>
    <row r="15" spans="1:10">
      <c r="A15" s="326">
        <v>10</v>
      </c>
      <c r="B15" s="354" t="s">
        <v>815</v>
      </c>
      <c r="C15" s="355"/>
      <c r="D15" s="355"/>
      <c r="E15" s="355"/>
      <c r="F15" s="355">
        <f>G15/12</f>
        <v>500000</v>
      </c>
      <c r="G15" s="356">
        <f>500000*12</f>
        <v>6000000</v>
      </c>
    </row>
    <row r="16" spans="1:10" ht="39.75" customHeight="1">
      <c r="A16" s="326">
        <v>11</v>
      </c>
      <c r="B16" s="354" t="s">
        <v>816</v>
      </c>
      <c r="C16" s="355"/>
      <c r="D16" s="355"/>
      <c r="E16" s="355"/>
      <c r="F16" s="355">
        <f>G16/12</f>
        <v>533333.33333333337</v>
      </c>
      <c r="G16" s="356">
        <v>6400000</v>
      </c>
    </row>
    <row r="17" spans="1:11" s="352" customFormat="1">
      <c r="A17" s="348" t="s">
        <v>116</v>
      </c>
      <c r="B17" s="349" t="s">
        <v>242</v>
      </c>
      <c r="C17" s="350"/>
      <c r="D17" s="350"/>
      <c r="E17" s="350"/>
      <c r="F17" s="350"/>
      <c r="G17" s="351">
        <f>G18+G19+G20</f>
        <v>2460000000</v>
      </c>
      <c r="I17" s="353">
        <v>2685093333</v>
      </c>
      <c r="J17" s="353"/>
    </row>
    <row r="18" spans="1:11" ht="49.5">
      <c r="A18" s="326">
        <v>1</v>
      </c>
      <c r="B18" s="357" t="s">
        <v>817</v>
      </c>
      <c r="C18" s="358"/>
      <c r="D18" s="358"/>
      <c r="E18" s="358"/>
      <c r="F18" s="358"/>
      <c r="G18" s="356">
        <f>7*4*500000*150</f>
        <v>2100000000</v>
      </c>
      <c r="I18" s="318">
        <v>1095493333</v>
      </c>
    </row>
    <row r="19" spans="1:11">
      <c r="A19" s="326">
        <v>2</v>
      </c>
      <c r="B19" s="354" t="s">
        <v>818</v>
      </c>
      <c r="C19" s="355"/>
      <c r="D19" s="355"/>
      <c r="E19" s="355"/>
      <c r="F19" s="355">
        <v>5000000</v>
      </c>
      <c r="G19" s="356">
        <f>F19*12</f>
        <v>60000000</v>
      </c>
    </row>
    <row r="20" spans="1:11">
      <c r="A20" s="326"/>
      <c r="B20" s="354" t="s">
        <v>819</v>
      </c>
      <c r="C20" s="355"/>
      <c r="D20" s="355"/>
      <c r="E20" s="355"/>
      <c r="F20" s="355"/>
      <c r="G20" s="356">
        <v>300000000</v>
      </c>
    </row>
    <row r="21" spans="1:11" s="352" customFormat="1">
      <c r="A21" s="348" t="s">
        <v>135</v>
      </c>
      <c r="B21" s="359" t="s">
        <v>136</v>
      </c>
      <c r="C21" s="360"/>
      <c r="D21" s="360"/>
      <c r="E21" s="360"/>
      <c r="F21" s="360"/>
      <c r="G21" s="351">
        <f>G17-G5</f>
        <v>870000000</v>
      </c>
      <c r="I21" s="353">
        <v>2545093333</v>
      </c>
      <c r="J21" s="353">
        <f>I21-G21</f>
        <v>1675093333</v>
      </c>
      <c r="K21" s="361">
        <f>J21/12</f>
        <v>139591111.08333334</v>
      </c>
    </row>
    <row r="22" spans="1:11">
      <c r="G22" s="318">
        <v>900000000</v>
      </c>
    </row>
    <row r="23" spans="1:11">
      <c r="G23" s="318">
        <v>480000000</v>
      </c>
    </row>
    <row r="24" spans="1:11">
      <c r="G24" s="318">
        <f>SUM(G21:G23)</f>
        <v>2250000000</v>
      </c>
      <c r="I24" s="318">
        <v>7800000000</v>
      </c>
    </row>
    <row r="25" spans="1:11">
      <c r="G25" s="318">
        <v>1700000000</v>
      </c>
      <c r="I25" s="318">
        <v>5</v>
      </c>
    </row>
    <row r="26" spans="1:11">
      <c r="I26" s="318">
        <f>I24/I25</f>
        <v>1560000000</v>
      </c>
    </row>
  </sheetData>
  <pageMargins left="0.7" right="0.7" top="0.75" bottom="0.75" header="0.3" footer="0.3"/>
  <pageSetup paperSize="9" orientation="portrait" verticalDpi="0"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G36"/>
  <sheetViews>
    <sheetView zoomScaleNormal="100" workbookViewId="0">
      <selection activeCell="J13" sqref="J13"/>
    </sheetView>
  </sheetViews>
  <sheetFormatPr defaultRowHeight="16.5"/>
  <cols>
    <col min="1" max="1" width="4.85546875" style="151" bestFit="1" customWidth="1"/>
    <col min="2" max="2" width="34.140625" style="151" customWidth="1"/>
    <col min="3" max="3" width="13.42578125" style="151" customWidth="1"/>
    <col min="4" max="4" width="11.42578125" style="151" customWidth="1"/>
    <col min="5" max="5" width="11.42578125" style="151" bestFit="1" customWidth="1"/>
    <col min="6" max="6" width="16" style="151" bestFit="1" customWidth="1"/>
    <col min="7" max="7" width="10.28515625" style="151" customWidth="1"/>
    <col min="8" max="16384" width="9.140625" style="151"/>
  </cols>
  <sheetData>
    <row r="1" spans="1:7">
      <c r="C1" s="151" t="s">
        <v>2260</v>
      </c>
      <c r="G1" s="309" t="s">
        <v>1020</v>
      </c>
    </row>
    <row r="4" spans="1:7">
      <c r="B4" s="156" t="s">
        <v>2259</v>
      </c>
      <c r="C4" s="1109" t="s">
        <v>2258</v>
      </c>
      <c r="D4" s="1109">
        <v>500</v>
      </c>
      <c r="E4" s="2354"/>
      <c r="G4" s="163"/>
    </row>
    <row r="5" spans="1:7" ht="33">
      <c r="A5" s="2318" t="s">
        <v>528</v>
      </c>
      <c r="B5" s="2318" t="s">
        <v>1105</v>
      </c>
      <c r="C5" s="2318" t="s">
        <v>235</v>
      </c>
      <c r="D5" s="2318" t="s">
        <v>1</v>
      </c>
      <c r="E5" s="2318" t="s">
        <v>2257</v>
      </c>
      <c r="F5" s="1310" t="s">
        <v>2256</v>
      </c>
      <c r="G5" s="163"/>
    </row>
    <row r="6" spans="1:7">
      <c r="A6" s="2318" t="s">
        <v>109</v>
      </c>
      <c r="B6" s="1309" t="s">
        <v>2255</v>
      </c>
      <c r="C6" s="2318"/>
      <c r="D6" s="2318"/>
      <c r="E6" s="343"/>
      <c r="F6" s="341">
        <f>SUM(F7:F19)</f>
        <v>1217500000</v>
      </c>
      <c r="G6" s="163"/>
    </row>
    <row r="7" spans="1:7">
      <c r="A7" s="331">
        <v>1</v>
      </c>
      <c r="B7" s="331" t="s">
        <v>2252</v>
      </c>
      <c r="C7" s="286" t="s">
        <v>2246</v>
      </c>
      <c r="D7" s="1306">
        <v>1100</v>
      </c>
      <c r="E7" s="1041">
        <v>85000</v>
      </c>
      <c r="F7" s="1302">
        <f t="shared" ref="F7:F14" si="0">D7*E7</f>
        <v>93500000</v>
      </c>
      <c r="G7" s="163"/>
    </row>
    <row r="8" spans="1:7">
      <c r="A8" s="331">
        <v>2</v>
      </c>
      <c r="B8" s="331" t="s">
        <v>2251</v>
      </c>
      <c r="C8" s="286" t="s">
        <v>2246</v>
      </c>
      <c r="D8" s="1306">
        <v>1300</v>
      </c>
      <c r="E8" s="1041">
        <v>65000</v>
      </c>
      <c r="F8" s="1302">
        <f t="shared" si="0"/>
        <v>84500000</v>
      </c>
      <c r="G8" s="163"/>
    </row>
    <row r="9" spans="1:7">
      <c r="A9" s="331">
        <v>3</v>
      </c>
      <c r="B9" s="331" t="s">
        <v>2250</v>
      </c>
      <c r="C9" s="286" t="s">
        <v>2246</v>
      </c>
      <c r="D9" s="1306">
        <v>1200</v>
      </c>
      <c r="E9" s="339">
        <v>110000</v>
      </c>
      <c r="F9" s="1302">
        <f t="shared" si="0"/>
        <v>132000000</v>
      </c>
      <c r="G9" s="163"/>
    </row>
    <row r="10" spans="1:7">
      <c r="A10" s="331">
        <v>4</v>
      </c>
      <c r="B10" s="331" t="s">
        <v>2249</v>
      </c>
      <c r="C10" s="1304" t="s">
        <v>2246</v>
      </c>
      <c r="D10" s="1303">
        <v>1700</v>
      </c>
      <c r="E10" s="339">
        <v>150000</v>
      </c>
      <c r="F10" s="1302">
        <f t="shared" si="0"/>
        <v>255000000</v>
      </c>
      <c r="G10" s="163"/>
    </row>
    <row r="11" spans="1:7">
      <c r="A11" s="331">
        <v>5</v>
      </c>
      <c r="B11" s="331" t="s">
        <v>2248</v>
      </c>
      <c r="C11" s="1304" t="s">
        <v>2246</v>
      </c>
      <c r="D11" s="1303">
        <v>1500</v>
      </c>
      <c r="E11" s="339">
        <v>25000</v>
      </c>
      <c r="F11" s="1302">
        <f t="shared" si="0"/>
        <v>37500000</v>
      </c>
      <c r="G11" s="163"/>
    </row>
    <row r="12" spans="1:7">
      <c r="A12" s="331">
        <v>6</v>
      </c>
      <c r="B12" s="331" t="s">
        <v>2247</v>
      </c>
      <c r="C12" s="286" t="s">
        <v>2246</v>
      </c>
      <c r="D12" s="1303">
        <v>1500</v>
      </c>
      <c r="E12" s="339">
        <v>32000</v>
      </c>
      <c r="F12" s="1302">
        <f t="shared" si="0"/>
        <v>48000000</v>
      </c>
      <c r="G12" s="163"/>
    </row>
    <row r="13" spans="1:7">
      <c r="A13" s="331">
        <v>7</v>
      </c>
      <c r="B13" s="1305" t="s">
        <v>2245</v>
      </c>
      <c r="C13" s="286" t="s">
        <v>5</v>
      </c>
      <c r="D13" s="1303">
        <v>1500</v>
      </c>
      <c r="E13" s="339">
        <v>90000</v>
      </c>
      <c r="F13" s="1302">
        <f t="shared" si="0"/>
        <v>135000000</v>
      </c>
      <c r="G13" s="163"/>
    </row>
    <row r="14" spans="1:7">
      <c r="A14" s="331">
        <v>8</v>
      </c>
      <c r="B14" s="1305" t="s">
        <v>2244</v>
      </c>
      <c r="C14" s="1304" t="s">
        <v>5</v>
      </c>
      <c r="D14" s="1303">
        <v>1700</v>
      </c>
      <c r="E14" s="339">
        <v>140000</v>
      </c>
      <c r="F14" s="1302">
        <f t="shared" si="0"/>
        <v>238000000</v>
      </c>
      <c r="G14" s="163"/>
    </row>
    <row r="15" spans="1:7">
      <c r="A15" s="331">
        <v>9</v>
      </c>
      <c r="B15" s="1305" t="s">
        <v>2243</v>
      </c>
      <c r="C15" s="1304"/>
      <c r="D15" s="1303"/>
      <c r="E15" s="339"/>
      <c r="F15" s="1302">
        <v>30000000</v>
      </c>
      <c r="G15" s="163"/>
    </row>
    <row r="16" spans="1:7">
      <c r="A16" s="331">
        <v>10</v>
      </c>
      <c r="B16" s="1305" t="s">
        <v>2254</v>
      </c>
      <c r="C16" s="1304" t="s">
        <v>358</v>
      </c>
      <c r="D16" s="1303">
        <v>12</v>
      </c>
      <c r="E16" s="339">
        <v>8000000</v>
      </c>
      <c r="F16" s="1308">
        <f>D16*E16</f>
        <v>96000000</v>
      </c>
      <c r="G16" s="163"/>
    </row>
    <row r="17" spans="1:7">
      <c r="A17" s="331">
        <v>11</v>
      </c>
      <c r="B17" s="1305" t="s">
        <v>217</v>
      </c>
      <c r="C17" s="1304" t="s">
        <v>74</v>
      </c>
      <c r="D17" s="1303">
        <v>12</v>
      </c>
      <c r="E17" s="339">
        <v>1000000</v>
      </c>
      <c r="F17" s="1302">
        <f>D17*E17</f>
        <v>12000000</v>
      </c>
      <c r="G17" s="163"/>
    </row>
    <row r="18" spans="1:7">
      <c r="A18" s="331">
        <v>12</v>
      </c>
      <c r="B18" s="1305" t="s">
        <v>194</v>
      </c>
      <c r="C18" s="1304" t="s">
        <v>74</v>
      </c>
      <c r="D18" s="1303">
        <v>12</v>
      </c>
      <c r="E18" s="339">
        <v>500000</v>
      </c>
      <c r="F18" s="1302">
        <f>D18*E18</f>
        <v>6000000</v>
      </c>
      <c r="G18" s="163"/>
    </row>
    <row r="19" spans="1:7">
      <c r="A19" s="331">
        <v>13</v>
      </c>
      <c r="B19" s="1307" t="s">
        <v>19</v>
      </c>
      <c r="C19" s="338"/>
      <c r="D19" s="1303"/>
      <c r="E19" s="339"/>
      <c r="F19" s="1302">
        <v>50000000</v>
      </c>
      <c r="G19" s="163"/>
    </row>
    <row r="20" spans="1:7" ht="33">
      <c r="A20" s="2318" t="s">
        <v>116</v>
      </c>
      <c r="B20" s="333" t="s">
        <v>2253</v>
      </c>
      <c r="C20" s="338"/>
      <c r="D20" s="338"/>
      <c r="E20" s="343"/>
      <c r="F20" s="341">
        <f>SUM(F21:F29)</f>
        <v>1369550000</v>
      </c>
      <c r="G20" s="163"/>
    </row>
    <row r="21" spans="1:7">
      <c r="A21" s="331">
        <v>1</v>
      </c>
      <c r="B21" s="331" t="s">
        <v>2252</v>
      </c>
      <c r="C21" s="286" t="s">
        <v>2246</v>
      </c>
      <c r="D21" s="1306">
        <v>1100</v>
      </c>
      <c r="E21" s="339">
        <f t="shared" ref="E21:E28" si="1">E7*130/100</f>
        <v>110500</v>
      </c>
      <c r="F21" s="1302">
        <f t="shared" ref="F21:F28" si="2">D21*E21</f>
        <v>121550000</v>
      </c>
      <c r="G21" s="163"/>
    </row>
    <row r="22" spans="1:7">
      <c r="A22" s="331">
        <v>2</v>
      </c>
      <c r="B22" s="331" t="s">
        <v>2251</v>
      </c>
      <c r="C22" s="286" t="s">
        <v>2246</v>
      </c>
      <c r="D22" s="1306">
        <v>1300</v>
      </c>
      <c r="E22" s="339">
        <f t="shared" si="1"/>
        <v>84500</v>
      </c>
      <c r="F22" s="1302">
        <f t="shared" si="2"/>
        <v>109850000</v>
      </c>
      <c r="G22" s="163"/>
    </row>
    <row r="23" spans="1:7">
      <c r="A23" s="331">
        <v>3</v>
      </c>
      <c r="B23" s="331" t="s">
        <v>2250</v>
      </c>
      <c r="C23" s="286" t="s">
        <v>2246</v>
      </c>
      <c r="D23" s="1306">
        <v>1200</v>
      </c>
      <c r="E23" s="339">
        <f t="shared" si="1"/>
        <v>143000</v>
      </c>
      <c r="F23" s="1302">
        <f t="shared" si="2"/>
        <v>171600000</v>
      </c>
      <c r="G23" s="163"/>
    </row>
    <row r="24" spans="1:7">
      <c r="A24" s="331">
        <v>4</v>
      </c>
      <c r="B24" s="331" t="s">
        <v>2249</v>
      </c>
      <c r="C24" s="1304" t="s">
        <v>2246</v>
      </c>
      <c r="D24" s="1303">
        <v>1700</v>
      </c>
      <c r="E24" s="339">
        <f t="shared" si="1"/>
        <v>195000</v>
      </c>
      <c r="F24" s="1302">
        <f t="shared" si="2"/>
        <v>331500000</v>
      </c>
      <c r="G24" s="163"/>
    </row>
    <row r="25" spans="1:7">
      <c r="A25" s="331">
        <v>5</v>
      </c>
      <c r="B25" s="331" t="s">
        <v>2248</v>
      </c>
      <c r="C25" s="1304" t="s">
        <v>2246</v>
      </c>
      <c r="D25" s="1303">
        <v>1500</v>
      </c>
      <c r="E25" s="339">
        <f t="shared" si="1"/>
        <v>32500</v>
      </c>
      <c r="F25" s="1302">
        <f t="shared" si="2"/>
        <v>48750000</v>
      </c>
      <c r="G25" s="163"/>
    </row>
    <row r="26" spans="1:7">
      <c r="A26" s="331">
        <v>6</v>
      </c>
      <c r="B26" s="331" t="s">
        <v>2247</v>
      </c>
      <c r="C26" s="286" t="s">
        <v>2246</v>
      </c>
      <c r="D26" s="1303">
        <v>1500</v>
      </c>
      <c r="E26" s="339">
        <f t="shared" si="1"/>
        <v>41600</v>
      </c>
      <c r="F26" s="1302">
        <f t="shared" si="2"/>
        <v>62400000</v>
      </c>
      <c r="G26" s="163"/>
    </row>
    <row r="27" spans="1:7">
      <c r="A27" s="331">
        <v>7</v>
      </c>
      <c r="B27" s="1305" t="s">
        <v>2245</v>
      </c>
      <c r="C27" s="286" t="s">
        <v>5</v>
      </c>
      <c r="D27" s="1303">
        <v>1500</v>
      </c>
      <c r="E27" s="339">
        <f t="shared" si="1"/>
        <v>117000</v>
      </c>
      <c r="F27" s="1302">
        <f t="shared" si="2"/>
        <v>175500000</v>
      </c>
      <c r="G27" s="163"/>
    </row>
    <row r="28" spans="1:7">
      <c r="A28" s="331">
        <v>8</v>
      </c>
      <c r="B28" s="1305" t="s">
        <v>2244</v>
      </c>
      <c r="C28" s="1304" t="s">
        <v>5</v>
      </c>
      <c r="D28" s="1303">
        <v>1700</v>
      </c>
      <c r="E28" s="339">
        <f t="shared" si="1"/>
        <v>182000</v>
      </c>
      <c r="F28" s="1302">
        <f t="shared" si="2"/>
        <v>309400000</v>
      </c>
      <c r="G28" s="163"/>
    </row>
    <row r="29" spans="1:7">
      <c r="A29" s="331">
        <v>9</v>
      </c>
      <c r="B29" s="1305" t="s">
        <v>2243</v>
      </c>
      <c r="C29" s="1304"/>
      <c r="D29" s="1303"/>
      <c r="E29" s="339"/>
      <c r="F29" s="1302">
        <f>F15*1.3</f>
        <v>39000000</v>
      </c>
      <c r="G29" s="163"/>
    </row>
    <row r="30" spans="1:7" ht="17.25">
      <c r="A30" s="1300" t="s">
        <v>135</v>
      </c>
      <c r="B30" s="1301" t="s">
        <v>2242</v>
      </c>
      <c r="C30" s="1300"/>
      <c r="D30" s="1300"/>
      <c r="E30" s="339"/>
      <c r="F30" s="1299">
        <f>F20-F6</f>
        <v>152050000</v>
      </c>
      <c r="G30" s="1298">
        <f>F30/F20*100</f>
        <v>11.102186849695157</v>
      </c>
    </row>
    <row r="31" spans="1:7">
      <c r="A31" s="2600" t="s">
        <v>2241</v>
      </c>
      <c r="B31" s="2600"/>
      <c r="C31" s="2601">
        <f>F6-F18-F19</f>
        <v>1161500000</v>
      </c>
      <c r="D31" s="2601"/>
      <c r="E31" s="1296"/>
      <c r="G31" s="163"/>
    </row>
    <row r="32" spans="1:7">
      <c r="A32" s="2600" t="s">
        <v>2240</v>
      </c>
      <c r="B32" s="2600"/>
      <c r="C32" s="2602">
        <f>C31/2</f>
        <v>580750000</v>
      </c>
      <c r="D32" s="2602"/>
      <c r="E32" s="1296"/>
      <c r="G32" s="163"/>
    </row>
    <row r="33" spans="1:7">
      <c r="A33" s="2600" t="s">
        <v>2239</v>
      </c>
      <c r="B33" s="2600"/>
      <c r="C33" s="2603">
        <f>C32-C34</f>
        <v>80750000</v>
      </c>
      <c r="D33" s="2603"/>
      <c r="E33" s="1297">
        <f>C33/C32</f>
        <v>0.13904433921653034</v>
      </c>
      <c r="F33" s="1109"/>
      <c r="G33" s="163"/>
    </row>
    <row r="34" spans="1:7">
      <c r="A34" s="2593" t="s">
        <v>27</v>
      </c>
      <c r="B34" s="2593"/>
      <c r="C34" s="2594">
        <v>500000000</v>
      </c>
      <c r="D34" s="2595"/>
      <c r="E34" s="1296"/>
      <c r="F34" s="163"/>
      <c r="G34" s="163"/>
    </row>
    <row r="35" spans="1:7">
      <c r="A35" s="2593" t="s">
        <v>63</v>
      </c>
      <c r="B35" s="2593"/>
      <c r="C35" s="2596">
        <v>0.1</v>
      </c>
      <c r="D35" s="2597"/>
      <c r="E35" s="1296"/>
      <c r="G35" s="163"/>
    </row>
    <row r="36" spans="1:7">
      <c r="A36" s="2598" t="s">
        <v>19</v>
      </c>
      <c r="B36" s="2598"/>
      <c r="C36" s="2599">
        <f>C34*C35</f>
        <v>50000000</v>
      </c>
      <c r="D36" s="2599"/>
      <c r="E36" s="1296"/>
      <c r="G36" s="163"/>
    </row>
  </sheetData>
  <mergeCells count="12">
    <mergeCell ref="A31:B31"/>
    <mergeCell ref="C31:D31"/>
    <mergeCell ref="A32:B32"/>
    <mergeCell ref="C32:D32"/>
    <mergeCell ref="A33:B33"/>
    <mergeCell ref="C33:D33"/>
    <mergeCell ref="A34:B34"/>
    <mergeCell ref="C34:D34"/>
    <mergeCell ref="A35:B35"/>
    <mergeCell ref="C35:D35"/>
    <mergeCell ref="A36:B36"/>
    <mergeCell ref="C36:D36"/>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54"/>
  <sheetViews>
    <sheetView workbookViewId="0">
      <selection activeCell="B18" sqref="B18"/>
    </sheetView>
  </sheetViews>
  <sheetFormatPr defaultRowHeight="16.5"/>
  <cols>
    <col min="1" max="1" width="4" style="6" bestFit="1" customWidth="1"/>
    <col min="2" max="2" width="23.28515625" style="6" bestFit="1" customWidth="1"/>
    <col min="3" max="3" width="7.42578125" style="6" bestFit="1" customWidth="1"/>
    <col min="4" max="4" width="9.7109375" style="6" bestFit="1" customWidth="1"/>
    <col min="5" max="6" width="14" style="6" bestFit="1" customWidth="1"/>
    <col min="7" max="7" width="15.28515625" style="6" bestFit="1" customWidth="1"/>
    <col min="8" max="16384" width="9.140625" style="6"/>
  </cols>
  <sheetData>
    <row r="1" spans="1:8">
      <c r="C1" s="6" t="s">
        <v>467</v>
      </c>
      <c r="G1" s="308" t="s">
        <v>1020</v>
      </c>
    </row>
    <row r="3" spans="1:8" ht="33">
      <c r="A3" s="53" t="s">
        <v>0</v>
      </c>
      <c r="B3" s="53" t="s">
        <v>103</v>
      </c>
      <c r="C3" s="53" t="s">
        <v>2</v>
      </c>
      <c r="D3" s="53" t="s">
        <v>1</v>
      </c>
      <c r="E3" s="53" t="s">
        <v>3</v>
      </c>
      <c r="F3" s="53" t="s">
        <v>440</v>
      </c>
      <c r="G3" s="84" t="s">
        <v>441</v>
      </c>
    </row>
    <row r="4" spans="1:8">
      <c r="A4" s="5" t="s">
        <v>109</v>
      </c>
      <c r="B4" s="31" t="s">
        <v>359</v>
      </c>
      <c r="C4" s="31"/>
      <c r="D4" s="33">
        <f>SUM(D5:D12)</f>
        <v>51</v>
      </c>
      <c r="E4" s="33">
        <f>SUM(E5:E29)</f>
        <v>25498333.333333336</v>
      </c>
      <c r="F4" s="33">
        <f>SUM(F5:F29)</f>
        <v>62358333.333333336</v>
      </c>
      <c r="G4" s="33">
        <f>SUM(G5:G29)</f>
        <v>374150000</v>
      </c>
    </row>
    <row r="5" spans="1:8">
      <c r="A5" s="4">
        <v>1</v>
      </c>
      <c r="B5" s="34" t="s">
        <v>442</v>
      </c>
      <c r="C5" s="34" t="s">
        <v>443</v>
      </c>
      <c r="D5" s="42">
        <v>3</v>
      </c>
      <c r="E5" s="35">
        <v>230000</v>
      </c>
      <c r="F5" s="35">
        <f>E5*D5</f>
        <v>690000</v>
      </c>
      <c r="G5" s="36">
        <f>F5*6</f>
        <v>4140000</v>
      </c>
      <c r="H5" s="56"/>
    </row>
    <row r="6" spans="1:8">
      <c r="A6" s="4">
        <v>2</v>
      </c>
      <c r="B6" s="34" t="s">
        <v>444</v>
      </c>
      <c r="C6" s="34" t="s">
        <v>443</v>
      </c>
      <c r="D6" s="42">
        <v>4</v>
      </c>
      <c r="E6" s="35">
        <v>430000</v>
      </c>
      <c r="F6" s="35">
        <f t="shared" ref="F6:F29" si="0">E6*D6</f>
        <v>1720000</v>
      </c>
      <c r="G6" s="36">
        <f t="shared" ref="G6:G47" si="1">F6*6</f>
        <v>10320000</v>
      </c>
      <c r="H6" s="56"/>
    </row>
    <row r="7" spans="1:8">
      <c r="A7" s="4">
        <v>3</v>
      </c>
      <c r="B7" s="34" t="s">
        <v>445</v>
      </c>
      <c r="C7" s="34" t="s">
        <v>443</v>
      </c>
      <c r="D7" s="42">
        <v>6</v>
      </c>
      <c r="E7" s="35">
        <v>680000</v>
      </c>
      <c r="F7" s="35">
        <f t="shared" si="0"/>
        <v>4080000</v>
      </c>
      <c r="G7" s="36">
        <f t="shared" si="1"/>
        <v>24480000</v>
      </c>
      <c r="H7" s="56"/>
    </row>
    <row r="8" spans="1:8">
      <c r="A8" s="4">
        <v>4</v>
      </c>
      <c r="B8" s="34" t="s">
        <v>446</v>
      </c>
      <c r="C8" s="34" t="s">
        <v>443</v>
      </c>
      <c r="D8" s="42">
        <v>15</v>
      </c>
      <c r="E8" s="35">
        <v>700000</v>
      </c>
      <c r="F8" s="35">
        <f t="shared" si="0"/>
        <v>10500000</v>
      </c>
      <c r="G8" s="36">
        <f t="shared" si="1"/>
        <v>63000000</v>
      </c>
      <c r="H8" s="56"/>
    </row>
    <row r="9" spans="1:8">
      <c r="A9" s="4">
        <v>5</v>
      </c>
      <c r="B9" s="34" t="s">
        <v>447</v>
      </c>
      <c r="C9" s="34" t="s">
        <v>443</v>
      </c>
      <c r="D9" s="42">
        <v>4</v>
      </c>
      <c r="E9" s="35">
        <v>600000</v>
      </c>
      <c r="F9" s="35">
        <f t="shared" si="0"/>
        <v>2400000</v>
      </c>
      <c r="G9" s="36">
        <f t="shared" si="1"/>
        <v>14400000</v>
      </c>
      <c r="H9" s="56"/>
    </row>
    <row r="10" spans="1:8">
      <c r="A10" s="4">
        <v>6</v>
      </c>
      <c r="B10" s="34" t="s">
        <v>448</v>
      </c>
      <c r="C10" s="34" t="s">
        <v>443</v>
      </c>
      <c r="D10" s="42">
        <v>10</v>
      </c>
      <c r="E10" s="35">
        <v>800000</v>
      </c>
      <c r="F10" s="35">
        <f t="shared" si="0"/>
        <v>8000000</v>
      </c>
      <c r="G10" s="36">
        <f t="shared" si="1"/>
        <v>48000000</v>
      </c>
      <c r="H10" s="56"/>
    </row>
    <row r="11" spans="1:8">
      <c r="A11" s="4">
        <v>7</v>
      </c>
      <c r="B11" s="34" t="s">
        <v>449</v>
      </c>
      <c r="C11" s="34" t="s">
        <v>443</v>
      </c>
      <c r="D11" s="42">
        <v>7</v>
      </c>
      <c r="E11" s="35">
        <v>1200000</v>
      </c>
      <c r="F11" s="35">
        <f t="shared" si="0"/>
        <v>8400000</v>
      </c>
      <c r="G11" s="36">
        <f t="shared" si="1"/>
        <v>50400000</v>
      </c>
      <c r="H11" s="56"/>
    </row>
    <row r="12" spans="1:8">
      <c r="A12" s="4">
        <v>8</v>
      </c>
      <c r="B12" s="34" t="s">
        <v>450</v>
      </c>
      <c r="C12" s="34" t="s">
        <v>443</v>
      </c>
      <c r="D12" s="42">
        <v>2</v>
      </c>
      <c r="E12" s="35">
        <v>1500000</v>
      </c>
      <c r="F12" s="35">
        <f t="shared" si="0"/>
        <v>3000000</v>
      </c>
      <c r="G12" s="36">
        <f t="shared" si="1"/>
        <v>18000000</v>
      </c>
      <c r="H12" s="56"/>
    </row>
    <row r="13" spans="1:8">
      <c r="A13" s="4">
        <v>9</v>
      </c>
      <c r="B13" s="34" t="s">
        <v>451</v>
      </c>
      <c r="C13" s="34"/>
      <c r="D13" s="42">
        <v>3</v>
      </c>
      <c r="E13" s="35">
        <v>25000</v>
      </c>
      <c r="F13" s="35">
        <f t="shared" si="0"/>
        <v>75000</v>
      </c>
      <c r="G13" s="36">
        <f t="shared" si="1"/>
        <v>450000</v>
      </c>
      <c r="H13" s="56"/>
    </row>
    <row r="14" spans="1:8">
      <c r="A14" s="4">
        <v>10</v>
      </c>
      <c r="B14" s="34" t="s">
        <v>452</v>
      </c>
      <c r="C14" s="34"/>
      <c r="D14" s="42">
        <v>7</v>
      </c>
      <c r="E14" s="35">
        <v>60000</v>
      </c>
      <c r="F14" s="35">
        <f t="shared" si="0"/>
        <v>420000</v>
      </c>
      <c r="G14" s="36">
        <f t="shared" si="1"/>
        <v>2520000</v>
      </c>
      <c r="H14" s="56"/>
    </row>
    <row r="15" spans="1:8">
      <c r="A15" s="4">
        <v>11</v>
      </c>
      <c r="B15" s="34" t="s">
        <v>453</v>
      </c>
      <c r="C15" s="34"/>
      <c r="D15" s="42">
        <v>7</v>
      </c>
      <c r="E15" s="35">
        <v>50000</v>
      </c>
      <c r="F15" s="35">
        <f t="shared" si="0"/>
        <v>350000</v>
      </c>
      <c r="G15" s="36">
        <f t="shared" si="1"/>
        <v>2100000</v>
      </c>
      <c r="H15" s="56"/>
    </row>
    <row r="16" spans="1:8">
      <c r="A16" s="4">
        <v>12</v>
      </c>
      <c r="B16" s="34" t="s">
        <v>454</v>
      </c>
      <c r="C16" s="34"/>
      <c r="D16" s="42">
        <v>3</v>
      </c>
      <c r="E16" s="35">
        <v>15000</v>
      </c>
      <c r="F16" s="35">
        <f t="shared" si="0"/>
        <v>45000</v>
      </c>
      <c r="G16" s="36">
        <f t="shared" si="1"/>
        <v>270000</v>
      </c>
      <c r="H16" s="56"/>
    </row>
    <row r="17" spans="1:8">
      <c r="A17" s="4">
        <v>13</v>
      </c>
      <c r="B17" s="34" t="s">
        <v>455</v>
      </c>
      <c r="C17" s="34"/>
      <c r="D17" s="42">
        <v>3</v>
      </c>
      <c r="E17" s="35">
        <v>40000</v>
      </c>
      <c r="F17" s="35">
        <f t="shared" si="0"/>
        <v>120000</v>
      </c>
      <c r="G17" s="36">
        <f t="shared" si="1"/>
        <v>720000</v>
      </c>
      <c r="H17" s="56"/>
    </row>
    <row r="18" spans="1:8">
      <c r="A18" s="4">
        <v>14</v>
      </c>
      <c r="B18" s="34" t="s">
        <v>456</v>
      </c>
      <c r="C18" s="34"/>
      <c r="D18" s="42">
        <v>2</v>
      </c>
      <c r="E18" s="35">
        <v>50000</v>
      </c>
      <c r="F18" s="35">
        <f t="shared" si="0"/>
        <v>100000</v>
      </c>
      <c r="G18" s="36">
        <f t="shared" si="1"/>
        <v>600000</v>
      </c>
      <c r="H18" s="56"/>
    </row>
    <row r="19" spans="1:8">
      <c r="A19" s="4">
        <v>15</v>
      </c>
      <c r="B19" s="34" t="s">
        <v>457</v>
      </c>
      <c r="C19" s="34"/>
      <c r="D19" s="42">
        <v>1</v>
      </c>
      <c r="E19" s="35">
        <v>170000</v>
      </c>
      <c r="F19" s="35">
        <f t="shared" si="0"/>
        <v>170000</v>
      </c>
      <c r="G19" s="36">
        <f t="shared" si="1"/>
        <v>1020000</v>
      </c>
      <c r="H19" s="56"/>
    </row>
    <row r="20" spans="1:8">
      <c r="A20" s="4">
        <v>16</v>
      </c>
      <c r="B20" s="18" t="s">
        <v>458</v>
      </c>
      <c r="C20" s="34"/>
      <c r="D20" s="42">
        <v>10</v>
      </c>
      <c r="E20" s="35">
        <v>10000</v>
      </c>
      <c r="F20" s="35">
        <f t="shared" si="0"/>
        <v>100000</v>
      </c>
      <c r="G20" s="36">
        <f t="shared" si="1"/>
        <v>600000</v>
      </c>
      <c r="H20" s="56"/>
    </row>
    <row r="21" spans="1:8">
      <c r="A21" s="4">
        <v>17</v>
      </c>
      <c r="B21" s="18" t="s">
        <v>459</v>
      </c>
      <c r="C21" s="34"/>
      <c r="D21" s="42">
        <v>1</v>
      </c>
      <c r="E21" s="35">
        <v>40000</v>
      </c>
      <c r="F21" s="35">
        <f t="shared" si="0"/>
        <v>40000</v>
      </c>
      <c r="G21" s="36">
        <f t="shared" si="1"/>
        <v>240000</v>
      </c>
      <c r="H21" s="56"/>
    </row>
    <row r="22" spans="1:8">
      <c r="A22" s="4">
        <v>18</v>
      </c>
      <c r="B22" s="18" t="s">
        <v>460</v>
      </c>
      <c r="C22" s="34"/>
      <c r="D22" s="42">
        <f>D4</f>
        <v>51</v>
      </c>
      <c r="E22" s="35">
        <v>65000</v>
      </c>
      <c r="F22" s="35">
        <f t="shared" si="0"/>
        <v>3315000</v>
      </c>
      <c r="G22" s="36">
        <f t="shared" si="1"/>
        <v>19890000</v>
      </c>
      <c r="H22" s="56"/>
    </row>
    <row r="23" spans="1:8">
      <c r="A23" s="4">
        <v>19</v>
      </c>
      <c r="B23" s="34" t="s">
        <v>125</v>
      </c>
      <c r="C23" s="34"/>
      <c r="D23" s="42">
        <v>1</v>
      </c>
      <c r="E23" s="35">
        <f>C50*C51/12</f>
        <v>1833333.3333333333</v>
      </c>
      <c r="F23" s="35">
        <f t="shared" si="0"/>
        <v>1833333.3333333333</v>
      </c>
      <c r="G23" s="36">
        <f t="shared" si="1"/>
        <v>11000000</v>
      </c>
    </row>
    <row r="24" spans="1:8">
      <c r="A24" s="4">
        <v>20</v>
      </c>
      <c r="B24" s="34" t="s">
        <v>461</v>
      </c>
      <c r="C24" s="34"/>
      <c r="D24" s="42">
        <v>1</v>
      </c>
      <c r="E24" s="35">
        <v>5000000</v>
      </c>
      <c r="F24" s="35">
        <f t="shared" si="0"/>
        <v>5000000</v>
      </c>
      <c r="G24" s="36">
        <f t="shared" si="1"/>
        <v>30000000</v>
      </c>
    </row>
    <row r="25" spans="1:8">
      <c r="A25" s="4">
        <v>21</v>
      </c>
      <c r="B25" s="34" t="s">
        <v>127</v>
      </c>
      <c r="C25" s="34" t="s">
        <v>439</v>
      </c>
      <c r="D25" s="42">
        <v>1</v>
      </c>
      <c r="E25" s="35">
        <v>5000000</v>
      </c>
      <c r="F25" s="35">
        <f t="shared" si="0"/>
        <v>5000000</v>
      </c>
      <c r="G25" s="36">
        <f t="shared" si="1"/>
        <v>30000000</v>
      </c>
    </row>
    <row r="26" spans="1:8">
      <c r="A26" s="4">
        <v>22</v>
      </c>
      <c r="B26" s="34" t="s">
        <v>462</v>
      </c>
      <c r="C26" s="34"/>
      <c r="D26" s="42">
        <v>1</v>
      </c>
      <c r="E26" s="35">
        <v>1000000</v>
      </c>
      <c r="F26" s="35">
        <f t="shared" si="0"/>
        <v>1000000</v>
      </c>
      <c r="G26" s="36">
        <f t="shared" si="1"/>
        <v>6000000</v>
      </c>
    </row>
    <row r="27" spans="1:8">
      <c r="A27" s="4">
        <v>23</v>
      </c>
      <c r="B27" s="34" t="s">
        <v>463</v>
      </c>
      <c r="C27" s="34"/>
      <c r="D27" s="42">
        <v>1</v>
      </c>
      <c r="E27" s="35">
        <v>2500000</v>
      </c>
      <c r="F27" s="35">
        <f t="shared" si="0"/>
        <v>2500000</v>
      </c>
      <c r="G27" s="36">
        <f t="shared" si="1"/>
        <v>15000000</v>
      </c>
    </row>
    <row r="28" spans="1:8">
      <c r="A28" s="4">
        <v>24</v>
      </c>
      <c r="B28" s="34" t="s">
        <v>464</v>
      </c>
      <c r="C28" s="34"/>
      <c r="D28" s="42">
        <v>1</v>
      </c>
      <c r="E28" s="35">
        <v>1500000</v>
      </c>
      <c r="F28" s="35">
        <f t="shared" si="0"/>
        <v>1500000</v>
      </c>
      <c r="G28" s="36">
        <f t="shared" si="1"/>
        <v>9000000</v>
      </c>
    </row>
    <row r="29" spans="1:8">
      <c r="A29" s="4">
        <v>25</v>
      </c>
      <c r="B29" s="34" t="s">
        <v>21</v>
      </c>
      <c r="C29" s="34"/>
      <c r="D29" s="42">
        <v>1</v>
      </c>
      <c r="E29" s="35">
        <v>2000000</v>
      </c>
      <c r="F29" s="35">
        <f t="shared" si="0"/>
        <v>2000000</v>
      </c>
      <c r="G29" s="36">
        <f t="shared" si="1"/>
        <v>12000000</v>
      </c>
    </row>
    <row r="30" spans="1:8">
      <c r="A30" s="5" t="s">
        <v>116</v>
      </c>
      <c r="B30" s="31" t="s">
        <v>242</v>
      </c>
      <c r="C30" s="31"/>
      <c r="D30" s="38">
        <f>SUM(D31:D38)</f>
        <v>51</v>
      </c>
      <c r="E30" s="33">
        <f>SUM(E31:E47)</f>
        <v>11064000</v>
      </c>
      <c r="F30" s="33">
        <f>SUM(F31:F47)</f>
        <v>66607000</v>
      </c>
      <c r="G30" s="33">
        <f>SUM(G31:G47)</f>
        <v>399642000</v>
      </c>
    </row>
    <row r="31" spans="1:8">
      <c r="A31" s="4">
        <v>1</v>
      </c>
      <c r="B31" s="34" t="s">
        <v>442</v>
      </c>
      <c r="C31" s="34" t="s">
        <v>443</v>
      </c>
      <c r="D31" s="42">
        <f>D5</f>
        <v>3</v>
      </c>
      <c r="E31" s="35">
        <v>499000</v>
      </c>
      <c r="F31" s="35">
        <f>E31*D31</f>
        <v>1497000</v>
      </c>
      <c r="G31" s="36">
        <f t="shared" si="1"/>
        <v>8982000</v>
      </c>
      <c r="H31" s="56"/>
    </row>
    <row r="32" spans="1:8">
      <c r="A32" s="4">
        <v>2</v>
      </c>
      <c r="B32" s="34" t="s">
        <v>444</v>
      </c>
      <c r="C32" s="34" t="s">
        <v>443</v>
      </c>
      <c r="D32" s="42">
        <f t="shared" ref="D32:D47" si="2">D6</f>
        <v>4</v>
      </c>
      <c r="E32" s="35">
        <v>700000</v>
      </c>
      <c r="F32" s="35">
        <f t="shared" ref="F32:F47" si="3">E32*D32</f>
        <v>2800000</v>
      </c>
      <c r="G32" s="36">
        <f t="shared" si="1"/>
        <v>16800000</v>
      </c>
      <c r="H32" s="56"/>
    </row>
    <row r="33" spans="1:8">
      <c r="A33" s="4">
        <v>3</v>
      </c>
      <c r="B33" s="34" t="s">
        <v>445</v>
      </c>
      <c r="C33" s="34" t="s">
        <v>443</v>
      </c>
      <c r="D33" s="42">
        <f t="shared" si="2"/>
        <v>6</v>
      </c>
      <c r="E33" s="35">
        <v>995000</v>
      </c>
      <c r="F33" s="35">
        <f t="shared" si="3"/>
        <v>5970000</v>
      </c>
      <c r="G33" s="36">
        <f t="shared" si="1"/>
        <v>35820000</v>
      </c>
      <c r="H33" s="56"/>
    </row>
    <row r="34" spans="1:8">
      <c r="A34" s="4">
        <v>4</v>
      </c>
      <c r="B34" s="34" t="s">
        <v>446</v>
      </c>
      <c r="C34" s="34" t="s">
        <v>443</v>
      </c>
      <c r="D34" s="42">
        <f t="shared" si="2"/>
        <v>15</v>
      </c>
      <c r="E34" s="35">
        <v>1100000</v>
      </c>
      <c r="F34" s="35">
        <f t="shared" si="3"/>
        <v>16500000</v>
      </c>
      <c r="G34" s="36">
        <f t="shared" si="1"/>
        <v>99000000</v>
      </c>
      <c r="H34" s="56"/>
    </row>
    <row r="35" spans="1:8">
      <c r="A35" s="4">
        <v>5</v>
      </c>
      <c r="B35" s="34" t="s">
        <v>447</v>
      </c>
      <c r="C35" s="34" t="s">
        <v>443</v>
      </c>
      <c r="D35" s="42">
        <f t="shared" si="2"/>
        <v>4</v>
      </c>
      <c r="E35" s="35">
        <v>700000</v>
      </c>
      <c r="F35" s="35">
        <f t="shared" si="3"/>
        <v>2800000</v>
      </c>
      <c r="G35" s="36">
        <f t="shared" si="1"/>
        <v>16800000</v>
      </c>
      <c r="H35" s="56"/>
    </row>
    <row r="36" spans="1:8">
      <c r="A36" s="4">
        <v>6</v>
      </c>
      <c r="B36" s="34" t="s">
        <v>448</v>
      </c>
      <c r="C36" s="34" t="s">
        <v>443</v>
      </c>
      <c r="D36" s="42">
        <f t="shared" si="2"/>
        <v>10</v>
      </c>
      <c r="E36" s="35">
        <v>1500000</v>
      </c>
      <c r="F36" s="35">
        <f t="shared" si="3"/>
        <v>15000000</v>
      </c>
      <c r="G36" s="36">
        <f t="shared" si="1"/>
        <v>90000000</v>
      </c>
      <c r="H36" s="56"/>
    </row>
    <row r="37" spans="1:8">
      <c r="A37" s="4">
        <v>7</v>
      </c>
      <c r="B37" s="34" t="s">
        <v>449</v>
      </c>
      <c r="C37" s="34" t="s">
        <v>443</v>
      </c>
      <c r="D37" s="42">
        <f t="shared" si="2"/>
        <v>7</v>
      </c>
      <c r="E37" s="35">
        <v>2000000</v>
      </c>
      <c r="F37" s="35">
        <f t="shared" si="3"/>
        <v>14000000</v>
      </c>
      <c r="G37" s="36">
        <f t="shared" si="1"/>
        <v>84000000</v>
      </c>
      <c r="H37" s="56"/>
    </row>
    <row r="38" spans="1:8">
      <c r="A38" s="4">
        <v>8</v>
      </c>
      <c r="B38" s="34" t="s">
        <v>450</v>
      </c>
      <c r="C38" s="34" t="s">
        <v>443</v>
      </c>
      <c r="D38" s="42">
        <f t="shared" si="2"/>
        <v>2</v>
      </c>
      <c r="E38" s="35">
        <v>2700000</v>
      </c>
      <c r="F38" s="35">
        <f t="shared" si="3"/>
        <v>5400000</v>
      </c>
      <c r="G38" s="36">
        <f t="shared" si="1"/>
        <v>32400000</v>
      </c>
      <c r="H38" s="56"/>
    </row>
    <row r="39" spans="1:8">
      <c r="A39" s="4">
        <v>9</v>
      </c>
      <c r="B39" s="34" t="s">
        <v>451</v>
      </c>
      <c r="C39" s="34"/>
      <c r="D39" s="42">
        <f t="shared" si="2"/>
        <v>3</v>
      </c>
      <c r="E39" s="35">
        <v>50000</v>
      </c>
      <c r="F39" s="35">
        <f t="shared" si="3"/>
        <v>150000</v>
      </c>
      <c r="G39" s="36">
        <f t="shared" si="1"/>
        <v>900000</v>
      </c>
      <c r="H39" s="56"/>
    </row>
    <row r="40" spans="1:8">
      <c r="A40" s="4">
        <v>10</v>
      </c>
      <c r="B40" s="34" t="s">
        <v>452</v>
      </c>
      <c r="C40" s="34"/>
      <c r="D40" s="42">
        <f t="shared" si="2"/>
        <v>7</v>
      </c>
      <c r="E40" s="35">
        <v>110000</v>
      </c>
      <c r="F40" s="35">
        <f t="shared" si="3"/>
        <v>770000</v>
      </c>
      <c r="G40" s="36">
        <f t="shared" si="1"/>
        <v>4620000</v>
      </c>
      <c r="H40" s="56"/>
    </row>
    <row r="41" spans="1:8">
      <c r="A41" s="4">
        <v>11</v>
      </c>
      <c r="B41" s="34" t="s">
        <v>453</v>
      </c>
      <c r="C41" s="34"/>
      <c r="D41" s="42">
        <f t="shared" si="2"/>
        <v>7</v>
      </c>
      <c r="E41" s="35">
        <v>80000</v>
      </c>
      <c r="F41" s="35">
        <f t="shared" si="3"/>
        <v>560000</v>
      </c>
      <c r="G41" s="36">
        <f t="shared" si="1"/>
        <v>3360000</v>
      </c>
      <c r="H41" s="56"/>
    </row>
    <row r="42" spans="1:8">
      <c r="A42" s="4">
        <v>12</v>
      </c>
      <c r="B42" s="34" t="s">
        <v>465</v>
      </c>
      <c r="C42" s="34"/>
      <c r="D42" s="42">
        <f t="shared" si="2"/>
        <v>3</v>
      </c>
      <c r="E42" s="35">
        <v>35000</v>
      </c>
      <c r="F42" s="35">
        <f t="shared" si="3"/>
        <v>105000</v>
      </c>
      <c r="G42" s="36">
        <f t="shared" si="1"/>
        <v>630000</v>
      </c>
      <c r="H42" s="56"/>
    </row>
    <row r="43" spans="1:8">
      <c r="A43" s="4">
        <v>13</v>
      </c>
      <c r="B43" s="34" t="s">
        <v>466</v>
      </c>
      <c r="C43" s="34"/>
      <c r="D43" s="42">
        <f t="shared" si="2"/>
        <v>3</v>
      </c>
      <c r="E43" s="35">
        <v>80000</v>
      </c>
      <c r="F43" s="35">
        <f t="shared" si="3"/>
        <v>240000</v>
      </c>
      <c r="G43" s="36">
        <f t="shared" si="1"/>
        <v>1440000</v>
      </c>
      <c r="H43" s="56"/>
    </row>
    <row r="44" spans="1:8">
      <c r="A44" s="4">
        <v>14</v>
      </c>
      <c r="B44" s="34" t="s">
        <v>456</v>
      </c>
      <c r="C44" s="34"/>
      <c r="D44" s="42">
        <f t="shared" si="2"/>
        <v>2</v>
      </c>
      <c r="E44" s="35">
        <v>120000</v>
      </c>
      <c r="F44" s="35">
        <f t="shared" si="3"/>
        <v>240000</v>
      </c>
      <c r="G44" s="36">
        <f t="shared" si="1"/>
        <v>1440000</v>
      </c>
      <c r="H44" s="56"/>
    </row>
    <row r="45" spans="1:8">
      <c r="A45" s="4">
        <v>15</v>
      </c>
      <c r="B45" s="34" t="s">
        <v>457</v>
      </c>
      <c r="C45" s="34"/>
      <c r="D45" s="42">
        <f t="shared" si="2"/>
        <v>1</v>
      </c>
      <c r="E45" s="35">
        <v>300000</v>
      </c>
      <c r="F45" s="35">
        <f t="shared" si="3"/>
        <v>300000</v>
      </c>
      <c r="G45" s="36">
        <f t="shared" si="1"/>
        <v>1800000</v>
      </c>
      <c r="H45" s="56"/>
    </row>
    <row r="46" spans="1:8">
      <c r="A46" s="4">
        <v>16</v>
      </c>
      <c r="B46" s="18" t="s">
        <v>458</v>
      </c>
      <c r="C46" s="34"/>
      <c r="D46" s="42">
        <f t="shared" si="2"/>
        <v>10</v>
      </c>
      <c r="E46" s="35">
        <v>20000</v>
      </c>
      <c r="F46" s="35">
        <f t="shared" si="3"/>
        <v>200000</v>
      </c>
      <c r="G46" s="36">
        <f t="shared" si="1"/>
        <v>1200000</v>
      </c>
      <c r="H46" s="56"/>
    </row>
    <row r="47" spans="1:8">
      <c r="A47" s="4">
        <v>17</v>
      </c>
      <c r="B47" s="18" t="s">
        <v>459</v>
      </c>
      <c r="C47" s="34"/>
      <c r="D47" s="42">
        <f t="shared" si="2"/>
        <v>1</v>
      </c>
      <c r="E47" s="35">
        <v>75000</v>
      </c>
      <c r="F47" s="35">
        <f t="shared" si="3"/>
        <v>75000</v>
      </c>
      <c r="G47" s="36">
        <f t="shared" si="1"/>
        <v>450000</v>
      </c>
      <c r="H47" s="56"/>
    </row>
    <row r="48" spans="1:8">
      <c r="A48" s="5" t="s">
        <v>135</v>
      </c>
      <c r="B48" s="31" t="s">
        <v>24</v>
      </c>
      <c r="C48" s="31"/>
      <c r="D48" s="31"/>
      <c r="E48" s="33"/>
      <c r="F48" s="33">
        <f>F30-F4</f>
        <v>4248666.6666666642</v>
      </c>
      <c r="G48" s="33">
        <f>G30-G4</f>
        <v>25492000</v>
      </c>
    </row>
    <row r="49" spans="2:4" ht="14.25" customHeight="1"/>
    <row r="50" spans="2:4">
      <c r="B50" s="237" t="s">
        <v>12</v>
      </c>
      <c r="C50" s="2604">
        <v>200000000</v>
      </c>
      <c r="D50" s="2604"/>
    </row>
    <row r="51" spans="2:4">
      <c r="B51" s="238" t="s">
        <v>13</v>
      </c>
      <c r="C51" s="2605">
        <v>0.11</v>
      </c>
      <c r="D51" s="2605"/>
    </row>
    <row r="52" spans="2:4">
      <c r="B52" s="238" t="s">
        <v>223</v>
      </c>
      <c r="C52" s="2606">
        <f>F4-F23-F24</f>
        <v>55525000</v>
      </c>
      <c r="D52" s="2606"/>
    </row>
    <row r="53" spans="2:4">
      <c r="B53" s="237" t="s">
        <v>26</v>
      </c>
      <c r="C53" s="2604">
        <v>20000000</v>
      </c>
      <c r="D53" s="2604"/>
    </row>
    <row r="54" spans="2:4">
      <c r="B54" s="238" t="s">
        <v>28</v>
      </c>
      <c r="C54" s="2607">
        <f>C53/C52</f>
        <v>0.36019810895992799</v>
      </c>
      <c r="D54" s="2607"/>
    </row>
  </sheetData>
  <mergeCells count="5">
    <mergeCell ref="C50:D50"/>
    <mergeCell ref="C51:D51"/>
    <mergeCell ref="C52:D52"/>
    <mergeCell ref="C53:D53"/>
    <mergeCell ref="C54:D54"/>
  </mergeCells>
  <pageMargins left="0.75" right="0.75" top="1" bottom="1" header="0.5" footer="0.5"/>
  <pageSetup paperSize="9" orientation="portrait" r:id="rId1"/>
  <headerFooter alignWithMargins="0"/>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B1:G30"/>
  <sheetViews>
    <sheetView zoomScaleNormal="100" workbookViewId="0">
      <selection activeCell="J13" sqref="J13"/>
    </sheetView>
  </sheetViews>
  <sheetFormatPr defaultColWidth="9" defaultRowHeight="16.5"/>
  <cols>
    <col min="1" max="1" width="4.5703125" style="1334" customWidth="1"/>
    <col min="2" max="2" width="9" style="1361"/>
    <col min="3" max="3" width="21.5703125" style="1334" customWidth="1"/>
    <col min="4" max="4" width="12.7109375" style="1360" customWidth="1"/>
    <col min="5" max="6" width="11.42578125" style="1334" customWidth="1"/>
    <col min="7" max="7" width="14.5703125" style="1334" bestFit="1" customWidth="1"/>
    <col min="8" max="16384" width="9" style="1334"/>
  </cols>
  <sheetData>
    <row r="1" spans="2:7">
      <c r="C1" s="1334" t="s">
        <v>2315</v>
      </c>
      <c r="G1" s="1386" t="s">
        <v>1020</v>
      </c>
    </row>
    <row r="5" spans="2:7">
      <c r="B5" s="2608" t="s">
        <v>2314</v>
      </c>
      <c r="C5" s="2608"/>
      <c r="D5" s="2608"/>
      <c r="E5" s="2608"/>
      <c r="F5" s="2608"/>
      <c r="G5" s="2608"/>
    </row>
    <row r="6" spans="2:7">
      <c r="B6" s="2608" t="s">
        <v>1999</v>
      </c>
      <c r="C6" s="2608"/>
      <c r="D6" s="2608"/>
      <c r="E6" s="2608"/>
      <c r="F6" s="2326"/>
      <c r="G6" s="1362">
        <f>SUM(G8:G18)</f>
        <v>11708000</v>
      </c>
    </row>
    <row r="7" spans="2:7" s="1365" customFormat="1">
      <c r="B7" s="2326" t="s">
        <v>97</v>
      </c>
      <c r="C7" s="2326" t="s">
        <v>1488</v>
      </c>
      <c r="D7" s="1366" t="s">
        <v>39</v>
      </c>
      <c r="E7" s="2326" t="s">
        <v>1</v>
      </c>
      <c r="F7" s="2326" t="s">
        <v>100</v>
      </c>
      <c r="G7" s="2326" t="s">
        <v>4</v>
      </c>
    </row>
    <row r="8" spans="2:7">
      <c r="B8" s="177">
        <v>1</v>
      </c>
      <c r="C8" s="1119" t="s">
        <v>2313</v>
      </c>
      <c r="D8" s="1364">
        <v>15000</v>
      </c>
      <c r="E8" s="177">
        <v>142</v>
      </c>
      <c r="F8" s="1119" t="s">
        <v>2306</v>
      </c>
      <c r="G8" s="1363">
        <f t="shared" ref="G8:G18" si="0">D8*E8</f>
        <v>2130000</v>
      </c>
    </row>
    <row r="9" spans="2:7">
      <c r="B9" s="177">
        <v>2</v>
      </c>
      <c r="C9" s="1119" t="s">
        <v>2312</v>
      </c>
      <c r="D9" s="1364">
        <v>17000</v>
      </c>
      <c r="E9" s="177">
        <v>264</v>
      </c>
      <c r="F9" s="1119" t="s">
        <v>2306</v>
      </c>
      <c r="G9" s="1363">
        <f t="shared" si="0"/>
        <v>4488000</v>
      </c>
    </row>
    <row r="10" spans="2:7">
      <c r="B10" s="177">
        <v>3</v>
      </c>
      <c r="C10" s="1119" t="s">
        <v>2311</v>
      </c>
      <c r="D10" s="1364">
        <v>25000</v>
      </c>
      <c r="E10" s="177">
        <v>18</v>
      </c>
      <c r="F10" s="1119" t="s">
        <v>2306</v>
      </c>
      <c r="G10" s="1363">
        <f t="shared" si="0"/>
        <v>450000</v>
      </c>
    </row>
    <row r="11" spans="2:7">
      <c r="B11" s="177">
        <v>4</v>
      </c>
      <c r="C11" s="1119" t="s">
        <v>2310</v>
      </c>
      <c r="D11" s="1364">
        <v>20000</v>
      </c>
      <c r="E11" s="177">
        <v>39</v>
      </c>
      <c r="F11" s="1119" t="s">
        <v>2306</v>
      </c>
      <c r="G11" s="1363">
        <f t="shared" si="0"/>
        <v>780000</v>
      </c>
    </row>
    <row r="12" spans="2:7">
      <c r="B12" s="177">
        <v>5</v>
      </c>
      <c r="C12" s="1119" t="s">
        <v>2309</v>
      </c>
      <c r="D12" s="1364">
        <v>20000</v>
      </c>
      <c r="E12" s="177">
        <v>37</v>
      </c>
      <c r="F12" s="1119" t="s">
        <v>2306</v>
      </c>
      <c r="G12" s="1363">
        <f t="shared" si="0"/>
        <v>740000</v>
      </c>
    </row>
    <row r="13" spans="2:7">
      <c r="B13" s="177">
        <v>6</v>
      </c>
      <c r="C13" s="1119" t="s">
        <v>2308</v>
      </c>
      <c r="D13" s="1364">
        <v>17000</v>
      </c>
      <c r="E13" s="177">
        <v>26</v>
      </c>
      <c r="F13" s="1119" t="s">
        <v>2306</v>
      </c>
      <c r="G13" s="1363">
        <f t="shared" si="0"/>
        <v>442000</v>
      </c>
    </row>
    <row r="14" spans="2:7">
      <c r="B14" s="177">
        <v>7</v>
      </c>
      <c r="C14" s="1119" t="s">
        <v>2307</v>
      </c>
      <c r="D14" s="1364">
        <v>17000</v>
      </c>
      <c r="E14" s="177">
        <v>22</v>
      </c>
      <c r="F14" s="1119" t="s">
        <v>2306</v>
      </c>
      <c r="G14" s="1363">
        <f t="shared" si="0"/>
        <v>374000</v>
      </c>
    </row>
    <row r="15" spans="2:7">
      <c r="B15" s="177">
        <v>8</v>
      </c>
      <c r="C15" s="1119" t="s">
        <v>2297</v>
      </c>
      <c r="D15" s="1364">
        <v>12000</v>
      </c>
      <c r="E15" s="177">
        <v>41</v>
      </c>
      <c r="F15" s="1119" t="s">
        <v>2305</v>
      </c>
      <c r="G15" s="1363">
        <f t="shared" si="0"/>
        <v>492000</v>
      </c>
    </row>
    <row r="16" spans="2:7">
      <c r="B16" s="177">
        <v>9</v>
      </c>
      <c r="C16" s="1119" t="s">
        <v>2296</v>
      </c>
      <c r="D16" s="1364">
        <v>12000</v>
      </c>
      <c r="E16" s="177">
        <v>35</v>
      </c>
      <c r="F16" s="1119" t="s">
        <v>2305</v>
      </c>
      <c r="G16" s="1363">
        <f t="shared" si="0"/>
        <v>420000</v>
      </c>
    </row>
    <row r="17" spans="2:7">
      <c r="B17" s="177">
        <v>10</v>
      </c>
      <c r="C17" s="1119" t="s">
        <v>2295</v>
      </c>
      <c r="D17" s="1364">
        <v>18000</v>
      </c>
      <c r="E17" s="177">
        <v>59</v>
      </c>
      <c r="F17" s="1119" t="s">
        <v>2305</v>
      </c>
      <c r="G17" s="1363">
        <f t="shared" si="0"/>
        <v>1062000</v>
      </c>
    </row>
    <row r="18" spans="2:7">
      <c r="B18" s="177">
        <v>11</v>
      </c>
      <c r="C18" s="1119" t="s">
        <v>2294</v>
      </c>
      <c r="D18" s="1364">
        <v>15000</v>
      </c>
      <c r="E18" s="177">
        <v>22</v>
      </c>
      <c r="F18" s="1119" t="s">
        <v>836</v>
      </c>
      <c r="G18" s="1363">
        <f t="shared" si="0"/>
        <v>330000</v>
      </c>
    </row>
    <row r="19" spans="2:7">
      <c r="B19" s="2609" t="s">
        <v>323</v>
      </c>
      <c r="C19" s="2610"/>
      <c r="D19" s="2610"/>
      <c r="E19" s="2610"/>
      <c r="F19" s="2611"/>
      <c r="G19" s="1362">
        <f>SUM(G21:G28)</f>
        <v>3433000</v>
      </c>
    </row>
    <row r="20" spans="2:7" s="1365" customFormat="1">
      <c r="B20" s="2326" t="s">
        <v>97</v>
      </c>
      <c r="C20" s="2326" t="s">
        <v>1488</v>
      </c>
      <c r="D20" s="1366" t="s">
        <v>2304</v>
      </c>
      <c r="E20" s="2326" t="s">
        <v>1</v>
      </c>
      <c r="F20" s="2326"/>
      <c r="G20" s="2326" t="s">
        <v>4</v>
      </c>
    </row>
    <row r="21" spans="2:7">
      <c r="B21" s="177">
        <v>1</v>
      </c>
      <c r="C21" s="1119" t="s">
        <v>980</v>
      </c>
      <c r="D21" s="1364">
        <v>18000</v>
      </c>
      <c r="E21" s="177">
        <v>3</v>
      </c>
      <c r="F21" s="1119" t="s">
        <v>2303</v>
      </c>
      <c r="G21" s="1363">
        <f t="shared" ref="G21:G29" si="1">D21*E21</f>
        <v>54000</v>
      </c>
    </row>
    <row r="22" spans="2:7">
      <c r="B22" s="177">
        <v>2</v>
      </c>
      <c r="C22" s="1119" t="s">
        <v>2302</v>
      </c>
      <c r="D22" s="1364">
        <v>65000</v>
      </c>
      <c r="E22" s="177">
        <v>10</v>
      </c>
      <c r="F22" s="1119" t="s">
        <v>2300</v>
      </c>
      <c r="G22" s="1363">
        <f t="shared" si="1"/>
        <v>650000</v>
      </c>
    </row>
    <row r="23" spans="2:7">
      <c r="B23" s="177">
        <v>3</v>
      </c>
      <c r="C23" s="1119" t="s">
        <v>2301</v>
      </c>
      <c r="D23" s="1364">
        <v>34000</v>
      </c>
      <c r="E23" s="177">
        <v>8</v>
      </c>
      <c r="F23" s="1119" t="s">
        <v>2300</v>
      </c>
      <c r="G23" s="1363">
        <f t="shared" si="1"/>
        <v>272000</v>
      </c>
    </row>
    <row r="24" spans="2:7">
      <c r="B24" s="177">
        <v>3</v>
      </c>
      <c r="C24" s="1119" t="s">
        <v>2299</v>
      </c>
      <c r="D24" s="1364">
        <v>80000</v>
      </c>
      <c r="E24" s="177">
        <v>8</v>
      </c>
      <c r="F24" s="1119" t="s">
        <v>829</v>
      </c>
      <c r="G24" s="1363">
        <f t="shared" si="1"/>
        <v>640000</v>
      </c>
    </row>
    <row r="25" spans="2:7" ht="49.5">
      <c r="B25" s="177">
        <v>4</v>
      </c>
      <c r="C25" s="331" t="s">
        <v>2298</v>
      </c>
      <c r="D25" s="1364">
        <v>17000</v>
      </c>
      <c r="E25" s="177">
        <v>27</v>
      </c>
      <c r="F25" s="1119" t="s">
        <v>829</v>
      </c>
      <c r="G25" s="1363">
        <f t="shared" si="1"/>
        <v>459000</v>
      </c>
    </row>
    <row r="26" spans="2:7">
      <c r="B26" s="177">
        <v>5</v>
      </c>
      <c r="C26" s="1119" t="s">
        <v>2297</v>
      </c>
      <c r="D26" s="1364">
        <v>178000</v>
      </c>
      <c r="E26" s="177">
        <v>2</v>
      </c>
      <c r="F26" s="1119" t="s">
        <v>418</v>
      </c>
      <c r="G26" s="1363">
        <f t="shared" si="1"/>
        <v>356000</v>
      </c>
    </row>
    <row r="27" spans="2:7">
      <c r="B27" s="177">
        <v>6</v>
      </c>
      <c r="C27" s="1119" t="s">
        <v>2296</v>
      </c>
      <c r="D27" s="1364">
        <v>174000</v>
      </c>
      <c r="E27" s="177">
        <v>2</v>
      </c>
      <c r="F27" s="1119" t="s">
        <v>418</v>
      </c>
      <c r="G27" s="1363">
        <f t="shared" si="1"/>
        <v>348000</v>
      </c>
    </row>
    <row r="28" spans="2:7">
      <c r="B28" s="177">
        <v>7</v>
      </c>
      <c r="C28" s="1119" t="s">
        <v>2295</v>
      </c>
      <c r="D28" s="1364">
        <v>218000</v>
      </c>
      <c r="E28" s="177">
        <v>3</v>
      </c>
      <c r="F28" s="1119" t="s">
        <v>418</v>
      </c>
      <c r="G28" s="1363">
        <f t="shared" si="1"/>
        <v>654000</v>
      </c>
    </row>
    <row r="29" spans="2:7">
      <c r="B29" s="177">
        <v>8</v>
      </c>
      <c r="C29" s="1119" t="s">
        <v>2294</v>
      </c>
      <c r="D29" s="1364">
        <v>196000</v>
      </c>
      <c r="E29" s="177">
        <v>1</v>
      </c>
      <c r="F29" s="1119" t="s">
        <v>418</v>
      </c>
      <c r="G29" s="1363">
        <f t="shared" si="1"/>
        <v>196000</v>
      </c>
    </row>
    <row r="30" spans="2:7">
      <c r="B30" s="2608" t="s">
        <v>2293</v>
      </c>
      <c r="C30" s="2608"/>
      <c r="D30" s="2608"/>
      <c r="E30" s="2608"/>
      <c r="F30" s="2326"/>
      <c r="G30" s="1362">
        <f>G6-G19</f>
        <v>8275000</v>
      </c>
    </row>
  </sheetData>
  <mergeCells count="4">
    <mergeCell ref="B5:G5"/>
    <mergeCell ref="B6:E6"/>
    <mergeCell ref="B19:F19"/>
    <mergeCell ref="B30:E30"/>
  </mergeCell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0"/>
  <dimension ref="A1:G53"/>
  <sheetViews>
    <sheetView workbookViewId="0">
      <selection activeCell="J13" sqref="J13"/>
    </sheetView>
  </sheetViews>
  <sheetFormatPr defaultRowHeight="16.5"/>
  <cols>
    <col min="1" max="1" width="3.85546875" style="1888" bestFit="1" customWidth="1"/>
    <col min="2" max="2" width="34.7109375" style="1888" bestFit="1" customWidth="1"/>
    <col min="3" max="3" width="8.140625" style="1888" bestFit="1" customWidth="1"/>
    <col min="4" max="4" width="8.7109375" style="1888" customWidth="1"/>
    <col min="5" max="5" width="13" style="1888" bestFit="1" customWidth="1"/>
    <col min="6" max="6" width="18" style="1888" bestFit="1" customWidth="1"/>
    <col min="7" max="7" width="22.85546875" style="1888" bestFit="1" customWidth="1"/>
    <col min="8" max="256" width="9.140625" style="1888"/>
    <col min="257" max="257" width="3.85546875" style="1888" bestFit="1" customWidth="1"/>
    <col min="258" max="258" width="34.7109375" style="1888" bestFit="1" customWidth="1"/>
    <col min="259" max="259" width="8.140625" style="1888" bestFit="1" customWidth="1"/>
    <col min="260" max="260" width="8.7109375" style="1888" customWidth="1"/>
    <col min="261" max="261" width="13" style="1888" bestFit="1" customWidth="1"/>
    <col min="262" max="262" width="18" style="1888" bestFit="1" customWidth="1"/>
    <col min="263" max="263" width="22.85546875" style="1888" bestFit="1" customWidth="1"/>
    <col min="264" max="512" width="9.140625" style="1888"/>
    <col min="513" max="513" width="3.85546875" style="1888" bestFit="1" customWidth="1"/>
    <col min="514" max="514" width="34.7109375" style="1888" bestFit="1" customWidth="1"/>
    <col min="515" max="515" width="8.140625" style="1888" bestFit="1" customWidth="1"/>
    <col min="516" max="516" width="8.7109375" style="1888" customWidth="1"/>
    <col min="517" max="517" width="13" style="1888" bestFit="1" customWidth="1"/>
    <col min="518" max="518" width="18" style="1888" bestFit="1" customWidth="1"/>
    <col min="519" max="519" width="22.85546875" style="1888" bestFit="1" customWidth="1"/>
    <col min="520" max="768" width="9.140625" style="1888"/>
    <col min="769" max="769" width="3.85546875" style="1888" bestFit="1" customWidth="1"/>
    <col min="770" max="770" width="34.7109375" style="1888" bestFit="1" customWidth="1"/>
    <col min="771" max="771" width="8.140625" style="1888" bestFit="1" customWidth="1"/>
    <col min="772" max="772" width="8.7109375" style="1888" customWidth="1"/>
    <col min="773" max="773" width="13" style="1888" bestFit="1" customWidth="1"/>
    <col min="774" max="774" width="18" style="1888" bestFit="1" customWidth="1"/>
    <col min="775" max="775" width="22.85546875" style="1888" bestFit="1" customWidth="1"/>
    <col min="776" max="1024" width="9.140625" style="1888"/>
    <col min="1025" max="1025" width="3.85546875" style="1888" bestFit="1" customWidth="1"/>
    <col min="1026" max="1026" width="34.7109375" style="1888" bestFit="1" customWidth="1"/>
    <col min="1027" max="1027" width="8.140625" style="1888" bestFit="1" customWidth="1"/>
    <col min="1028" max="1028" width="8.7109375" style="1888" customWidth="1"/>
    <col min="1029" max="1029" width="13" style="1888" bestFit="1" customWidth="1"/>
    <col min="1030" max="1030" width="18" style="1888" bestFit="1" customWidth="1"/>
    <col min="1031" max="1031" width="22.85546875" style="1888" bestFit="1" customWidth="1"/>
    <col min="1032" max="1280" width="9.140625" style="1888"/>
    <col min="1281" max="1281" width="3.85546875" style="1888" bestFit="1" customWidth="1"/>
    <col min="1282" max="1282" width="34.7109375" style="1888" bestFit="1" customWidth="1"/>
    <col min="1283" max="1283" width="8.140625" style="1888" bestFit="1" customWidth="1"/>
    <col min="1284" max="1284" width="8.7109375" style="1888" customWidth="1"/>
    <col min="1285" max="1285" width="13" style="1888" bestFit="1" customWidth="1"/>
    <col min="1286" max="1286" width="18" style="1888" bestFit="1" customWidth="1"/>
    <col min="1287" max="1287" width="22.85546875" style="1888" bestFit="1" customWidth="1"/>
    <col min="1288" max="1536" width="9.140625" style="1888"/>
    <col min="1537" max="1537" width="3.85546875" style="1888" bestFit="1" customWidth="1"/>
    <col min="1538" max="1538" width="34.7109375" style="1888" bestFit="1" customWidth="1"/>
    <col min="1539" max="1539" width="8.140625" style="1888" bestFit="1" customWidth="1"/>
    <col min="1540" max="1540" width="8.7109375" style="1888" customWidth="1"/>
    <col min="1541" max="1541" width="13" style="1888" bestFit="1" customWidth="1"/>
    <col min="1542" max="1542" width="18" style="1888" bestFit="1" customWidth="1"/>
    <col min="1543" max="1543" width="22.85546875" style="1888" bestFit="1" customWidth="1"/>
    <col min="1544" max="1792" width="9.140625" style="1888"/>
    <col min="1793" max="1793" width="3.85546875" style="1888" bestFit="1" customWidth="1"/>
    <col min="1794" max="1794" width="34.7109375" style="1888" bestFit="1" customWidth="1"/>
    <col min="1795" max="1795" width="8.140625" style="1888" bestFit="1" customWidth="1"/>
    <col min="1796" max="1796" width="8.7109375" style="1888" customWidth="1"/>
    <col min="1797" max="1797" width="13" style="1888" bestFit="1" customWidth="1"/>
    <col min="1798" max="1798" width="18" style="1888" bestFit="1" customWidth="1"/>
    <col min="1799" max="1799" width="22.85546875" style="1888" bestFit="1" customWidth="1"/>
    <col min="1800" max="2048" width="9.140625" style="1888"/>
    <col min="2049" max="2049" width="3.85546875" style="1888" bestFit="1" customWidth="1"/>
    <col min="2050" max="2050" width="34.7109375" style="1888" bestFit="1" customWidth="1"/>
    <col min="2051" max="2051" width="8.140625" style="1888" bestFit="1" customWidth="1"/>
    <col min="2052" max="2052" width="8.7109375" style="1888" customWidth="1"/>
    <col min="2053" max="2053" width="13" style="1888" bestFit="1" customWidth="1"/>
    <col min="2054" max="2054" width="18" style="1888" bestFit="1" customWidth="1"/>
    <col min="2055" max="2055" width="22.85546875" style="1888" bestFit="1" customWidth="1"/>
    <col min="2056" max="2304" width="9.140625" style="1888"/>
    <col min="2305" max="2305" width="3.85546875" style="1888" bestFit="1" customWidth="1"/>
    <col min="2306" max="2306" width="34.7109375" style="1888" bestFit="1" customWidth="1"/>
    <col min="2307" max="2307" width="8.140625" style="1888" bestFit="1" customWidth="1"/>
    <col min="2308" max="2308" width="8.7109375" style="1888" customWidth="1"/>
    <col min="2309" max="2309" width="13" style="1888" bestFit="1" customWidth="1"/>
    <col min="2310" max="2310" width="18" style="1888" bestFit="1" customWidth="1"/>
    <col min="2311" max="2311" width="22.85546875" style="1888" bestFit="1" customWidth="1"/>
    <col min="2312" max="2560" width="9.140625" style="1888"/>
    <col min="2561" max="2561" width="3.85546875" style="1888" bestFit="1" customWidth="1"/>
    <col min="2562" max="2562" width="34.7109375" style="1888" bestFit="1" customWidth="1"/>
    <col min="2563" max="2563" width="8.140625" style="1888" bestFit="1" customWidth="1"/>
    <col min="2564" max="2564" width="8.7109375" style="1888" customWidth="1"/>
    <col min="2565" max="2565" width="13" style="1888" bestFit="1" customWidth="1"/>
    <col min="2566" max="2566" width="18" style="1888" bestFit="1" customWidth="1"/>
    <col min="2567" max="2567" width="22.85546875" style="1888" bestFit="1" customWidth="1"/>
    <col min="2568" max="2816" width="9.140625" style="1888"/>
    <col min="2817" max="2817" width="3.85546875" style="1888" bestFit="1" customWidth="1"/>
    <col min="2818" max="2818" width="34.7109375" style="1888" bestFit="1" customWidth="1"/>
    <col min="2819" max="2819" width="8.140625" style="1888" bestFit="1" customWidth="1"/>
    <col min="2820" max="2820" width="8.7109375" style="1888" customWidth="1"/>
    <col min="2821" max="2821" width="13" style="1888" bestFit="1" customWidth="1"/>
    <col min="2822" max="2822" width="18" style="1888" bestFit="1" customWidth="1"/>
    <col min="2823" max="2823" width="22.85546875" style="1888" bestFit="1" customWidth="1"/>
    <col min="2824" max="3072" width="9.140625" style="1888"/>
    <col min="3073" max="3073" width="3.85546875" style="1888" bestFit="1" customWidth="1"/>
    <col min="3074" max="3074" width="34.7109375" style="1888" bestFit="1" customWidth="1"/>
    <col min="3075" max="3075" width="8.140625" style="1888" bestFit="1" customWidth="1"/>
    <col min="3076" max="3076" width="8.7109375" style="1888" customWidth="1"/>
    <col min="3077" max="3077" width="13" style="1888" bestFit="1" customWidth="1"/>
    <col min="3078" max="3078" width="18" style="1888" bestFit="1" customWidth="1"/>
    <col min="3079" max="3079" width="22.85546875" style="1888" bestFit="1" customWidth="1"/>
    <col min="3080" max="3328" width="9.140625" style="1888"/>
    <col min="3329" max="3329" width="3.85546875" style="1888" bestFit="1" customWidth="1"/>
    <col min="3330" max="3330" width="34.7109375" style="1888" bestFit="1" customWidth="1"/>
    <col min="3331" max="3331" width="8.140625" style="1888" bestFit="1" customWidth="1"/>
    <col min="3332" max="3332" width="8.7109375" style="1888" customWidth="1"/>
    <col min="3333" max="3333" width="13" style="1888" bestFit="1" customWidth="1"/>
    <col min="3334" max="3334" width="18" style="1888" bestFit="1" customWidth="1"/>
    <col min="3335" max="3335" width="22.85546875" style="1888" bestFit="1" customWidth="1"/>
    <col min="3336" max="3584" width="9.140625" style="1888"/>
    <col min="3585" max="3585" width="3.85546875" style="1888" bestFit="1" customWidth="1"/>
    <col min="3586" max="3586" width="34.7109375" style="1888" bestFit="1" customWidth="1"/>
    <col min="3587" max="3587" width="8.140625" style="1888" bestFit="1" customWidth="1"/>
    <col min="3588" max="3588" width="8.7109375" style="1888" customWidth="1"/>
    <col min="3589" max="3589" width="13" style="1888" bestFit="1" customWidth="1"/>
    <col min="3590" max="3590" width="18" style="1888" bestFit="1" customWidth="1"/>
    <col min="3591" max="3591" width="22.85546875" style="1888" bestFit="1" customWidth="1"/>
    <col min="3592" max="3840" width="9.140625" style="1888"/>
    <col min="3841" max="3841" width="3.85546875" style="1888" bestFit="1" customWidth="1"/>
    <col min="3842" max="3842" width="34.7109375" style="1888" bestFit="1" customWidth="1"/>
    <col min="3843" max="3843" width="8.140625" style="1888" bestFit="1" customWidth="1"/>
    <col min="3844" max="3844" width="8.7109375" style="1888" customWidth="1"/>
    <col min="3845" max="3845" width="13" style="1888" bestFit="1" customWidth="1"/>
    <col min="3846" max="3846" width="18" style="1888" bestFit="1" customWidth="1"/>
    <col min="3847" max="3847" width="22.85546875" style="1888" bestFit="1" customWidth="1"/>
    <col min="3848" max="4096" width="9.140625" style="1888"/>
    <col min="4097" max="4097" width="3.85546875" style="1888" bestFit="1" customWidth="1"/>
    <col min="4098" max="4098" width="34.7109375" style="1888" bestFit="1" customWidth="1"/>
    <col min="4099" max="4099" width="8.140625" style="1888" bestFit="1" customWidth="1"/>
    <col min="4100" max="4100" width="8.7109375" style="1888" customWidth="1"/>
    <col min="4101" max="4101" width="13" style="1888" bestFit="1" customWidth="1"/>
    <col min="4102" max="4102" width="18" style="1888" bestFit="1" customWidth="1"/>
    <col min="4103" max="4103" width="22.85546875" style="1888" bestFit="1" customWidth="1"/>
    <col min="4104" max="4352" width="9.140625" style="1888"/>
    <col min="4353" max="4353" width="3.85546875" style="1888" bestFit="1" customWidth="1"/>
    <col min="4354" max="4354" width="34.7109375" style="1888" bestFit="1" customWidth="1"/>
    <col min="4355" max="4355" width="8.140625" style="1888" bestFit="1" customWidth="1"/>
    <col min="4356" max="4356" width="8.7109375" style="1888" customWidth="1"/>
    <col min="4357" max="4357" width="13" style="1888" bestFit="1" customWidth="1"/>
    <col min="4358" max="4358" width="18" style="1888" bestFit="1" customWidth="1"/>
    <col min="4359" max="4359" width="22.85546875" style="1888" bestFit="1" customWidth="1"/>
    <col min="4360" max="4608" width="9.140625" style="1888"/>
    <col min="4609" max="4609" width="3.85546875" style="1888" bestFit="1" customWidth="1"/>
    <col min="4610" max="4610" width="34.7109375" style="1888" bestFit="1" customWidth="1"/>
    <col min="4611" max="4611" width="8.140625" style="1888" bestFit="1" customWidth="1"/>
    <col min="4612" max="4612" width="8.7109375" style="1888" customWidth="1"/>
    <col min="4613" max="4613" width="13" style="1888" bestFit="1" customWidth="1"/>
    <col min="4614" max="4614" width="18" style="1888" bestFit="1" customWidth="1"/>
    <col min="4615" max="4615" width="22.85546875" style="1888" bestFit="1" customWidth="1"/>
    <col min="4616" max="4864" width="9.140625" style="1888"/>
    <col min="4865" max="4865" width="3.85546875" style="1888" bestFit="1" customWidth="1"/>
    <col min="4866" max="4866" width="34.7109375" style="1888" bestFit="1" customWidth="1"/>
    <col min="4867" max="4867" width="8.140625" style="1888" bestFit="1" customWidth="1"/>
    <col min="4868" max="4868" width="8.7109375" style="1888" customWidth="1"/>
    <col min="4869" max="4869" width="13" style="1888" bestFit="1" customWidth="1"/>
    <col min="4870" max="4870" width="18" style="1888" bestFit="1" customWidth="1"/>
    <col min="4871" max="4871" width="22.85546875" style="1888" bestFit="1" customWidth="1"/>
    <col min="4872" max="5120" width="9.140625" style="1888"/>
    <col min="5121" max="5121" width="3.85546875" style="1888" bestFit="1" customWidth="1"/>
    <col min="5122" max="5122" width="34.7109375" style="1888" bestFit="1" customWidth="1"/>
    <col min="5123" max="5123" width="8.140625" style="1888" bestFit="1" customWidth="1"/>
    <col min="5124" max="5124" width="8.7109375" style="1888" customWidth="1"/>
    <col min="5125" max="5125" width="13" style="1888" bestFit="1" customWidth="1"/>
    <col min="5126" max="5126" width="18" style="1888" bestFit="1" customWidth="1"/>
    <col min="5127" max="5127" width="22.85546875" style="1888" bestFit="1" customWidth="1"/>
    <col min="5128" max="5376" width="9.140625" style="1888"/>
    <col min="5377" max="5377" width="3.85546875" style="1888" bestFit="1" customWidth="1"/>
    <col min="5378" max="5378" width="34.7109375" style="1888" bestFit="1" customWidth="1"/>
    <col min="5379" max="5379" width="8.140625" style="1888" bestFit="1" customWidth="1"/>
    <col min="5380" max="5380" width="8.7109375" style="1888" customWidth="1"/>
    <col min="5381" max="5381" width="13" style="1888" bestFit="1" customWidth="1"/>
    <col min="5382" max="5382" width="18" style="1888" bestFit="1" customWidth="1"/>
    <col min="5383" max="5383" width="22.85546875" style="1888" bestFit="1" customWidth="1"/>
    <col min="5384" max="5632" width="9.140625" style="1888"/>
    <col min="5633" max="5633" width="3.85546875" style="1888" bestFit="1" customWidth="1"/>
    <col min="5634" max="5634" width="34.7109375" style="1888" bestFit="1" customWidth="1"/>
    <col min="5635" max="5635" width="8.140625" style="1888" bestFit="1" customWidth="1"/>
    <col min="5636" max="5636" width="8.7109375" style="1888" customWidth="1"/>
    <col min="5637" max="5637" width="13" style="1888" bestFit="1" customWidth="1"/>
    <col min="5638" max="5638" width="18" style="1888" bestFit="1" customWidth="1"/>
    <col min="5639" max="5639" width="22.85546875" style="1888" bestFit="1" customWidth="1"/>
    <col min="5640" max="5888" width="9.140625" style="1888"/>
    <col min="5889" max="5889" width="3.85546875" style="1888" bestFit="1" customWidth="1"/>
    <col min="5890" max="5890" width="34.7109375" style="1888" bestFit="1" customWidth="1"/>
    <col min="5891" max="5891" width="8.140625" style="1888" bestFit="1" customWidth="1"/>
    <col min="5892" max="5892" width="8.7109375" style="1888" customWidth="1"/>
    <col min="5893" max="5893" width="13" style="1888" bestFit="1" customWidth="1"/>
    <col min="5894" max="5894" width="18" style="1888" bestFit="1" customWidth="1"/>
    <col min="5895" max="5895" width="22.85546875" style="1888" bestFit="1" customWidth="1"/>
    <col min="5896" max="6144" width="9.140625" style="1888"/>
    <col min="6145" max="6145" width="3.85546875" style="1888" bestFit="1" customWidth="1"/>
    <col min="6146" max="6146" width="34.7109375" style="1888" bestFit="1" customWidth="1"/>
    <col min="6147" max="6147" width="8.140625" style="1888" bestFit="1" customWidth="1"/>
    <col min="6148" max="6148" width="8.7109375" style="1888" customWidth="1"/>
    <col min="6149" max="6149" width="13" style="1888" bestFit="1" customWidth="1"/>
    <col min="6150" max="6150" width="18" style="1888" bestFit="1" customWidth="1"/>
    <col min="6151" max="6151" width="22.85546875" style="1888" bestFit="1" customWidth="1"/>
    <col min="6152" max="6400" width="9.140625" style="1888"/>
    <col min="6401" max="6401" width="3.85546875" style="1888" bestFit="1" customWidth="1"/>
    <col min="6402" max="6402" width="34.7109375" style="1888" bestFit="1" customWidth="1"/>
    <col min="6403" max="6403" width="8.140625" style="1888" bestFit="1" customWidth="1"/>
    <col min="6404" max="6404" width="8.7109375" style="1888" customWidth="1"/>
    <col min="6405" max="6405" width="13" style="1888" bestFit="1" customWidth="1"/>
    <col min="6406" max="6406" width="18" style="1888" bestFit="1" customWidth="1"/>
    <col min="6407" max="6407" width="22.85546875" style="1888" bestFit="1" customWidth="1"/>
    <col min="6408" max="6656" width="9.140625" style="1888"/>
    <col min="6657" max="6657" width="3.85546875" style="1888" bestFit="1" customWidth="1"/>
    <col min="6658" max="6658" width="34.7109375" style="1888" bestFit="1" customWidth="1"/>
    <col min="6659" max="6659" width="8.140625" style="1888" bestFit="1" customWidth="1"/>
    <col min="6660" max="6660" width="8.7109375" style="1888" customWidth="1"/>
    <col min="6661" max="6661" width="13" style="1888" bestFit="1" customWidth="1"/>
    <col min="6662" max="6662" width="18" style="1888" bestFit="1" customWidth="1"/>
    <col min="6663" max="6663" width="22.85546875" style="1888" bestFit="1" customWidth="1"/>
    <col min="6664" max="6912" width="9.140625" style="1888"/>
    <col min="6913" max="6913" width="3.85546875" style="1888" bestFit="1" customWidth="1"/>
    <col min="6914" max="6914" width="34.7109375" style="1888" bestFit="1" customWidth="1"/>
    <col min="6915" max="6915" width="8.140625" style="1888" bestFit="1" customWidth="1"/>
    <col min="6916" max="6916" width="8.7109375" style="1888" customWidth="1"/>
    <col min="6917" max="6917" width="13" style="1888" bestFit="1" customWidth="1"/>
    <col min="6918" max="6918" width="18" style="1888" bestFit="1" customWidth="1"/>
    <col min="6919" max="6919" width="22.85546875" style="1888" bestFit="1" customWidth="1"/>
    <col min="6920" max="7168" width="9.140625" style="1888"/>
    <col min="7169" max="7169" width="3.85546875" style="1888" bestFit="1" customWidth="1"/>
    <col min="7170" max="7170" width="34.7109375" style="1888" bestFit="1" customWidth="1"/>
    <col min="7171" max="7171" width="8.140625" style="1888" bestFit="1" customWidth="1"/>
    <col min="7172" max="7172" width="8.7109375" style="1888" customWidth="1"/>
    <col min="7173" max="7173" width="13" style="1888" bestFit="1" customWidth="1"/>
    <col min="7174" max="7174" width="18" style="1888" bestFit="1" customWidth="1"/>
    <col min="7175" max="7175" width="22.85546875" style="1888" bestFit="1" customWidth="1"/>
    <col min="7176" max="7424" width="9.140625" style="1888"/>
    <col min="7425" max="7425" width="3.85546875" style="1888" bestFit="1" customWidth="1"/>
    <col min="7426" max="7426" width="34.7109375" style="1888" bestFit="1" customWidth="1"/>
    <col min="7427" max="7427" width="8.140625" style="1888" bestFit="1" customWidth="1"/>
    <col min="7428" max="7428" width="8.7109375" style="1888" customWidth="1"/>
    <col min="7429" max="7429" width="13" style="1888" bestFit="1" customWidth="1"/>
    <col min="7430" max="7430" width="18" style="1888" bestFit="1" customWidth="1"/>
    <col min="7431" max="7431" width="22.85546875" style="1888" bestFit="1" customWidth="1"/>
    <col min="7432" max="7680" width="9.140625" style="1888"/>
    <col min="7681" max="7681" width="3.85546875" style="1888" bestFit="1" customWidth="1"/>
    <col min="7682" max="7682" width="34.7109375" style="1888" bestFit="1" customWidth="1"/>
    <col min="7683" max="7683" width="8.140625" style="1888" bestFit="1" customWidth="1"/>
    <col min="7684" max="7684" width="8.7109375" style="1888" customWidth="1"/>
    <col min="7685" max="7685" width="13" style="1888" bestFit="1" customWidth="1"/>
    <col min="7686" max="7686" width="18" style="1888" bestFit="1" customWidth="1"/>
    <col min="7687" max="7687" width="22.85546875" style="1888" bestFit="1" customWidth="1"/>
    <col min="7688" max="7936" width="9.140625" style="1888"/>
    <col min="7937" max="7937" width="3.85546875" style="1888" bestFit="1" customWidth="1"/>
    <col min="7938" max="7938" width="34.7109375" style="1888" bestFit="1" customWidth="1"/>
    <col min="7939" max="7939" width="8.140625" style="1888" bestFit="1" customWidth="1"/>
    <col min="7940" max="7940" width="8.7109375" style="1888" customWidth="1"/>
    <col min="7941" max="7941" width="13" style="1888" bestFit="1" customWidth="1"/>
    <col min="7942" max="7942" width="18" style="1888" bestFit="1" customWidth="1"/>
    <col min="7943" max="7943" width="22.85546875" style="1888" bestFit="1" customWidth="1"/>
    <col min="7944" max="8192" width="9.140625" style="1888"/>
    <col min="8193" max="8193" width="3.85546875" style="1888" bestFit="1" customWidth="1"/>
    <col min="8194" max="8194" width="34.7109375" style="1888" bestFit="1" customWidth="1"/>
    <col min="8195" max="8195" width="8.140625" style="1888" bestFit="1" customWidth="1"/>
    <col min="8196" max="8196" width="8.7109375" style="1888" customWidth="1"/>
    <col min="8197" max="8197" width="13" style="1888" bestFit="1" customWidth="1"/>
    <col min="8198" max="8198" width="18" style="1888" bestFit="1" customWidth="1"/>
    <col min="8199" max="8199" width="22.85546875" style="1888" bestFit="1" customWidth="1"/>
    <col min="8200" max="8448" width="9.140625" style="1888"/>
    <col min="8449" max="8449" width="3.85546875" style="1888" bestFit="1" customWidth="1"/>
    <col min="8450" max="8450" width="34.7109375" style="1888" bestFit="1" customWidth="1"/>
    <col min="8451" max="8451" width="8.140625" style="1888" bestFit="1" customWidth="1"/>
    <col min="8452" max="8452" width="8.7109375" style="1888" customWidth="1"/>
    <col min="8453" max="8453" width="13" style="1888" bestFit="1" customWidth="1"/>
    <col min="8454" max="8454" width="18" style="1888" bestFit="1" customWidth="1"/>
    <col min="8455" max="8455" width="22.85546875" style="1888" bestFit="1" customWidth="1"/>
    <col min="8456" max="8704" width="9.140625" style="1888"/>
    <col min="8705" max="8705" width="3.85546875" style="1888" bestFit="1" customWidth="1"/>
    <col min="8706" max="8706" width="34.7109375" style="1888" bestFit="1" customWidth="1"/>
    <col min="8707" max="8707" width="8.140625" style="1888" bestFit="1" customWidth="1"/>
    <col min="8708" max="8708" width="8.7109375" style="1888" customWidth="1"/>
    <col min="8709" max="8709" width="13" style="1888" bestFit="1" customWidth="1"/>
    <col min="8710" max="8710" width="18" style="1888" bestFit="1" customWidth="1"/>
    <col min="8711" max="8711" width="22.85546875" style="1888" bestFit="1" customWidth="1"/>
    <col min="8712" max="8960" width="9.140625" style="1888"/>
    <col min="8961" max="8961" width="3.85546875" style="1888" bestFit="1" customWidth="1"/>
    <col min="8962" max="8962" width="34.7109375" style="1888" bestFit="1" customWidth="1"/>
    <col min="8963" max="8963" width="8.140625" style="1888" bestFit="1" customWidth="1"/>
    <col min="8964" max="8964" width="8.7109375" style="1888" customWidth="1"/>
    <col min="8965" max="8965" width="13" style="1888" bestFit="1" customWidth="1"/>
    <col min="8966" max="8966" width="18" style="1888" bestFit="1" customWidth="1"/>
    <col min="8967" max="8967" width="22.85546875" style="1888" bestFit="1" customWidth="1"/>
    <col min="8968" max="9216" width="9.140625" style="1888"/>
    <col min="9217" max="9217" width="3.85546875" style="1888" bestFit="1" customWidth="1"/>
    <col min="9218" max="9218" width="34.7109375" style="1888" bestFit="1" customWidth="1"/>
    <col min="9219" max="9219" width="8.140625" style="1888" bestFit="1" customWidth="1"/>
    <col min="9220" max="9220" width="8.7109375" style="1888" customWidth="1"/>
    <col min="9221" max="9221" width="13" style="1888" bestFit="1" customWidth="1"/>
    <col min="9222" max="9222" width="18" style="1888" bestFit="1" customWidth="1"/>
    <col min="9223" max="9223" width="22.85546875" style="1888" bestFit="1" customWidth="1"/>
    <col min="9224" max="9472" width="9.140625" style="1888"/>
    <col min="9473" max="9473" width="3.85546875" style="1888" bestFit="1" customWidth="1"/>
    <col min="9474" max="9474" width="34.7109375" style="1888" bestFit="1" customWidth="1"/>
    <col min="9475" max="9475" width="8.140625" style="1888" bestFit="1" customWidth="1"/>
    <col min="9476" max="9476" width="8.7109375" style="1888" customWidth="1"/>
    <col min="9477" max="9477" width="13" style="1888" bestFit="1" customWidth="1"/>
    <col min="9478" max="9478" width="18" style="1888" bestFit="1" customWidth="1"/>
    <col min="9479" max="9479" width="22.85546875" style="1888" bestFit="1" customWidth="1"/>
    <col min="9480" max="9728" width="9.140625" style="1888"/>
    <col min="9729" max="9729" width="3.85546875" style="1888" bestFit="1" customWidth="1"/>
    <col min="9730" max="9730" width="34.7109375" style="1888" bestFit="1" customWidth="1"/>
    <col min="9731" max="9731" width="8.140625" style="1888" bestFit="1" customWidth="1"/>
    <col min="9732" max="9732" width="8.7109375" style="1888" customWidth="1"/>
    <col min="9733" max="9733" width="13" style="1888" bestFit="1" customWidth="1"/>
    <col min="9734" max="9734" width="18" style="1888" bestFit="1" customWidth="1"/>
    <col min="9735" max="9735" width="22.85546875" style="1888" bestFit="1" customWidth="1"/>
    <col min="9736" max="9984" width="9.140625" style="1888"/>
    <col min="9985" max="9985" width="3.85546875" style="1888" bestFit="1" customWidth="1"/>
    <col min="9986" max="9986" width="34.7109375" style="1888" bestFit="1" customWidth="1"/>
    <col min="9987" max="9987" width="8.140625" style="1888" bestFit="1" customWidth="1"/>
    <col min="9988" max="9988" width="8.7109375" style="1888" customWidth="1"/>
    <col min="9989" max="9989" width="13" style="1888" bestFit="1" customWidth="1"/>
    <col min="9990" max="9990" width="18" style="1888" bestFit="1" customWidth="1"/>
    <col min="9991" max="9991" width="22.85546875" style="1888" bestFit="1" customWidth="1"/>
    <col min="9992" max="10240" width="9.140625" style="1888"/>
    <col min="10241" max="10241" width="3.85546875" style="1888" bestFit="1" customWidth="1"/>
    <col min="10242" max="10242" width="34.7109375" style="1888" bestFit="1" customWidth="1"/>
    <col min="10243" max="10243" width="8.140625" style="1888" bestFit="1" customWidth="1"/>
    <col min="10244" max="10244" width="8.7109375" style="1888" customWidth="1"/>
    <col min="10245" max="10245" width="13" style="1888" bestFit="1" customWidth="1"/>
    <col min="10246" max="10246" width="18" style="1888" bestFit="1" customWidth="1"/>
    <col min="10247" max="10247" width="22.85546875" style="1888" bestFit="1" customWidth="1"/>
    <col min="10248" max="10496" width="9.140625" style="1888"/>
    <col min="10497" max="10497" width="3.85546875" style="1888" bestFit="1" customWidth="1"/>
    <col min="10498" max="10498" width="34.7109375" style="1888" bestFit="1" customWidth="1"/>
    <col min="10499" max="10499" width="8.140625" style="1888" bestFit="1" customWidth="1"/>
    <col min="10500" max="10500" width="8.7109375" style="1888" customWidth="1"/>
    <col min="10501" max="10501" width="13" style="1888" bestFit="1" customWidth="1"/>
    <col min="10502" max="10502" width="18" style="1888" bestFit="1" customWidth="1"/>
    <col min="10503" max="10503" width="22.85546875" style="1888" bestFit="1" customWidth="1"/>
    <col min="10504" max="10752" width="9.140625" style="1888"/>
    <col min="10753" max="10753" width="3.85546875" style="1888" bestFit="1" customWidth="1"/>
    <col min="10754" max="10754" width="34.7109375" style="1888" bestFit="1" customWidth="1"/>
    <col min="10755" max="10755" width="8.140625" style="1888" bestFit="1" customWidth="1"/>
    <col min="10756" max="10756" width="8.7109375" style="1888" customWidth="1"/>
    <col min="10757" max="10757" width="13" style="1888" bestFit="1" customWidth="1"/>
    <col min="10758" max="10758" width="18" style="1888" bestFit="1" customWidth="1"/>
    <col min="10759" max="10759" width="22.85546875" style="1888" bestFit="1" customWidth="1"/>
    <col min="10760" max="11008" width="9.140625" style="1888"/>
    <col min="11009" max="11009" width="3.85546875" style="1888" bestFit="1" customWidth="1"/>
    <col min="11010" max="11010" width="34.7109375" style="1888" bestFit="1" customWidth="1"/>
    <col min="11011" max="11011" width="8.140625" style="1888" bestFit="1" customWidth="1"/>
    <col min="11012" max="11012" width="8.7109375" style="1888" customWidth="1"/>
    <col min="11013" max="11013" width="13" style="1888" bestFit="1" customWidth="1"/>
    <col min="11014" max="11014" width="18" style="1888" bestFit="1" customWidth="1"/>
    <col min="11015" max="11015" width="22.85546875" style="1888" bestFit="1" customWidth="1"/>
    <col min="11016" max="11264" width="9.140625" style="1888"/>
    <col min="11265" max="11265" width="3.85546875" style="1888" bestFit="1" customWidth="1"/>
    <col min="11266" max="11266" width="34.7109375" style="1888" bestFit="1" customWidth="1"/>
    <col min="11267" max="11267" width="8.140625" style="1888" bestFit="1" customWidth="1"/>
    <col min="11268" max="11268" width="8.7109375" style="1888" customWidth="1"/>
    <col min="11269" max="11269" width="13" style="1888" bestFit="1" customWidth="1"/>
    <col min="11270" max="11270" width="18" style="1888" bestFit="1" customWidth="1"/>
    <col min="11271" max="11271" width="22.85546875" style="1888" bestFit="1" customWidth="1"/>
    <col min="11272" max="11520" width="9.140625" style="1888"/>
    <col min="11521" max="11521" width="3.85546875" style="1888" bestFit="1" customWidth="1"/>
    <col min="11522" max="11522" width="34.7109375" style="1888" bestFit="1" customWidth="1"/>
    <col min="11523" max="11523" width="8.140625" style="1888" bestFit="1" customWidth="1"/>
    <col min="11524" max="11524" width="8.7109375" style="1888" customWidth="1"/>
    <col min="11525" max="11525" width="13" style="1888" bestFit="1" customWidth="1"/>
    <col min="11526" max="11526" width="18" style="1888" bestFit="1" customWidth="1"/>
    <col min="11527" max="11527" width="22.85546875" style="1888" bestFit="1" customWidth="1"/>
    <col min="11528" max="11776" width="9.140625" style="1888"/>
    <col min="11777" max="11777" width="3.85546875" style="1888" bestFit="1" customWidth="1"/>
    <col min="11778" max="11778" width="34.7109375" style="1888" bestFit="1" customWidth="1"/>
    <col min="11779" max="11779" width="8.140625" style="1888" bestFit="1" customWidth="1"/>
    <col min="11780" max="11780" width="8.7109375" style="1888" customWidth="1"/>
    <col min="11781" max="11781" width="13" style="1888" bestFit="1" customWidth="1"/>
    <col min="11782" max="11782" width="18" style="1888" bestFit="1" customWidth="1"/>
    <col min="11783" max="11783" width="22.85546875" style="1888" bestFit="1" customWidth="1"/>
    <col min="11784" max="12032" width="9.140625" style="1888"/>
    <col min="12033" max="12033" width="3.85546875" style="1888" bestFit="1" customWidth="1"/>
    <col min="12034" max="12034" width="34.7109375" style="1888" bestFit="1" customWidth="1"/>
    <col min="12035" max="12035" width="8.140625" style="1888" bestFit="1" customWidth="1"/>
    <col min="12036" max="12036" width="8.7109375" style="1888" customWidth="1"/>
    <col min="12037" max="12037" width="13" style="1888" bestFit="1" customWidth="1"/>
    <col min="12038" max="12038" width="18" style="1888" bestFit="1" customWidth="1"/>
    <col min="12039" max="12039" width="22.85546875" style="1888" bestFit="1" customWidth="1"/>
    <col min="12040" max="12288" width="9.140625" style="1888"/>
    <col min="12289" max="12289" width="3.85546875" style="1888" bestFit="1" customWidth="1"/>
    <col min="12290" max="12290" width="34.7109375" style="1888" bestFit="1" customWidth="1"/>
    <col min="12291" max="12291" width="8.140625" style="1888" bestFit="1" customWidth="1"/>
    <col min="12292" max="12292" width="8.7109375" style="1888" customWidth="1"/>
    <col min="12293" max="12293" width="13" style="1888" bestFit="1" customWidth="1"/>
    <col min="12294" max="12294" width="18" style="1888" bestFit="1" customWidth="1"/>
    <col min="12295" max="12295" width="22.85546875" style="1888" bestFit="1" customWidth="1"/>
    <col min="12296" max="12544" width="9.140625" style="1888"/>
    <col min="12545" max="12545" width="3.85546875" style="1888" bestFit="1" customWidth="1"/>
    <col min="12546" max="12546" width="34.7109375" style="1888" bestFit="1" customWidth="1"/>
    <col min="12547" max="12547" width="8.140625" style="1888" bestFit="1" customWidth="1"/>
    <col min="12548" max="12548" width="8.7109375" style="1888" customWidth="1"/>
    <col min="12549" max="12549" width="13" style="1888" bestFit="1" customWidth="1"/>
    <col min="12550" max="12550" width="18" style="1888" bestFit="1" customWidth="1"/>
    <col min="12551" max="12551" width="22.85546875" style="1888" bestFit="1" customWidth="1"/>
    <col min="12552" max="12800" width="9.140625" style="1888"/>
    <col min="12801" max="12801" width="3.85546875" style="1888" bestFit="1" customWidth="1"/>
    <col min="12802" max="12802" width="34.7109375" style="1888" bestFit="1" customWidth="1"/>
    <col min="12803" max="12803" width="8.140625" style="1888" bestFit="1" customWidth="1"/>
    <col min="12804" max="12804" width="8.7109375" style="1888" customWidth="1"/>
    <col min="12805" max="12805" width="13" style="1888" bestFit="1" customWidth="1"/>
    <col min="12806" max="12806" width="18" style="1888" bestFit="1" customWidth="1"/>
    <col min="12807" max="12807" width="22.85546875" style="1888" bestFit="1" customWidth="1"/>
    <col min="12808" max="13056" width="9.140625" style="1888"/>
    <col min="13057" max="13057" width="3.85546875" style="1888" bestFit="1" customWidth="1"/>
    <col min="13058" max="13058" width="34.7109375" style="1888" bestFit="1" customWidth="1"/>
    <col min="13059" max="13059" width="8.140625" style="1888" bestFit="1" customWidth="1"/>
    <col min="13060" max="13060" width="8.7109375" style="1888" customWidth="1"/>
    <col min="13061" max="13061" width="13" style="1888" bestFit="1" customWidth="1"/>
    <col min="13062" max="13062" width="18" style="1888" bestFit="1" customWidth="1"/>
    <col min="13063" max="13063" width="22.85546875" style="1888" bestFit="1" customWidth="1"/>
    <col min="13064" max="13312" width="9.140625" style="1888"/>
    <col min="13313" max="13313" width="3.85546875" style="1888" bestFit="1" customWidth="1"/>
    <col min="13314" max="13314" width="34.7109375" style="1888" bestFit="1" customWidth="1"/>
    <col min="13315" max="13315" width="8.140625" style="1888" bestFit="1" customWidth="1"/>
    <col min="13316" max="13316" width="8.7109375" style="1888" customWidth="1"/>
    <col min="13317" max="13317" width="13" style="1888" bestFit="1" customWidth="1"/>
    <col min="13318" max="13318" width="18" style="1888" bestFit="1" customWidth="1"/>
    <col min="13319" max="13319" width="22.85546875" style="1888" bestFit="1" customWidth="1"/>
    <col min="13320" max="13568" width="9.140625" style="1888"/>
    <col min="13569" max="13569" width="3.85546875" style="1888" bestFit="1" customWidth="1"/>
    <col min="13570" max="13570" width="34.7109375" style="1888" bestFit="1" customWidth="1"/>
    <col min="13571" max="13571" width="8.140625" style="1888" bestFit="1" customWidth="1"/>
    <col min="13572" max="13572" width="8.7109375" style="1888" customWidth="1"/>
    <col min="13573" max="13573" width="13" style="1888" bestFit="1" customWidth="1"/>
    <col min="13574" max="13574" width="18" style="1888" bestFit="1" customWidth="1"/>
    <col min="13575" max="13575" width="22.85546875" style="1888" bestFit="1" customWidth="1"/>
    <col min="13576" max="13824" width="9.140625" style="1888"/>
    <col min="13825" max="13825" width="3.85546875" style="1888" bestFit="1" customWidth="1"/>
    <col min="13826" max="13826" width="34.7109375" style="1888" bestFit="1" customWidth="1"/>
    <col min="13827" max="13827" width="8.140625" style="1888" bestFit="1" customWidth="1"/>
    <col min="13828" max="13828" width="8.7109375" style="1888" customWidth="1"/>
    <col min="13829" max="13829" width="13" style="1888" bestFit="1" customWidth="1"/>
    <col min="13830" max="13830" width="18" style="1888" bestFit="1" customWidth="1"/>
    <col min="13831" max="13831" width="22.85546875" style="1888" bestFit="1" customWidth="1"/>
    <col min="13832" max="14080" width="9.140625" style="1888"/>
    <col min="14081" max="14081" width="3.85546875" style="1888" bestFit="1" customWidth="1"/>
    <col min="14082" max="14082" width="34.7109375" style="1888" bestFit="1" customWidth="1"/>
    <col min="14083" max="14083" width="8.140625" style="1888" bestFit="1" customWidth="1"/>
    <col min="14084" max="14084" width="8.7109375" style="1888" customWidth="1"/>
    <col min="14085" max="14085" width="13" style="1888" bestFit="1" customWidth="1"/>
    <col min="14086" max="14086" width="18" style="1888" bestFit="1" customWidth="1"/>
    <col min="14087" max="14087" width="22.85546875" style="1888" bestFit="1" customWidth="1"/>
    <col min="14088" max="14336" width="9.140625" style="1888"/>
    <col min="14337" max="14337" width="3.85546875" style="1888" bestFit="1" customWidth="1"/>
    <col min="14338" max="14338" width="34.7109375" style="1888" bestFit="1" customWidth="1"/>
    <col min="14339" max="14339" width="8.140625" style="1888" bestFit="1" customWidth="1"/>
    <col min="14340" max="14340" width="8.7109375" style="1888" customWidth="1"/>
    <col min="14341" max="14341" width="13" style="1888" bestFit="1" customWidth="1"/>
    <col min="14342" max="14342" width="18" style="1888" bestFit="1" customWidth="1"/>
    <col min="14343" max="14343" width="22.85546875" style="1888" bestFit="1" customWidth="1"/>
    <col min="14344" max="14592" width="9.140625" style="1888"/>
    <col min="14593" max="14593" width="3.85546875" style="1888" bestFit="1" customWidth="1"/>
    <col min="14594" max="14594" width="34.7109375" style="1888" bestFit="1" customWidth="1"/>
    <col min="14595" max="14595" width="8.140625" style="1888" bestFit="1" customWidth="1"/>
    <col min="14596" max="14596" width="8.7109375" style="1888" customWidth="1"/>
    <col min="14597" max="14597" width="13" style="1888" bestFit="1" customWidth="1"/>
    <col min="14598" max="14598" width="18" style="1888" bestFit="1" customWidth="1"/>
    <col min="14599" max="14599" width="22.85546875" style="1888" bestFit="1" customWidth="1"/>
    <col min="14600" max="14848" width="9.140625" style="1888"/>
    <col min="14849" max="14849" width="3.85546875" style="1888" bestFit="1" customWidth="1"/>
    <col min="14850" max="14850" width="34.7109375" style="1888" bestFit="1" customWidth="1"/>
    <col min="14851" max="14851" width="8.140625" style="1888" bestFit="1" customWidth="1"/>
    <col min="14852" max="14852" width="8.7109375" style="1888" customWidth="1"/>
    <col min="14853" max="14853" width="13" style="1888" bestFit="1" customWidth="1"/>
    <col min="14854" max="14854" width="18" style="1888" bestFit="1" customWidth="1"/>
    <col min="14855" max="14855" width="22.85546875" style="1888" bestFit="1" customWidth="1"/>
    <col min="14856" max="15104" width="9.140625" style="1888"/>
    <col min="15105" max="15105" width="3.85546875" style="1888" bestFit="1" customWidth="1"/>
    <col min="15106" max="15106" width="34.7109375" style="1888" bestFit="1" customWidth="1"/>
    <col min="15107" max="15107" width="8.140625" style="1888" bestFit="1" customWidth="1"/>
    <col min="15108" max="15108" width="8.7109375" style="1888" customWidth="1"/>
    <col min="15109" max="15109" width="13" style="1888" bestFit="1" customWidth="1"/>
    <col min="15110" max="15110" width="18" style="1888" bestFit="1" customWidth="1"/>
    <col min="15111" max="15111" width="22.85546875" style="1888" bestFit="1" customWidth="1"/>
    <col min="15112" max="15360" width="9.140625" style="1888"/>
    <col min="15361" max="15361" width="3.85546875" style="1888" bestFit="1" customWidth="1"/>
    <col min="15362" max="15362" width="34.7109375" style="1888" bestFit="1" customWidth="1"/>
    <col min="15363" max="15363" width="8.140625" style="1888" bestFit="1" customWidth="1"/>
    <col min="15364" max="15364" width="8.7109375" style="1888" customWidth="1"/>
    <col min="15365" max="15365" width="13" style="1888" bestFit="1" customWidth="1"/>
    <col min="15366" max="15366" width="18" style="1888" bestFit="1" customWidth="1"/>
    <col min="15367" max="15367" width="22.85546875" style="1888" bestFit="1" customWidth="1"/>
    <col min="15368" max="15616" width="9.140625" style="1888"/>
    <col min="15617" max="15617" width="3.85546875" style="1888" bestFit="1" customWidth="1"/>
    <col min="15618" max="15618" width="34.7109375" style="1888" bestFit="1" customWidth="1"/>
    <col min="15619" max="15619" width="8.140625" style="1888" bestFit="1" customWidth="1"/>
    <col min="15620" max="15620" width="8.7109375" style="1888" customWidth="1"/>
    <col min="15621" max="15621" width="13" style="1888" bestFit="1" customWidth="1"/>
    <col min="15622" max="15622" width="18" style="1888" bestFit="1" customWidth="1"/>
    <col min="15623" max="15623" width="22.85546875" style="1888" bestFit="1" customWidth="1"/>
    <col min="15624" max="15872" width="9.140625" style="1888"/>
    <col min="15873" max="15873" width="3.85546875" style="1888" bestFit="1" customWidth="1"/>
    <col min="15874" max="15874" width="34.7109375" style="1888" bestFit="1" customWidth="1"/>
    <col min="15875" max="15875" width="8.140625" style="1888" bestFit="1" customWidth="1"/>
    <col min="15876" max="15876" width="8.7109375" style="1888" customWidth="1"/>
    <col min="15877" max="15877" width="13" style="1888" bestFit="1" customWidth="1"/>
    <col min="15878" max="15878" width="18" style="1888" bestFit="1" customWidth="1"/>
    <col min="15879" max="15879" width="22.85546875" style="1888" bestFit="1" customWidth="1"/>
    <col min="15880" max="16128" width="9.140625" style="1888"/>
    <col min="16129" max="16129" width="3.85546875" style="1888" bestFit="1" customWidth="1"/>
    <col min="16130" max="16130" width="34.7109375" style="1888" bestFit="1" customWidth="1"/>
    <col min="16131" max="16131" width="8.140625" style="1888" bestFit="1" customWidth="1"/>
    <col min="16132" max="16132" width="8.7109375" style="1888" customWidth="1"/>
    <col min="16133" max="16133" width="13" style="1888" bestFit="1" customWidth="1"/>
    <col min="16134" max="16134" width="18" style="1888" bestFit="1" customWidth="1"/>
    <col min="16135" max="16135" width="22.85546875" style="1888" bestFit="1" customWidth="1"/>
    <col min="16136" max="16384" width="9.140625" style="1888"/>
  </cols>
  <sheetData>
    <row r="1" spans="1:7">
      <c r="C1" s="1888" t="s">
        <v>3231</v>
      </c>
      <c r="G1" s="1889" t="s">
        <v>1020</v>
      </c>
    </row>
    <row r="6" spans="1:7" s="1891" customFormat="1" ht="19.5" customHeight="1">
      <c r="A6" s="2612" t="s">
        <v>2003</v>
      </c>
      <c r="B6" s="2612" t="s">
        <v>64</v>
      </c>
      <c r="C6" s="2612" t="s">
        <v>2</v>
      </c>
      <c r="D6" s="2612" t="s">
        <v>2886</v>
      </c>
      <c r="E6" s="2612" t="s">
        <v>1729</v>
      </c>
      <c r="F6" s="2612" t="s">
        <v>4</v>
      </c>
      <c r="G6" s="1890"/>
    </row>
    <row r="7" spans="1:7" s="1891" customFormat="1">
      <c r="A7" s="2612"/>
      <c r="B7" s="2612"/>
      <c r="C7" s="2612"/>
      <c r="D7" s="2612"/>
      <c r="E7" s="2612"/>
      <c r="F7" s="2612"/>
      <c r="G7" s="1890"/>
    </row>
    <row r="8" spans="1:7" s="1891" customFormat="1">
      <c r="A8" s="1877" t="s">
        <v>109</v>
      </c>
      <c r="B8" s="1877" t="s">
        <v>22</v>
      </c>
      <c r="C8" s="1878"/>
      <c r="D8" s="2327"/>
      <c r="E8" s="1879"/>
      <c r="F8" s="1880">
        <f>F9+F29</f>
        <v>1265500000</v>
      </c>
      <c r="G8" s="1890"/>
    </row>
    <row r="9" spans="1:7" s="1891" customFormat="1">
      <c r="A9" s="1877" t="s">
        <v>480</v>
      </c>
      <c r="B9" s="1877" t="s">
        <v>1248</v>
      </c>
      <c r="C9" s="1878"/>
      <c r="D9" s="2327"/>
      <c r="E9" s="1879"/>
      <c r="F9" s="1880">
        <f>SUM(F10:F28)</f>
        <v>1203000000</v>
      </c>
      <c r="G9" s="1939">
        <f>F9*2/3</f>
        <v>802000000</v>
      </c>
    </row>
    <row r="10" spans="1:7">
      <c r="A10" s="2329">
        <v>1</v>
      </c>
      <c r="B10" s="2328" t="s">
        <v>3024</v>
      </c>
      <c r="C10" s="2329" t="s">
        <v>2129</v>
      </c>
      <c r="D10" s="2328">
        <v>400</v>
      </c>
      <c r="E10" s="1881">
        <v>170000</v>
      </c>
      <c r="F10" s="1881">
        <f t="shared" ref="F10:F26" si="0">E10*D10</f>
        <v>68000000</v>
      </c>
      <c r="G10" s="1892"/>
    </row>
    <row r="11" spans="1:7">
      <c r="A11" s="2329">
        <v>2</v>
      </c>
      <c r="B11" s="2328" t="s">
        <v>3023</v>
      </c>
      <c r="C11" s="2329" t="s">
        <v>2129</v>
      </c>
      <c r="D11" s="2328">
        <v>300</v>
      </c>
      <c r="E11" s="1881">
        <v>180000</v>
      </c>
      <c r="F11" s="1881">
        <f t="shared" si="0"/>
        <v>54000000</v>
      </c>
      <c r="G11" s="1892"/>
    </row>
    <row r="12" spans="1:7">
      <c r="A12" s="2329">
        <v>3</v>
      </c>
      <c r="B12" s="2328" t="s">
        <v>3022</v>
      </c>
      <c r="C12" s="2329" t="s">
        <v>2129</v>
      </c>
      <c r="D12" s="2328">
        <v>500</v>
      </c>
      <c r="E12" s="1881">
        <v>47000</v>
      </c>
      <c r="F12" s="1881">
        <f t="shared" si="0"/>
        <v>23500000</v>
      </c>
      <c r="G12" s="1892"/>
    </row>
    <row r="13" spans="1:7">
      <c r="A13" s="2329">
        <v>4</v>
      </c>
      <c r="B13" s="2328" t="s">
        <v>3021</v>
      </c>
      <c r="C13" s="2329" t="s">
        <v>418</v>
      </c>
      <c r="D13" s="1882">
        <v>200</v>
      </c>
      <c r="E13" s="1881">
        <v>460000</v>
      </c>
      <c r="F13" s="1881">
        <f t="shared" si="0"/>
        <v>92000000</v>
      </c>
      <c r="G13" s="1892"/>
    </row>
    <row r="14" spans="1:7">
      <c r="A14" s="2329">
        <v>5</v>
      </c>
      <c r="B14" s="2328" t="s">
        <v>3020</v>
      </c>
      <c r="C14" s="2329" t="s">
        <v>418</v>
      </c>
      <c r="D14" s="1882">
        <v>250</v>
      </c>
      <c r="E14" s="1881">
        <v>376000</v>
      </c>
      <c r="F14" s="1881">
        <f t="shared" si="0"/>
        <v>94000000</v>
      </c>
      <c r="G14" s="1892"/>
    </row>
    <row r="15" spans="1:7">
      <c r="A15" s="2329">
        <v>6</v>
      </c>
      <c r="B15" s="2328" t="s">
        <v>3019</v>
      </c>
      <c r="C15" s="2329" t="s">
        <v>418</v>
      </c>
      <c r="D15" s="1882">
        <v>200</v>
      </c>
      <c r="E15" s="1881">
        <v>430000</v>
      </c>
      <c r="F15" s="1881">
        <f t="shared" si="0"/>
        <v>86000000</v>
      </c>
      <c r="G15" s="1892"/>
    </row>
    <row r="16" spans="1:7">
      <c r="A16" s="2329">
        <v>7</v>
      </c>
      <c r="B16" s="2328" t="s">
        <v>3018</v>
      </c>
      <c r="C16" s="2329" t="s">
        <v>418</v>
      </c>
      <c r="D16" s="1882">
        <v>250</v>
      </c>
      <c r="E16" s="1881">
        <v>280000</v>
      </c>
      <c r="F16" s="1881">
        <f t="shared" si="0"/>
        <v>70000000</v>
      </c>
      <c r="G16" s="1892"/>
    </row>
    <row r="17" spans="1:7">
      <c r="A17" s="2329">
        <v>8</v>
      </c>
      <c r="B17" s="2328" t="s">
        <v>3017</v>
      </c>
      <c r="C17" s="2329" t="s">
        <v>418</v>
      </c>
      <c r="D17" s="1882">
        <v>400</v>
      </c>
      <c r="E17" s="1881">
        <v>200000</v>
      </c>
      <c r="F17" s="1881">
        <f t="shared" si="0"/>
        <v>80000000</v>
      </c>
      <c r="G17" s="1892"/>
    </row>
    <row r="18" spans="1:7">
      <c r="A18" s="2329">
        <v>9</v>
      </c>
      <c r="B18" s="2328" t="s">
        <v>3016</v>
      </c>
      <c r="C18" s="2329" t="s">
        <v>418</v>
      </c>
      <c r="D18" s="1882">
        <v>400</v>
      </c>
      <c r="E18" s="1881">
        <v>100000</v>
      </c>
      <c r="F18" s="1881">
        <f t="shared" si="0"/>
        <v>40000000</v>
      </c>
      <c r="G18" s="1892"/>
    </row>
    <row r="19" spans="1:7">
      <c r="A19" s="2329">
        <v>10</v>
      </c>
      <c r="B19" s="2328" t="s">
        <v>3015</v>
      </c>
      <c r="C19" s="2329" t="s">
        <v>418</v>
      </c>
      <c r="D19" s="1882">
        <v>300</v>
      </c>
      <c r="E19" s="1881">
        <v>180000</v>
      </c>
      <c r="F19" s="1881">
        <f t="shared" si="0"/>
        <v>54000000</v>
      </c>
      <c r="G19" s="1892"/>
    </row>
    <row r="20" spans="1:7">
      <c r="A20" s="2329">
        <v>11</v>
      </c>
      <c r="B20" s="2328" t="s">
        <v>3014</v>
      </c>
      <c r="C20" s="2329"/>
      <c r="D20" s="1882">
        <v>400</v>
      </c>
      <c r="E20" s="1881">
        <v>110000</v>
      </c>
      <c r="F20" s="1881">
        <f t="shared" si="0"/>
        <v>44000000</v>
      </c>
      <c r="G20" s="1892"/>
    </row>
    <row r="21" spans="1:7">
      <c r="A21" s="2329">
        <v>12</v>
      </c>
      <c r="B21" s="2328" t="s">
        <v>3013</v>
      </c>
      <c r="C21" s="2329" t="s">
        <v>418</v>
      </c>
      <c r="D21" s="1882">
        <v>400</v>
      </c>
      <c r="E21" s="1881">
        <v>210000</v>
      </c>
      <c r="F21" s="1881">
        <f t="shared" si="0"/>
        <v>84000000</v>
      </c>
      <c r="G21" s="1892"/>
    </row>
    <row r="22" spans="1:7">
      <c r="A22" s="2329">
        <v>13</v>
      </c>
      <c r="B22" s="2328" t="s">
        <v>3012</v>
      </c>
      <c r="C22" s="2329" t="s">
        <v>836</v>
      </c>
      <c r="D22" s="1882">
        <v>1000</v>
      </c>
      <c r="E22" s="1881">
        <v>40000</v>
      </c>
      <c r="F22" s="1881">
        <f t="shared" si="0"/>
        <v>40000000</v>
      </c>
      <c r="G22" s="1892"/>
    </row>
    <row r="23" spans="1:7">
      <c r="A23" s="2329">
        <v>14</v>
      </c>
      <c r="B23" s="2328" t="s">
        <v>3031</v>
      </c>
      <c r="C23" s="2329" t="s">
        <v>829</v>
      </c>
      <c r="D23" s="1882">
        <v>400</v>
      </c>
      <c r="E23" s="1881">
        <v>200000</v>
      </c>
      <c r="F23" s="1881">
        <f t="shared" si="0"/>
        <v>80000000</v>
      </c>
      <c r="G23" s="1892"/>
    </row>
    <row r="24" spans="1:7">
      <c r="A24" s="2329">
        <v>15</v>
      </c>
      <c r="B24" s="2328" t="s">
        <v>3030</v>
      </c>
      <c r="C24" s="2329" t="s">
        <v>515</v>
      </c>
      <c r="D24" s="1882">
        <v>5</v>
      </c>
      <c r="E24" s="1881">
        <v>11000000</v>
      </c>
      <c r="F24" s="1881">
        <f t="shared" si="0"/>
        <v>55000000</v>
      </c>
      <c r="G24" s="1892"/>
    </row>
    <row r="25" spans="1:7">
      <c r="A25" s="2329">
        <v>16</v>
      </c>
      <c r="B25" s="2328" t="s">
        <v>3029</v>
      </c>
      <c r="C25" s="2329" t="s">
        <v>393</v>
      </c>
      <c r="D25" s="1938">
        <v>1500</v>
      </c>
      <c r="E25" s="1881">
        <v>15000</v>
      </c>
      <c r="F25" s="1881">
        <f t="shared" si="0"/>
        <v>22500000</v>
      </c>
      <c r="G25" s="1892"/>
    </row>
    <row r="26" spans="1:7">
      <c r="A26" s="2329">
        <v>17</v>
      </c>
      <c r="B26" s="2328" t="s">
        <v>3028</v>
      </c>
      <c r="C26" s="2329" t="s">
        <v>393</v>
      </c>
      <c r="D26" s="1938">
        <v>300</v>
      </c>
      <c r="E26" s="1881">
        <v>300000</v>
      </c>
      <c r="F26" s="1881">
        <f t="shared" si="0"/>
        <v>90000000</v>
      </c>
      <c r="G26" s="1892"/>
    </row>
    <row r="27" spans="1:7">
      <c r="A27" s="2329">
        <v>18</v>
      </c>
      <c r="B27" s="2613" t="s">
        <v>3027</v>
      </c>
      <c r="C27" s="2613"/>
      <c r="D27" s="2613"/>
      <c r="E27" s="2613"/>
      <c r="F27" s="1881">
        <v>36000000</v>
      </c>
      <c r="G27" s="1892"/>
    </row>
    <row r="28" spans="1:7">
      <c r="A28" s="2329">
        <v>20</v>
      </c>
      <c r="B28" s="2614" t="s">
        <v>3007</v>
      </c>
      <c r="C28" s="2614"/>
      <c r="D28" s="1882"/>
      <c r="E28" s="1883"/>
      <c r="F28" s="1881">
        <v>90000000</v>
      </c>
      <c r="G28" s="1892"/>
    </row>
    <row r="29" spans="1:7" s="1891" customFormat="1">
      <c r="A29" s="1877" t="s">
        <v>485</v>
      </c>
      <c r="B29" s="1877" t="s">
        <v>1225</v>
      </c>
      <c r="C29" s="1877"/>
      <c r="D29" s="1884"/>
      <c r="E29" s="1879"/>
      <c r="F29" s="1880">
        <f>F30+F31</f>
        <v>62500000</v>
      </c>
      <c r="G29" s="1890"/>
    </row>
    <row r="30" spans="1:7">
      <c r="A30" s="2329">
        <v>1</v>
      </c>
      <c r="B30" s="2613" t="s">
        <v>3026</v>
      </c>
      <c r="C30" s="2613"/>
      <c r="D30" s="2613"/>
      <c r="E30" s="2613"/>
      <c r="F30" s="1881">
        <v>47500000</v>
      </c>
      <c r="G30" s="1892"/>
    </row>
    <row r="31" spans="1:7">
      <c r="A31" s="2329">
        <v>2</v>
      </c>
      <c r="B31" s="2328" t="s">
        <v>3025</v>
      </c>
      <c r="C31" s="2329"/>
      <c r="D31" s="2328"/>
      <c r="E31" s="1883"/>
      <c r="F31" s="1881">
        <v>15000000</v>
      </c>
      <c r="G31" s="1892"/>
    </row>
    <row r="32" spans="1:7" s="1891" customFormat="1" ht="17.25">
      <c r="A32" s="1885" t="s">
        <v>116</v>
      </c>
      <c r="B32" s="1885" t="s">
        <v>1999</v>
      </c>
      <c r="C32" s="1885"/>
      <c r="D32" s="1886"/>
      <c r="E32" s="1887"/>
      <c r="F32" s="1880">
        <f>SUM(F33:F50)</f>
        <v>1427000000</v>
      </c>
      <c r="G32" s="1890"/>
    </row>
    <row r="33" spans="1:7">
      <c r="A33" s="2329">
        <v>1</v>
      </c>
      <c r="B33" s="2328" t="s">
        <v>3024</v>
      </c>
      <c r="C33" s="2329" t="s">
        <v>2129</v>
      </c>
      <c r="D33" s="2328">
        <v>400</v>
      </c>
      <c r="E33" s="1881">
        <v>200000</v>
      </c>
      <c r="F33" s="1881">
        <f t="shared" ref="F33:F49" si="1">E33*D33</f>
        <v>80000000</v>
      </c>
      <c r="G33" s="1892"/>
    </row>
    <row r="34" spans="1:7">
      <c r="A34" s="2329">
        <v>2</v>
      </c>
      <c r="B34" s="2328" t="s">
        <v>3023</v>
      </c>
      <c r="C34" s="2329" t="s">
        <v>2129</v>
      </c>
      <c r="D34" s="2328">
        <v>300</v>
      </c>
      <c r="E34" s="1881">
        <v>210000</v>
      </c>
      <c r="F34" s="1881">
        <f t="shared" si="1"/>
        <v>63000000</v>
      </c>
      <c r="G34" s="1892"/>
    </row>
    <row r="35" spans="1:7">
      <c r="A35" s="2329">
        <v>3</v>
      </c>
      <c r="B35" s="2328" t="s">
        <v>3022</v>
      </c>
      <c r="C35" s="2329" t="s">
        <v>2129</v>
      </c>
      <c r="D35" s="2328">
        <v>500</v>
      </c>
      <c r="E35" s="1881">
        <v>60000</v>
      </c>
      <c r="F35" s="1881">
        <f t="shared" si="1"/>
        <v>30000000</v>
      </c>
      <c r="G35" s="1892"/>
    </row>
    <row r="36" spans="1:7">
      <c r="A36" s="2329">
        <v>4</v>
      </c>
      <c r="B36" s="2328" t="s">
        <v>3021</v>
      </c>
      <c r="C36" s="2329" t="s">
        <v>418</v>
      </c>
      <c r="D36" s="1882">
        <v>200</v>
      </c>
      <c r="E36" s="1881">
        <v>490000</v>
      </c>
      <c r="F36" s="1881">
        <f t="shared" si="1"/>
        <v>98000000</v>
      </c>
      <c r="G36" s="1892"/>
    </row>
    <row r="37" spans="1:7">
      <c r="A37" s="2329">
        <v>5</v>
      </c>
      <c r="B37" s="2328" t="s">
        <v>3020</v>
      </c>
      <c r="C37" s="2329" t="s">
        <v>418</v>
      </c>
      <c r="D37" s="1882">
        <v>250</v>
      </c>
      <c r="E37" s="1881">
        <v>400000</v>
      </c>
      <c r="F37" s="1881">
        <f t="shared" si="1"/>
        <v>100000000</v>
      </c>
      <c r="G37" s="1892"/>
    </row>
    <row r="38" spans="1:7">
      <c r="A38" s="2329">
        <v>6</v>
      </c>
      <c r="B38" s="2328" t="s">
        <v>3019</v>
      </c>
      <c r="C38" s="2329" t="s">
        <v>418</v>
      </c>
      <c r="D38" s="1882">
        <v>200</v>
      </c>
      <c r="E38" s="1881">
        <v>470000</v>
      </c>
      <c r="F38" s="1881">
        <f t="shared" si="1"/>
        <v>94000000</v>
      </c>
      <c r="G38" s="1892"/>
    </row>
    <row r="39" spans="1:7">
      <c r="A39" s="2329">
        <v>7</v>
      </c>
      <c r="B39" s="2328" t="s">
        <v>3018</v>
      </c>
      <c r="C39" s="2329" t="s">
        <v>418</v>
      </c>
      <c r="D39" s="1882">
        <v>250</v>
      </c>
      <c r="E39" s="1881">
        <v>330000</v>
      </c>
      <c r="F39" s="1881">
        <f t="shared" si="1"/>
        <v>82500000</v>
      </c>
      <c r="G39" s="1892"/>
    </row>
    <row r="40" spans="1:7">
      <c r="A40" s="2329">
        <v>8</v>
      </c>
      <c r="B40" s="2328" t="s">
        <v>3017</v>
      </c>
      <c r="C40" s="2329" t="s">
        <v>418</v>
      </c>
      <c r="D40" s="1882">
        <v>400</v>
      </c>
      <c r="E40" s="1881">
        <v>225000</v>
      </c>
      <c r="F40" s="1881">
        <f t="shared" si="1"/>
        <v>90000000</v>
      </c>
      <c r="G40" s="1892"/>
    </row>
    <row r="41" spans="1:7">
      <c r="A41" s="2329">
        <v>9</v>
      </c>
      <c r="B41" s="2328" t="s">
        <v>3016</v>
      </c>
      <c r="C41" s="2329" t="s">
        <v>418</v>
      </c>
      <c r="D41" s="1882">
        <v>400</v>
      </c>
      <c r="E41" s="1881">
        <v>140000</v>
      </c>
      <c r="F41" s="1881">
        <f t="shared" si="1"/>
        <v>56000000</v>
      </c>
      <c r="G41" s="1892"/>
    </row>
    <row r="42" spans="1:7">
      <c r="A42" s="2329">
        <v>10</v>
      </c>
      <c r="B42" s="2328" t="s">
        <v>3015</v>
      </c>
      <c r="C42" s="2329" t="s">
        <v>418</v>
      </c>
      <c r="D42" s="1882">
        <v>300</v>
      </c>
      <c r="E42" s="1881">
        <v>210000</v>
      </c>
      <c r="F42" s="1881">
        <f t="shared" si="1"/>
        <v>63000000</v>
      </c>
      <c r="G42" s="1892"/>
    </row>
    <row r="43" spans="1:7">
      <c r="A43" s="2329">
        <v>11</v>
      </c>
      <c r="B43" s="2328" t="s">
        <v>3014</v>
      </c>
      <c r="C43" s="2329" t="s">
        <v>418</v>
      </c>
      <c r="D43" s="1882">
        <v>400</v>
      </c>
      <c r="E43" s="1881">
        <v>140000</v>
      </c>
      <c r="F43" s="1881">
        <f t="shared" si="1"/>
        <v>56000000</v>
      </c>
      <c r="G43" s="1892"/>
    </row>
    <row r="44" spans="1:7">
      <c r="A44" s="2329">
        <v>12</v>
      </c>
      <c r="B44" s="2328" t="s">
        <v>3013</v>
      </c>
      <c r="C44" s="2329" t="s">
        <v>418</v>
      </c>
      <c r="D44" s="1882">
        <v>400</v>
      </c>
      <c r="E44" s="1881">
        <v>240000</v>
      </c>
      <c r="F44" s="1881">
        <f t="shared" si="1"/>
        <v>96000000</v>
      </c>
      <c r="G44" s="1892"/>
    </row>
    <row r="45" spans="1:7">
      <c r="A45" s="2329">
        <v>13</v>
      </c>
      <c r="B45" s="2328" t="s">
        <v>3012</v>
      </c>
      <c r="C45" s="2329" t="s">
        <v>836</v>
      </c>
      <c r="D45" s="1882">
        <v>1000</v>
      </c>
      <c r="E45" s="1881">
        <v>65000</v>
      </c>
      <c r="F45" s="1881">
        <f t="shared" si="1"/>
        <v>65000000</v>
      </c>
      <c r="G45" s="1892"/>
    </row>
    <row r="46" spans="1:7">
      <c r="A46" s="2329">
        <v>14</v>
      </c>
      <c r="B46" s="2328" t="s">
        <v>3011</v>
      </c>
      <c r="C46" s="2329" t="s">
        <v>829</v>
      </c>
      <c r="D46" s="1882">
        <v>400</v>
      </c>
      <c r="E46" s="1881">
        <v>250000</v>
      </c>
      <c r="F46" s="1881">
        <f t="shared" si="1"/>
        <v>100000000</v>
      </c>
      <c r="G46" s="1892"/>
    </row>
    <row r="47" spans="1:7">
      <c r="A47" s="2329">
        <v>15</v>
      </c>
      <c r="B47" s="2328" t="s">
        <v>3010</v>
      </c>
      <c r="C47" s="2329" t="s">
        <v>515</v>
      </c>
      <c r="D47" s="1882">
        <v>5</v>
      </c>
      <c r="E47" s="1881">
        <v>13500000</v>
      </c>
      <c r="F47" s="1881">
        <f t="shared" si="1"/>
        <v>67500000</v>
      </c>
      <c r="G47" s="1892"/>
    </row>
    <row r="48" spans="1:7">
      <c r="A48" s="2329">
        <v>16</v>
      </c>
      <c r="B48" s="2328" t="s">
        <v>3009</v>
      </c>
      <c r="C48" s="2329" t="s">
        <v>393</v>
      </c>
      <c r="D48" s="1938">
        <v>1500</v>
      </c>
      <c r="E48" s="1881">
        <v>20000</v>
      </c>
      <c r="F48" s="1881">
        <f t="shared" si="1"/>
        <v>30000000</v>
      </c>
      <c r="G48" s="1892"/>
    </row>
    <row r="49" spans="1:7">
      <c r="A49" s="2329">
        <v>17</v>
      </c>
      <c r="B49" s="2328" t="s">
        <v>3008</v>
      </c>
      <c r="C49" s="2329" t="s">
        <v>393</v>
      </c>
      <c r="D49" s="1938">
        <v>300</v>
      </c>
      <c r="E49" s="1881">
        <v>420000</v>
      </c>
      <c r="F49" s="1881">
        <f t="shared" si="1"/>
        <v>126000000</v>
      </c>
      <c r="G49" s="1892"/>
    </row>
    <row r="50" spans="1:7">
      <c r="A50" s="2329">
        <v>19</v>
      </c>
      <c r="B50" s="2328" t="s">
        <v>3007</v>
      </c>
      <c r="C50" s="2329"/>
      <c r="D50" s="1882"/>
      <c r="E50" s="1883"/>
      <c r="F50" s="1881">
        <v>130000000</v>
      </c>
      <c r="G50" s="1892"/>
    </row>
    <row r="51" spans="1:7" s="1891" customFormat="1">
      <c r="A51" s="1877" t="s">
        <v>135</v>
      </c>
      <c r="B51" s="1877" t="s">
        <v>1988</v>
      </c>
      <c r="C51" s="1877"/>
      <c r="D51" s="1884"/>
      <c r="E51" s="1879"/>
      <c r="F51" s="1880">
        <f>F32-F8</f>
        <v>161500000</v>
      </c>
      <c r="G51" s="1890"/>
    </row>
    <row r="53" spans="1:7">
      <c r="F53" s="1940">
        <f>F9*2/3</f>
        <v>802000000</v>
      </c>
    </row>
  </sheetData>
  <mergeCells count="9">
    <mergeCell ref="F6:F7"/>
    <mergeCell ref="B27:E27"/>
    <mergeCell ref="B28:C28"/>
    <mergeCell ref="B30:E30"/>
    <mergeCell ref="A6:A7"/>
    <mergeCell ref="B6:B7"/>
    <mergeCell ref="C6:C7"/>
    <mergeCell ref="D6:D7"/>
    <mergeCell ref="E6:E7"/>
  </mergeCells>
  <pageMargins left="0.75" right="0.75" top="1" bottom="1" header="0.5" footer="0.5"/>
  <pageSetup paperSize="9" orientation="portrait" verticalDpi="0" r:id="rId1"/>
  <headerFooter alignWithMargins="0"/>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J35"/>
  <sheetViews>
    <sheetView workbookViewId="0">
      <selection activeCell="J28" sqref="J28"/>
    </sheetView>
  </sheetViews>
  <sheetFormatPr defaultRowHeight="16.5"/>
  <cols>
    <col min="1" max="1" width="4.42578125" style="311" bestFit="1" customWidth="1"/>
    <col min="2" max="2" width="38.85546875" style="311" customWidth="1"/>
    <col min="3" max="3" width="7.7109375" style="311" bestFit="1" customWidth="1"/>
    <col min="4" max="4" width="18.7109375" style="311" bestFit="1" customWidth="1"/>
    <col min="5" max="5" width="17.85546875" style="311" customWidth="1"/>
    <col min="6" max="6" width="18.5703125" style="311" hidden="1" customWidth="1"/>
    <col min="7" max="7" width="9.140625" style="311"/>
    <col min="8" max="8" width="15.85546875" style="311" bestFit="1" customWidth="1"/>
    <col min="9" max="9" width="15.7109375" style="311" bestFit="1" customWidth="1"/>
    <col min="10" max="10" width="32.85546875" style="311" customWidth="1"/>
    <col min="11" max="16384" width="9.140625" style="311"/>
  </cols>
  <sheetData>
    <row r="1" spans="1:8">
      <c r="C1" s="311" t="s">
        <v>763</v>
      </c>
      <c r="G1" s="309" t="s">
        <v>1020</v>
      </c>
    </row>
    <row r="4" spans="1:8" ht="33">
      <c r="A4" s="2312" t="s">
        <v>0</v>
      </c>
      <c r="B4" s="2312" t="s">
        <v>103</v>
      </c>
      <c r="C4" s="2312" t="s">
        <v>1</v>
      </c>
      <c r="D4" s="2312" t="s">
        <v>3</v>
      </c>
      <c r="E4" s="2312" t="s">
        <v>4</v>
      </c>
      <c r="F4" s="100" t="s">
        <v>236</v>
      </c>
    </row>
    <row r="5" spans="1:8">
      <c r="A5" s="2318" t="s">
        <v>109</v>
      </c>
      <c r="B5" s="333" t="s">
        <v>237</v>
      </c>
      <c r="C5" s="333"/>
      <c r="D5" s="333"/>
      <c r="E5" s="336">
        <f>SUM(E6:E19)</f>
        <v>1144000000</v>
      </c>
      <c r="F5" s="337">
        <f>SUM(F6:F19)</f>
        <v>2401600000</v>
      </c>
    </row>
    <row r="6" spans="1:8">
      <c r="A6" s="338">
        <v>1</v>
      </c>
      <c r="B6" s="328" t="s">
        <v>754</v>
      </c>
      <c r="C6" s="158">
        <v>10</v>
      </c>
      <c r="D6" s="339">
        <v>30000000</v>
      </c>
      <c r="E6" s="161">
        <f>C6*D6</f>
        <v>300000000</v>
      </c>
      <c r="F6" s="332">
        <f>E6*12/5</f>
        <v>720000000</v>
      </c>
      <c r="H6" s="453">
        <f>SUM(E6:E14)</f>
        <v>703000000</v>
      </c>
    </row>
    <row r="7" spans="1:8">
      <c r="A7" s="338">
        <v>2</v>
      </c>
      <c r="B7" s="328" t="s">
        <v>755</v>
      </c>
      <c r="C7" s="328">
        <v>10</v>
      </c>
      <c r="D7" s="339">
        <v>13000000</v>
      </c>
      <c r="E7" s="161">
        <f t="shared" ref="E7:E14" si="0">C7*D7</f>
        <v>130000000</v>
      </c>
      <c r="F7" s="332">
        <f t="shared" ref="F7:F14" si="1">E7*12/5</f>
        <v>312000000</v>
      </c>
    </row>
    <row r="8" spans="1:8">
      <c r="A8" s="338">
        <v>3</v>
      </c>
      <c r="B8" s="328" t="s">
        <v>246</v>
      </c>
      <c r="C8" s="328">
        <v>4</v>
      </c>
      <c r="D8" s="339">
        <v>12000000</v>
      </c>
      <c r="E8" s="161">
        <f t="shared" si="0"/>
        <v>48000000</v>
      </c>
      <c r="F8" s="332">
        <f t="shared" si="1"/>
        <v>115200000</v>
      </c>
    </row>
    <row r="9" spans="1:8">
      <c r="A9" s="338">
        <v>4</v>
      </c>
      <c r="B9" s="328" t="s">
        <v>756</v>
      </c>
      <c r="C9" s="328">
        <v>4</v>
      </c>
      <c r="D9" s="339">
        <v>15000000</v>
      </c>
      <c r="E9" s="161">
        <f t="shared" si="0"/>
        <v>60000000</v>
      </c>
      <c r="F9" s="332">
        <f t="shared" si="1"/>
        <v>144000000</v>
      </c>
    </row>
    <row r="10" spans="1:8">
      <c r="A10" s="338">
        <v>5</v>
      </c>
      <c r="B10" s="328" t="s">
        <v>757</v>
      </c>
      <c r="C10" s="328">
        <v>10</v>
      </c>
      <c r="D10" s="339">
        <v>2000000</v>
      </c>
      <c r="E10" s="161">
        <f t="shared" si="0"/>
        <v>20000000</v>
      </c>
      <c r="F10" s="332">
        <f t="shared" si="1"/>
        <v>48000000</v>
      </c>
    </row>
    <row r="11" spans="1:8">
      <c r="A11" s="338">
        <v>6</v>
      </c>
      <c r="B11" s="328" t="s">
        <v>758</v>
      </c>
      <c r="C11" s="328">
        <v>10</v>
      </c>
      <c r="D11" s="339">
        <v>2000000</v>
      </c>
      <c r="E11" s="161">
        <f t="shared" si="0"/>
        <v>20000000</v>
      </c>
      <c r="F11" s="332">
        <f t="shared" si="1"/>
        <v>48000000</v>
      </c>
    </row>
    <row r="12" spans="1:8">
      <c r="A12" s="338">
        <v>7</v>
      </c>
      <c r="B12" s="328" t="s">
        <v>759</v>
      </c>
      <c r="C12" s="328">
        <v>10</v>
      </c>
      <c r="D12" s="339">
        <v>3500000</v>
      </c>
      <c r="E12" s="161">
        <f t="shared" si="0"/>
        <v>35000000</v>
      </c>
      <c r="F12" s="332">
        <f t="shared" si="1"/>
        <v>84000000</v>
      </c>
    </row>
    <row r="13" spans="1:8">
      <c r="A13" s="338">
        <v>8</v>
      </c>
      <c r="B13" s="328" t="s">
        <v>760</v>
      </c>
      <c r="C13" s="328">
        <v>10</v>
      </c>
      <c r="D13" s="339">
        <v>1000000</v>
      </c>
      <c r="E13" s="161">
        <f t="shared" si="0"/>
        <v>10000000</v>
      </c>
      <c r="F13" s="332">
        <f t="shared" si="1"/>
        <v>24000000</v>
      </c>
    </row>
    <row r="14" spans="1:8">
      <c r="A14" s="338">
        <v>9</v>
      </c>
      <c r="B14" s="328" t="s">
        <v>761</v>
      </c>
      <c r="C14" s="328">
        <v>2</v>
      </c>
      <c r="D14" s="340">
        <v>40000000</v>
      </c>
      <c r="E14" s="161">
        <f t="shared" si="0"/>
        <v>80000000</v>
      </c>
      <c r="F14" s="332">
        <f t="shared" si="1"/>
        <v>192000000</v>
      </c>
    </row>
    <row r="15" spans="1:8">
      <c r="A15" s="338">
        <v>10</v>
      </c>
      <c r="B15" s="328" t="s">
        <v>748</v>
      </c>
      <c r="C15" s="328">
        <v>1</v>
      </c>
      <c r="D15" s="329">
        <v>8000000</v>
      </c>
      <c r="E15" s="329">
        <f>D15*12</f>
        <v>96000000</v>
      </c>
      <c r="F15" s="332">
        <f>D15*C15*12</f>
        <v>96000000</v>
      </c>
    </row>
    <row r="16" spans="1:8" ht="15" customHeight="1">
      <c r="A16" s="338">
        <v>11</v>
      </c>
      <c r="B16" s="328" t="s">
        <v>762</v>
      </c>
      <c r="C16" s="328">
        <v>2</v>
      </c>
      <c r="D16" s="329">
        <v>6000000</v>
      </c>
      <c r="E16" s="329">
        <f>D16*2*12</f>
        <v>144000000</v>
      </c>
      <c r="F16" s="332">
        <f>D16*C16*12</f>
        <v>144000000</v>
      </c>
    </row>
    <row r="17" spans="1:10">
      <c r="A17" s="338">
        <v>12</v>
      </c>
      <c r="B17" s="328" t="s">
        <v>750</v>
      </c>
      <c r="C17" s="328"/>
      <c r="D17" s="329"/>
      <c r="E17" s="329">
        <v>20000000</v>
      </c>
      <c r="F17" s="332">
        <v>40000000</v>
      </c>
    </row>
    <row r="18" spans="1:10">
      <c r="A18" s="338">
        <v>13</v>
      </c>
      <c r="B18" s="328" t="s">
        <v>125</v>
      </c>
      <c r="C18" s="328"/>
      <c r="D18" s="329"/>
      <c r="E18" s="332">
        <f>2100000000*8.5/100</f>
        <v>178500000</v>
      </c>
      <c r="F18" s="332">
        <f>E18*12/5</f>
        <v>428400000</v>
      </c>
      <c r="I18" s="311">
        <v>32528200000</v>
      </c>
      <c r="J18" s="453"/>
    </row>
    <row r="19" spans="1:10">
      <c r="A19" s="338">
        <v>14</v>
      </c>
      <c r="B19" s="328" t="s">
        <v>194</v>
      </c>
      <c r="C19" s="328"/>
      <c r="D19" s="329">
        <v>500000</v>
      </c>
      <c r="E19" s="329">
        <f>D19*5</f>
        <v>2500000</v>
      </c>
      <c r="F19" s="332">
        <f>E19*12/5</f>
        <v>6000000</v>
      </c>
      <c r="I19" s="311">
        <v>29644400000</v>
      </c>
      <c r="J19" s="453"/>
    </row>
    <row r="20" spans="1:10">
      <c r="A20" s="2318" t="s">
        <v>116</v>
      </c>
      <c r="B20" s="333" t="s">
        <v>242</v>
      </c>
      <c r="C20" s="333"/>
      <c r="D20" s="333"/>
      <c r="E20" s="341">
        <f>SUM(E21:E29)</f>
        <v>913900000</v>
      </c>
      <c r="F20" s="337">
        <f>SUM(F21:F29)</f>
        <v>2193360000</v>
      </c>
    </row>
    <row r="21" spans="1:10">
      <c r="A21" s="338">
        <v>1</v>
      </c>
      <c r="B21" s="328" t="s">
        <v>754</v>
      </c>
      <c r="C21" s="328">
        <f>C6</f>
        <v>10</v>
      </c>
      <c r="D21" s="339">
        <f t="shared" ref="D21:D29" si="2">D6*1.3</f>
        <v>39000000</v>
      </c>
      <c r="E21" s="339">
        <f>D21*C21</f>
        <v>390000000</v>
      </c>
      <c r="F21" s="342">
        <f>E21*12/5</f>
        <v>936000000</v>
      </c>
    </row>
    <row r="22" spans="1:10">
      <c r="A22" s="338">
        <v>2</v>
      </c>
      <c r="B22" s="328" t="s">
        <v>755</v>
      </c>
      <c r="C22" s="328">
        <f t="shared" ref="C22:C29" si="3">C7</f>
        <v>10</v>
      </c>
      <c r="D22" s="339">
        <f t="shared" si="2"/>
        <v>16900000</v>
      </c>
      <c r="E22" s="339">
        <f t="shared" ref="E22:E29" si="4">D22*C22</f>
        <v>169000000</v>
      </c>
      <c r="F22" s="342">
        <f t="shared" ref="F22:F29" si="5">E22*12/5</f>
        <v>405600000</v>
      </c>
    </row>
    <row r="23" spans="1:10">
      <c r="A23" s="338">
        <v>3</v>
      </c>
      <c r="B23" s="328" t="s">
        <v>246</v>
      </c>
      <c r="C23" s="328">
        <f t="shared" si="3"/>
        <v>4</v>
      </c>
      <c r="D23" s="339">
        <f t="shared" si="2"/>
        <v>15600000</v>
      </c>
      <c r="E23" s="339">
        <f t="shared" si="4"/>
        <v>62400000</v>
      </c>
      <c r="F23" s="342">
        <f t="shared" si="5"/>
        <v>149760000</v>
      </c>
    </row>
    <row r="24" spans="1:10">
      <c r="A24" s="338">
        <v>4</v>
      </c>
      <c r="B24" s="328" t="s">
        <v>756</v>
      </c>
      <c r="C24" s="328">
        <f t="shared" si="3"/>
        <v>4</v>
      </c>
      <c r="D24" s="339">
        <f t="shared" si="2"/>
        <v>19500000</v>
      </c>
      <c r="E24" s="339">
        <f t="shared" si="4"/>
        <v>78000000</v>
      </c>
      <c r="F24" s="342">
        <f t="shared" si="5"/>
        <v>187200000</v>
      </c>
    </row>
    <row r="25" spans="1:10">
      <c r="A25" s="338">
        <v>5</v>
      </c>
      <c r="B25" s="328" t="s">
        <v>757</v>
      </c>
      <c r="C25" s="328">
        <f t="shared" si="3"/>
        <v>10</v>
      </c>
      <c r="D25" s="339">
        <f t="shared" si="2"/>
        <v>2600000</v>
      </c>
      <c r="E25" s="339">
        <f t="shared" si="4"/>
        <v>26000000</v>
      </c>
      <c r="F25" s="342">
        <f t="shared" si="5"/>
        <v>62400000</v>
      </c>
      <c r="J25" s="311">
        <f>12/5</f>
        <v>2.4</v>
      </c>
    </row>
    <row r="26" spans="1:10">
      <c r="A26" s="338">
        <v>6</v>
      </c>
      <c r="B26" s="328" t="s">
        <v>758</v>
      </c>
      <c r="C26" s="328">
        <f t="shared" si="3"/>
        <v>10</v>
      </c>
      <c r="D26" s="339">
        <f t="shared" si="2"/>
        <v>2600000</v>
      </c>
      <c r="E26" s="339">
        <f t="shared" si="4"/>
        <v>26000000</v>
      </c>
      <c r="F26" s="342">
        <f t="shared" si="5"/>
        <v>62400000</v>
      </c>
      <c r="J26" s="311">
        <f>11000000000</f>
        <v>11000000000</v>
      </c>
    </row>
    <row r="27" spans="1:10">
      <c r="A27" s="338">
        <v>7</v>
      </c>
      <c r="B27" s="328" t="s">
        <v>759</v>
      </c>
      <c r="C27" s="328">
        <f t="shared" si="3"/>
        <v>10</v>
      </c>
      <c r="D27" s="339">
        <f t="shared" si="2"/>
        <v>4550000</v>
      </c>
      <c r="E27" s="339">
        <f t="shared" si="4"/>
        <v>45500000</v>
      </c>
      <c r="F27" s="342">
        <f t="shared" si="5"/>
        <v>109200000</v>
      </c>
      <c r="J27" s="454"/>
    </row>
    <row r="28" spans="1:10">
      <c r="A28" s="338">
        <v>8</v>
      </c>
      <c r="B28" s="328" t="s">
        <v>760</v>
      </c>
      <c r="C28" s="328">
        <f t="shared" si="3"/>
        <v>10</v>
      </c>
      <c r="D28" s="339">
        <f t="shared" si="2"/>
        <v>1300000</v>
      </c>
      <c r="E28" s="339">
        <f t="shared" si="4"/>
        <v>13000000</v>
      </c>
      <c r="F28" s="342">
        <f t="shared" si="5"/>
        <v>31200000</v>
      </c>
    </row>
    <row r="29" spans="1:10">
      <c r="A29" s="338">
        <v>9</v>
      </c>
      <c r="B29" s="328" t="s">
        <v>761</v>
      </c>
      <c r="C29" s="328">
        <f t="shared" si="3"/>
        <v>2</v>
      </c>
      <c r="D29" s="339">
        <f t="shared" si="2"/>
        <v>52000000</v>
      </c>
      <c r="E29" s="339">
        <f t="shared" si="4"/>
        <v>104000000</v>
      </c>
      <c r="F29" s="342">
        <f t="shared" si="5"/>
        <v>249600000</v>
      </c>
    </row>
    <row r="30" spans="1:10">
      <c r="A30" s="2318" t="s">
        <v>135</v>
      </c>
      <c r="B30" s="333" t="s">
        <v>220</v>
      </c>
      <c r="C30" s="333"/>
      <c r="D30" s="333"/>
      <c r="E30" s="336">
        <f>E20-E5</f>
        <v>-230100000</v>
      </c>
      <c r="F30" s="343">
        <f>F20-F5</f>
        <v>-208240000</v>
      </c>
      <c r="J30" s="455">
        <f>J27-J28-J29</f>
        <v>0</v>
      </c>
    </row>
    <row r="32" spans="1:10">
      <c r="F32" s="311">
        <v>9000000000</v>
      </c>
    </row>
    <row r="33" spans="4:6">
      <c r="F33" s="453">
        <f>F5-F18</f>
        <v>1973200000</v>
      </c>
    </row>
    <row r="34" spans="4:6">
      <c r="D34" s="453">
        <f>F5-1620000000</f>
        <v>781600000</v>
      </c>
    </row>
    <row r="35" spans="4:6">
      <c r="D35" s="453">
        <f>D34-9400000000</f>
        <v>-8618400000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pageSetUpPr fitToPage="1"/>
  </sheetPr>
  <dimension ref="A1:G44"/>
  <sheetViews>
    <sheetView zoomScaleNormal="100" workbookViewId="0">
      <selection activeCell="C6" sqref="C6:E6"/>
    </sheetView>
  </sheetViews>
  <sheetFormatPr defaultRowHeight="16.5"/>
  <cols>
    <col min="1" max="1" width="6" style="311" customWidth="1"/>
    <col min="2" max="2" width="28.85546875" style="311" customWidth="1"/>
    <col min="3" max="3" width="9.7109375" style="311" customWidth="1"/>
    <col min="4" max="4" width="10.28515625" style="311" customWidth="1"/>
    <col min="5" max="5" width="11" style="311" customWidth="1"/>
    <col min="6" max="6" width="14" style="311" customWidth="1"/>
    <col min="7" max="7" width="14.7109375" style="311" customWidth="1"/>
    <col min="8" max="16384" width="9.140625" style="311"/>
  </cols>
  <sheetData>
    <row r="1" spans="1:7">
      <c r="C1" s="311" t="s">
        <v>2542</v>
      </c>
      <c r="G1" s="309" t="s">
        <v>1020</v>
      </c>
    </row>
    <row r="4" spans="1:7">
      <c r="A4" s="1872" t="s">
        <v>2380</v>
      </c>
      <c r="B4" s="1873"/>
      <c r="C4" s="1874">
        <v>280.5</v>
      </c>
      <c r="D4" s="1873" t="s">
        <v>5</v>
      </c>
      <c r="E4" s="1873"/>
      <c r="F4" s="1873"/>
      <c r="G4" s="1873"/>
    </row>
    <row r="5" spans="1:7">
      <c r="A5" s="1710" t="s">
        <v>1949</v>
      </c>
      <c r="B5" s="1711"/>
      <c r="C5" s="2482">
        <f>G18</f>
        <v>235000000</v>
      </c>
      <c r="D5" s="2482"/>
      <c r="E5" s="2482"/>
      <c r="F5" s="1712"/>
      <c r="G5" s="1712"/>
    </row>
    <row r="6" spans="1:7">
      <c r="A6" s="2483" t="s">
        <v>1948</v>
      </c>
      <c r="B6" s="2484"/>
      <c r="C6" s="2482">
        <f>C5-C7</f>
        <v>35000000</v>
      </c>
      <c r="D6" s="2482"/>
      <c r="E6" s="2482"/>
      <c r="F6" s="1713"/>
      <c r="G6" s="1713"/>
    </row>
    <row r="7" spans="1:7">
      <c r="A7" s="2483" t="s">
        <v>2379</v>
      </c>
      <c r="B7" s="2484"/>
      <c r="C7" s="2482">
        <v>200000000</v>
      </c>
      <c r="D7" s="2482"/>
      <c r="E7" s="2482"/>
      <c r="F7" s="1713"/>
      <c r="G7" s="1713"/>
    </row>
    <row r="8" spans="1:7">
      <c r="A8" s="1714" t="s">
        <v>2378</v>
      </c>
      <c r="B8" s="1715"/>
      <c r="C8" s="2485">
        <f>C6/C5</f>
        <v>0.14893617021276595</v>
      </c>
      <c r="D8" s="2485"/>
      <c r="E8" s="2485"/>
      <c r="F8" s="1716"/>
      <c r="G8" s="1716"/>
    </row>
    <row r="9" spans="1:7">
      <c r="A9" s="1717" t="s">
        <v>2377</v>
      </c>
      <c r="B9" s="1718"/>
      <c r="C9" s="1718"/>
      <c r="D9" s="1718"/>
      <c r="E9" s="1718"/>
      <c r="F9" s="1718"/>
      <c r="G9" s="1718"/>
    </row>
    <row r="10" spans="1:7">
      <c r="A10" s="2481" t="s">
        <v>2395</v>
      </c>
      <c r="B10" s="2481"/>
      <c r="C10" s="2481"/>
      <c r="D10" s="2481"/>
      <c r="E10" s="2481"/>
      <c r="F10" s="2481"/>
      <c r="G10" s="2481"/>
    </row>
    <row r="11" spans="1:7">
      <c r="A11" s="2486" t="s">
        <v>2375</v>
      </c>
      <c r="B11" s="2486"/>
      <c r="C11" s="2486"/>
      <c r="D11" s="2486"/>
      <c r="E11" s="2486"/>
      <c r="F11" s="2486"/>
      <c r="G11" s="2486"/>
    </row>
    <row r="12" spans="1:7" ht="33">
      <c r="A12" s="1719" t="s">
        <v>0</v>
      </c>
      <c r="B12" s="1719" t="s">
        <v>103</v>
      </c>
      <c r="C12" s="1719" t="s">
        <v>100</v>
      </c>
      <c r="D12" s="1719" t="s">
        <v>1055</v>
      </c>
      <c r="E12" s="1719" t="s">
        <v>3</v>
      </c>
      <c r="F12" s="1719" t="s">
        <v>2355</v>
      </c>
      <c r="G12" s="1719" t="s">
        <v>2354</v>
      </c>
    </row>
    <row r="13" spans="1:7">
      <c r="A13" s="1720">
        <v>1</v>
      </c>
      <c r="B13" s="1721" t="s">
        <v>2394</v>
      </c>
      <c r="C13" s="1720" t="s">
        <v>1320</v>
      </c>
      <c r="D13" s="1722">
        <v>150</v>
      </c>
      <c r="E13" s="1723">
        <v>300000</v>
      </c>
      <c r="F13" s="1724">
        <f>E13*D13</f>
        <v>45000000</v>
      </c>
      <c r="G13" s="1724">
        <f>F13</f>
        <v>45000000</v>
      </c>
    </row>
    <row r="14" spans="1:7">
      <c r="A14" s="1720">
        <v>2</v>
      </c>
      <c r="B14" s="1721" t="s">
        <v>2393</v>
      </c>
      <c r="C14" s="1720" t="s">
        <v>1320</v>
      </c>
      <c r="D14" s="1725">
        <v>150</v>
      </c>
      <c r="E14" s="1723">
        <v>500000</v>
      </c>
      <c r="F14" s="1724">
        <f>E14*D14</f>
        <v>75000000</v>
      </c>
      <c r="G14" s="1724">
        <f>F14</f>
        <v>75000000</v>
      </c>
    </row>
    <row r="15" spans="1:7">
      <c r="A15" s="1720">
        <v>3</v>
      </c>
      <c r="B15" s="1721" t="s">
        <v>2392</v>
      </c>
      <c r="C15" s="1720" t="s">
        <v>1320</v>
      </c>
      <c r="D15" s="1725">
        <v>100</v>
      </c>
      <c r="E15" s="1723">
        <v>450000</v>
      </c>
      <c r="F15" s="1724">
        <f>E15*D15</f>
        <v>45000000</v>
      </c>
      <c r="G15" s="1724">
        <f>F15</f>
        <v>45000000</v>
      </c>
    </row>
    <row r="16" spans="1:7">
      <c r="A16" s="1720">
        <v>4</v>
      </c>
      <c r="B16" s="1721" t="s">
        <v>2391</v>
      </c>
      <c r="C16" s="1720" t="s">
        <v>1320</v>
      </c>
      <c r="D16" s="1726">
        <v>100</v>
      </c>
      <c r="E16" s="1723">
        <v>700000</v>
      </c>
      <c r="F16" s="1724">
        <f>E16*D16</f>
        <v>70000000</v>
      </c>
      <c r="G16" s="1724">
        <f>F16</f>
        <v>70000000</v>
      </c>
    </row>
    <row r="17" spans="1:7">
      <c r="A17" s="1727"/>
      <c r="B17" s="1728"/>
      <c r="C17" s="1728"/>
      <c r="D17" s="1728"/>
      <c r="E17" s="1728"/>
      <c r="F17" s="1729" t="s">
        <v>2362</v>
      </c>
      <c r="G17" s="1729"/>
    </row>
    <row r="18" spans="1:7">
      <c r="A18" s="1719"/>
      <c r="B18" s="1730" t="s">
        <v>288</v>
      </c>
      <c r="C18" s="1730"/>
      <c r="D18" s="1730"/>
      <c r="E18" s="1730"/>
      <c r="F18" s="1731">
        <f>SUM(F13:F17)</f>
        <v>235000000</v>
      </c>
      <c r="G18" s="1731">
        <f>SUM(G13:G17)</f>
        <v>235000000</v>
      </c>
    </row>
    <row r="19" spans="1:7">
      <c r="A19" s="1732"/>
      <c r="B19" s="1733"/>
      <c r="C19" s="1732"/>
      <c r="D19" s="1734"/>
      <c r="E19" s="1733"/>
      <c r="F19" s="1735"/>
      <c r="G19" s="1735"/>
    </row>
    <row r="20" spans="1:7">
      <c r="A20" s="2481" t="s">
        <v>2356</v>
      </c>
      <c r="B20" s="2481"/>
      <c r="C20" s="2481"/>
      <c r="D20" s="2481"/>
      <c r="E20" s="2481"/>
      <c r="F20" s="2481"/>
      <c r="G20" s="2481"/>
    </row>
    <row r="21" spans="1:7" ht="33">
      <c r="A21" s="1719" t="s">
        <v>0</v>
      </c>
      <c r="B21" s="1719" t="s">
        <v>103</v>
      </c>
      <c r="C21" s="1719" t="s">
        <v>100</v>
      </c>
      <c r="D21" s="1719" t="s">
        <v>1055</v>
      </c>
      <c r="E21" s="1719" t="s">
        <v>3</v>
      </c>
      <c r="F21" s="1719" t="s">
        <v>2355</v>
      </c>
      <c r="G21" s="1719" t="s">
        <v>2354</v>
      </c>
    </row>
    <row r="22" spans="1:7">
      <c r="A22" s="1720">
        <v>1</v>
      </c>
      <c r="B22" s="1721" t="s">
        <v>2394</v>
      </c>
      <c r="C22" s="1720" t="s">
        <v>1320</v>
      </c>
      <c r="D22" s="1722">
        <v>150</v>
      </c>
      <c r="E22" s="1723">
        <f>E13*1.5</f>
        <v>450000</v>
      </c>
      <c r="F22" s="1724">
        <f>E22*D22</f>
        <v>67500000</v>
      </c>
      <c r="G22" s="1724">
        <f>F22</f>
        <v>67500000</v>
      </c>
    </row>
    <row r="23" spans="1:7">
      <c r="A23" s="1720">
        <v>2</v>
      </c>
      <c r="B23" s="1721" t="s">
        <v>2393</v>
      </c>
      <c r="C23" s="1720" t="s">
        <v>1320</v>
      </c>
      <c r="D23" s="1725">
        <v>150</v>
      </c>
      <c r="E23" s="1723">
        <f>E14*1.5</f>
        <v>750000</v>
      </c>
      <c r="F23" s="1724">
        <f>E23*D23</f>
        <v>112500000</v>
      </c>
      <c r="G23" s="1724">
        <f>F23</f>
        <v>112500000</v>
      </c>
    </row>
    <row r="24" spans="1:7">
      <c r="A24" s="1720">
        <v>3</v>
      </c>
      <c r="B24" s="1721" t="s">
        <v>2392</v>
      </c>
      <c r="C24" s="1720" t="s">
        <v>1320</v>
      </c>
      <c r="D24" s="1725">
        <v>100</v>
      </c>
      <c r="E24" s="1723">
        <f>E15*1.5</f>
        <v>675000</v>
      </c>
      <c r="F24" s="1724">
        <f>E24*D24</f>
        <v>67500000</v>
      </c>
      <c r="G24" s="1724">
        <f>F24</f>
        <v>67500000</v>
      </c>
    </row>
    <row r="25" spans="1:7">
      <c r="A25" s="1736">
        <v>4</v>
      </c>
      <c r="B25" s="1721" t="s">
        <v>2391</v>
      </c>
      <c r="C25" s="1720" t="s">
        <v>1320</v>
      </c>
      <c r="D25" s="1726">
        <v>100</v>
      </c>
      <c r="E25" s="1723">
        <f>E16*1.5</f>
        <v>1050000</v>
      </c>
      <c r="F25" s="1724">
        <f>E25*D25</f>
        <v>105000000</v>
      </c>
      <c r="G25" s="1724">
        <f>F25</f>
        <v>105000000</v>
      </c>
    </row>
    <row r="26" spans="1:7">
      <c r="A26" s="1719"/>
      <c r="B26" s="1730" t="s">
        <v>288</v>
      </c>
      <c r="C26" s="1730"/>
      <c r="D26" s="1730"/>
      <c r="E26" s="1730"/>
      <c r="F26" s="1731">
        <f>SUM(F22:F25)</f>
        <v>352500000</v>
      </c>
      <c r="G26" s="1731">
        <f>SUM(G22:G25)</f>
        <v>352500000</v>
      </c>
    </row>
    <row r="27" spans="1:7">
      <c r="A27" s="2487" t="s">
        <v>2348</v>
      </c>
      <c r="B27" s="2487"/>
      <c r="C27" s="2487"/>
      <c r="D27" s="2487"/>
      <c r="E27" s="2487"/>
      <c r="F27" s="2487"/>
      <c r="G27" s="2487"/>
    </row>
    <row r="28" spans="1:7">
      <c r="A28" s="2488" t="s">
        <v>406</v>
      </c>
      <c r="B28" s="2489"/>
      <c r="C28" s="2490">
        <f>F29-F30-F31</f>
        <v>46500000</v>
      </c>
      <c r="D28" s="2491"/>
      <c r="E28" s="2491"/>
      <c r="F28" s="2491"/>
      <c r="G28" s="2492"/>
    </row>
    <row r="29" spans="1:7">
      <c r="A29" s="1720">
        <v>1</v>
      </c>
      <c r="B29" s="2471" t="s">
        <v>2347</v>
      </c>
      <c r="C29" s="2472"/>
      <c r="D29" s="2472"/>
      <c r="E29" s="2473"/>
      <c r="F29" s="2474">
        <f>G26-G18</f>
        <v>117500000</v>
      </c>
      <c r="G29" s="2475"/>
    </row>
    <row r="30" spans="1:7">
      <c r="A30" s="1720">
        <v>2</v>
      </c>
      <c r="B30" s="2471" t="s">
        <v>2346</v>
      </c>
      <c r="C30" s="2472"/>
      <c r="D30" s="2472"/>
      <c r="E30" s="2473"/>
      <c r="F30" s="2474">
        <f>C7*10.5%</f>
        <v>21000000</v>
      </c>
      <c r="G30" s="2475"/>
    </row>
    <row r="31" spans="1:7">
      <c r="A31" s="1740">
        <v>3</v>
      </c>
      <c r="B31" s="1741" t="s">
        <v>2345</v>
      </c>
      <c r="C31" s="1742"/>
      <c r="D31" s="1742"/>
      <c r="E31" s="1743"/>
      <c r="F31" s="2474">
        <v>50000000</v>
      </c>
      <c r="G31" s="2475"/>
    </row>
    <row r="32" spans="1:7">
      <c r="A32" s="1727">
        <v>4</v>
      </c>
      <c r="B32" s="2476" t="s">
        <v>2344</v>
      </c>
      <c r="C32" s="2477"/>
      <c r="D32" s="2477"/>
      <c r="E32" s="2478"/>
      <c r="F32" s="2479">
        <f>C28/G26</f>
        <v>0.13191489361702127</v>
      </c>
      <c r="G32" s="2480"/>
    </row>
    <row r="33" spans="1:7" ht="17.25">
      <c r="A33" s="1744"/>
      <c r="B33" s="1745"/>
      <c r="C33" s="1746"/>
      <c r="D33" s="1746"/>
      <c r="E33" s="1746"/>
      <c r="F33" s="1746"/>
      <c r="G33" s="1746"/>
    </row>
    <row r="34" spans="1:7">
      <c r="A34" s="2615" t="s">
        <v>2390</v>
      </c>
      <c r="B34" s="2615"/>
      <c r="C34" s="2615"/>
      <c r="D34" s="2615"/>
      <c r="E34" s="2615"/>
      <c r="F34" s="2615"/>
      <c r="G34" s="2615"/>
    </row>
    <row r="35" spans="1:7">
      <c r="A35" s="2625" t="s">
        <v>593</v>
      </c>
      <c r="B35" s="2625"/>
      <c r="C35" s="2625"/>
      <c r="D35" s="2625"/>
      <c r="E35" s="2625"/>
      <c r="F35" s="2625"/>
      <c r="G35" s="2625"/>
    </row>
    <row r="36" spans="1:7">
      <c r="A36" s="2626" t="s">
        <v>2389</v>
      </c>
      <c r="B36" s="2626"/>
      <c r="C36" s="2617">
        <f>G18</f>
        <v>235000000</v>
      </c>
      <c r="D36" s="2617"/>
      <c r="E36" s="2617"/>
      <c r="F36" s="1875"/>
      <c r="G36" s="1875"/>
    </row>
    <row r="37" spans="1:7">
      <c r="A37" s="2616" t="s">
        <v>2388</v>
      </c>
      <c r="B37" s="2616"/>
      <c r="C37" s="2617">
        <f>C36-C38</f>
        <v>35000000</v>
      </c>
      <c r="D37" s="2617"/>
      <c r="E37" s="2617"/>
      <c r="F37" s="1875"/>
      <c r="G37" s="1875"/>
    </row>
    <row r="38" spans="1:7">
      <c r="A38" s="2616" t="s">
        <v>2387</v>
      </c>
      <c r="B38" s="2616"/>
      <c r="C38" s="2617">
        <f>C7</f>
        <v>200000000</v>
      </c>
      <c r="D38" s="2617"/>
      <c r="E38" s="2617"/>
      <c r="F38" s="1875"/>
      <c r="G38" s="1875"/>
    </row>
    <row r="39" spans="1:7">
      <c r="A39" s="2616" t="s">
        <v>2386</v>
      </c>
      <c r="B39" s="2616"/>
      <c r="C39" s="2618">
        <v>6</v>
      </c>
      <c r="D39" s="2618"/>
      <c r="E39" s="2618"/>
      <c r="F39" s="1875"/>
      <c r="G39" s="1875"/>
    </row>
    <row r="40" spans="1:7">
      <c r="A40" s="2619" t="s">
        <v>600</v>
      </c>
      <c r="B40" s="2619"/>
      <c r="C40" s="2619"/>
      <c r="D40" s="2619"/>
      <c r="E40" s="2619"/>
      <c r="F40" s="2619"/>
      <c r="G40" s="2619"/>
    </row>
    <row r="41" spans="1:7">
      <c r="A41" s="2620" t="s">
        <v>2385</v>
      </c>
      <c r="B41" s="2620"/>
      <c r="C41" s="2621" t="s">
        <v>2384</v>
      </c>
      <c r="D41" s="2621"/>
      <c r="E41" s="2621"/>
      <c r="F41" s="2621"/>
      <c r="G41" s="2621"/>
    </row>
    <row r="42" spans="1:7" ht="17.25">
      <c r="A42" s="2620" t="s">
        <v>2383</v>
      </c>
      <c r="B42" s="2620"/>
      <c r="C42" s="2624">
        <v>6</v>
      </c>
      <c r="D42" s="2624"/>
      <c r="E42" s="2624"/>
      <c r="F42" s="1876"/>
      <c r="G42" s="1876"/>
    </row>
    <row r="43" spans="1:7">
      <c r="A43" s="2622" t="s">
        <v>2382</v>
      </c>
      <c r="B43" s="2622"/>
      <c r="C43" s="2622"/>
      <c r="D43" s="2622"/>
      <c r="E43" s="2622"/>
      <c r="F43" s="2622"/>
      <c r="G43" s="2622"/>
    </row>
    <row r="44" spans="1:7" ht="17.25">
      <c r="A44" s="2620" t="s">
        <v>2381</v>
      </c>
      <c r="B44" s="2620"/>
      <c r="C44" s="2623">
        <f>G26</f>
        <v>352500000</v>
      </c>
      <c r="D44" s="2623"/>
      <c r="E44" s="2623"/>
      <c r="F44" s="1876"/>
      <c r="G44" s="1876"/>
    </row>
  </sheetData>
  <mergeCells count="37">
    <mergeCell ref="A35:G35"/>
    <mergeCell ref="A36:B36"/>
    <mergeCell ref="C36:E36"/>
    <mergeCell ref="A37:B37"/>
    <mergeCell ref="C37:E37"/>
    <mergeCell ref="A41:B41"/>
    <mergeCell ref="C41:G41"/>
    <mergeCell ref="A43:G43"/>
    <mergeCell ref="A44:B44"/>
    <mergeCell ref="C44:E44"/>
    <mergeCell ref="A42:B42"/>
    <mergeCell ref="C42:E42"/>
    <mergeCell ref="A38:B38"/>
    <mergeCell ref="C38:E38"/>
    <mergeCell ref="A39:B39"/>
    <mergeCell ref="C39:E39"/>
    <mergeCell ref="A40:G40"/>
    <mergeCell ref="A34:G34"/>
    <mergeCell ref="A11:G11"/>
    <mergeCell ref="A20:G20"/>
    <mergeCell ref="A27:G27"/>
    <mergeCell ref="A28:B28"/>
    <mergeCell ref="C28:G28"/>
    <mergeCell ref="B29:E29"/>
    <mergeCell ref="F29:G29"/>
    <mergeCell ref="B30:E30"/>
    <mergeCell ref="F30:G30"/>
    <mergeCell ref="F31:G31"/>
    <mergeCell ref="B32:E32"/>
    <mergeCell ref="F32:G32"/>
    <mergeCell ref="A10:G10"/>
    <mergeCell ref="C5:E5"/>
    <mergeCell ref="A6:B6"/>
    <mergeCell ref="C6:E6"/>
    <mergeCell ref="A7:B7"/>
    <mergeCell ref="C7:E7"/>
    <mergeCell ref="C8:E8"/>
  </mergeCells>
  <pageMargins left="0.85" right="0.45" top="0.42" bottom="0.53" header="0.3" footer="0.3"/>
  <pageSetup scale="54"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21"/>
  <sheetViews>
    <sheetView workbookViewId="0">
      <selection activeCell="F8" sqref="F8"/>
    </sheetView>
  </sheetViews>
  <sheetFormatPr defaultRowHeight="16.5"/>
  <cols>
    <col min="1" max="1" width="44.140625" style="6" customWidth="1"/>
    <col min="2" max="2" width="22.85546875" style="6" customWidth="1"/>
    <col min="3" max="3" width="18.85546875" style="6" customWidth="1"/>
    <col min="4" max="16384" width="9.140625" style="6"/>
  </cols>
  <sheetData>
    <row r="1" spans="1:7">
      <c r="C1" s="6" t="s">
        <v>367</v>
      </c>
      <c r="G1" s="308" t="s">
        <v>1020</v>
      </c>
    </row>
    <row r="3" spans="1:7">
      <c r="A3" s="84" t="s">
        <v>64</v>
      </c>
      <c r="B3" s="53" t="s">
        <v>44</v>
      </c>
      <c r="C3" s="53" t="s">
        <v>45</v>
      </c>
    </row>
    <row r="4" spans="1:7">
      <c r="A4" s="131" t="s">
        <v>46</v>
      </c>
      <c r="B4" s="132">
        <f>B5</f>
        <v>16800000</v>
      </c>
      <c r="C4" s="132">
        <f>C5</f>
        <v>201600000</v>
      </c>
    </row>
    <row r="5" spans="1:7">
      <c r="A5" s="133" t="s">
        <v>353</v>
      </c>
      <c r="B5" s="134">
        <f>28*6*100000</f>
        <v>16800000</v>
      </c>
      <c r="C5" s="134">
        <f>B5*12</f>
        <v>201600000</v>
      </c>
    </row>
    <row r="6" spans="1:7">
      <c r="A6" s="131" t="s">
        <v>310</v>
      </c>
      <c r="B6" s="132">
        <f>SUM(B7:B13)</f>
        <v>13368333.333333334</v>
      </c>
      <c r="C6" s="132">
        <f>SUM(C7:C13)</f>
        <v>172420000</v>
      </c>
    </row>
    <row r="7" spans="1:7">
      <c r="A7" s="133" t="s">
        <v>311</v>
      </c>
      <c r="B7" s="2627">
        <f>28*6*10000</f>
        <v>1680000</v>
      </c>
      <c r="C7" s="2627">
        <f>B7*12</f>
        <v>20160000</v>
      </c>
    </row>
    <row r="8" spans="1:7">
      <c r="A8" s="133" t="s">
        <v>354</v>
      </c>
      <c r="B8" s="2628"/>
      <c r="C8" s="2628"/>
    </row>
    <row r="9" spans="1:7">
      <c r="A9" s="133" t="s">
        <v>313</v>
      </c>
      <c r="B9" s="134">
        <v>3000000</v>
      </c>
      <c r="C9" s="134">
        <f>B9*12</f>
        <v>36000000</v>
      </c>
    </row>
    <row r="10" spans="1:7">
      <c r="A10" s="133" t="s">
        <v>68</v>
      </c>
      <c r="B10" s="135">
        <f>B17/B21</f>
        <v>5771666.666666667</v>
      </c>
      <c r="C10" s="134">
        <f>B10*12</f>
        <v>69260000</v>
      </c>
    </row>
    <row r="11" spans="1:7">
      <c r="A11" s="133" t="s">
        <v>70</v>
      </c>
      <c r="B11" s="136">
        <f>B18*B20/12</f>
        <v>1916666.6666666667</v>
      </c>
      <c r="C11" s="134">
        <f>B11*12</f>
        <v>23000000</v>
      </c>
    </row>
    <row r="12" spans="1:7">
      <c r="A12" s="133" t="s">
        <v>71</v>
      </c>
      <c r="B12" s="134">
        <v>1000000</v>
      </c>
      <c r="C12" s="134">
        <f>B12*12</f>
        <v>12000000</v>
      </c>
    </row>
    <row r="13" spans="1:7">
      <c r="A13" s="133" t="s">
        <v>86</v>
      </c>
      <c r="B13" s="137" t="s">
        <v>355</v>
      </c>
      <c r="C13" s="134">
        <f>B13*12</f>
        <v>12000000</v>
      </c>
    </row>
    <row r="14" spans="1:7">
      <c r="A14" s="138" t="s">
        <v>60</v>
      </c>
      <c r="B14" s="139">
        <f>B4-B6</f>
        <v>3431666.666666666</v>
      </c>
      <c r="C14" s="139">
        <f>C4-C6</f>
        <v>29180000</v>
      </c>
    </row>
    <row r="17" spans="1:3">
      <c r="A17" s="6" t="s">
        <v>356</v>
      </c>
      <c r="B17" s="8">
        <v>346300000</v>
      </c>
    </row>
    <row r="18" spans="1:3">
      <c r="A18" s="140" t="s">
        <v>357</v>
      </c>
      <c r="B18" s="8">
        <v>200000000</v>
      </c>
    </row>
    <row r="19" spans="1:3">
      <c r="A19" s="140" t="s">
        <v>26</v>
      </c>
      <c r="B19" s="8">
        <f>B17-B18</f>
        <v>146300000</v>
      </c>
      <c r="C19" s="15">
        <f>B19/B17</f>
        <v>0.42246606988160557</v>
      </c>
    </row>
    <row r="20" spans="1:3">
      <c r="A20" s="140" t="s">
        <v>13</v>
      </c>
      <c r="B20" s="141">
        <v>0.115</v>
      </c>
    </row>
    <row r="21" spans="1:3">
      <c r="A21" s="140" t="s">
        <v>6</v>
      </c>
      <c r="B21" s="8">
        <v>60</v>
      </c>
      <c r="C21" s="6" t="s">
        <v>358</v>
      </c>
    </row>
  </sheetData>
  <mergeCells count="2">
    <mergeCell ref="B7:B8"/>
    <mergeCell ref="C7:C8"/>
  </mergeCells>
  <pageMargins left="0.7" right="0.7" top="0.75" bottom="0.75" header="0.3" footer="0.3"/>
  <pageSetup paperSize="9" orientation="portrait" verticalDpi="0"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dimension ref="A1:G27"/>
  <sheetViews>
    <sheetView workbookViewId="0">
      <selection activeCell="C2" sqref="C2"/>
    </sheetView>
  </sheetViews>
  <sheetFormatPr defaultRowHeight="16.5"/>
  <cols>
    <col min="1" max="1" width="3.85546875" style="1888" bestFit="1" customWidth="1"/>
    <col min="2" max="2" width="34.7109375" style="1888" bestFit="1" customWidth="1"/>
    <col min="3" max="3" width="8.140625" style="1888" bestFit="1" customWidth="1"/>
    <col min="4" max="4" width="10.5703125" style="1888" bestFit="1" customWidth="1"/>
    <col min="5" max="5" width="12.140625" style="1888" customWidth="1"/>
    <col min="6" max="6" width="17.5703125" style="1888" customWidth="1"/>
    <col min="7" max="256" width="9.140625" style="1888"/>
    <col min="257" max="257" width="3.85546875" style="1888" bestFit="1" customWidth="1"/>
    <col min="258" max="258" width="34.7109375" style="1888" bestFit="1" customWidth="1"/>
    <col min="259" max="259" width="8.140625" style="1888" bestFit="1" customWidth="1"/>
    <col min="260" max="260" width="10.5703125" style="1888" bestFit="1" customWidth="1"/>
    <col min="261" max="261" width="12.140625" style="1888" customWidth="1"/>
    <col min="262" max="262" width="17.5703125" style="1888" customWidth="1"/>
    <col min="263" max="512" width="9.140625" style="1888"/>
    <col min="513" max="513" width="3.85546875" style="1888" bestFit="1" customWidth="1"/>
    <col min="514" max="514" width="34.7109375" style="1888" bestFit="1" customWidth="1"/>
    <col min="515" max="515" width="8.140625" style="1888" bestFit="1" customWidth="1"/>
    <col min="516" max="516" width="10.5703125" style="1888" bestFit="1" customWidth="1"/>
    <col min="517" max="517" width="12.140625" style="1888" customWidth="1"/>
    <col min="518" max="518" width="17.5703125" style="1888" customWidth="1"/>
    <col min="519" max="768" width="9.140625" style="1888"/>
    <col min="769" max="769" width="3.85546875" style="1888" bestFit="1" customWidth="1"/>
    <col min="770" max="770" width="34.7109375" style="1888" bestFit="1" customWidth="1"/>
    <col min="771" max="771" width="8.140625" style="1888" bestFit="1" customWidth="1"/>
    <col min="772" max="772" width="10.5703125" style="1888" bestFit="1" customWidth="1"/>
    <col min="773" max="773" width="12.140625" style="1888" customWidth="1"/>
    <col min="774" max="774" width="17.5703125" style="1888" customWidth="1"/>
    <col min="775" max="1024" width="9.140625" style="1888"/>
    <col min="1025" max="1025" width="3.85546875" style="1888" bestFit="1" customWidth="1"/>
    <col min="1026" max="1026" width="34.7109375" style="1888" bestFit="1" customWidth="1"/>
    <col min="1027" max="1027" width="8.140625" style="1888" bestFit="1" customWidth="1"/>
    <col min="1028" max="1028" width="10.5703125" style="1888" bestFit="1" customWidth="1"/>
    <col min="1029" max="1029" width="12.140625" style="1888" customWidth="1"/>
    <col min="1030" max="1030" width="17.5703125" style="1888" customWidth="1"/>
    <col min="1031" max="1280" width="9.140625" style="1888"/>
    <col min="1281" max="1281" width="3.85546875" style="1888" bestFit="1" customWidth="1"/>
    <col min="1282" max="1282" width="34.7109375" style="1888" bestFit="1" customWidth="1"/>
    <col min="1283" max="1283" width="8.140625" style="1888" bestFit="1" customWidth="1"/>
    <col min="1284" max="1284" width="10.5703125" style="1888" bestFit="1" customWidth="1"/>
    <col min="1285" max="1285" width="12.140625" style="1888" customWidth="1"/>
    <col min="1286" max="1286" width="17.5703125" style="1888" customWidth="1"/>
    <col min="1287" max="1536" width="9.140625" style="1888"/>
    <col min="1537" max="1537" width="3.85546875" style="1888" bestFit="1" customWidth="1"/>
    <col min="1538" max="1538" width="34.7109375" style="1888" bestFit="1" customWidth="1"/>
    <col min="1539" max="1539" width="8.140625" style="1888" bestFit="1" customWidth="1"/>
    <col min="1540" max="1540" width="10.5703125" style="1888" bestFit="1" customWidth="1"/>
    <col min="1541" max="1541" width="12.140625" style="1888" customWidth="1"/>
    <col min="1542" max="1542" width="17.5703125" style="1888" customWidth="1"/>
    <col min="1543" max="1792" width="9.140625" style="1888"/>
    <col min="1793" max="1793" width="3.85546875" style="1888" bestFit="1" customWidth="1"/>
    <col min="1794" max="1794" width="34.7109375" style="1888" bestFit="1" customWidth="1"/>
    <col min="1795" max="1795" width="8.140625" style="1888" bestFit="1" customWidth="1"/>
    <col min="1796" max="1796" width="10.5703125" style="1888" bestFit="1" customWidth="1"/>
    <col min="1797" max="1797" width="12.140625" style="1888" customWidth="1"/>
    <col min="1798" max="1798" width="17.5703125" style="1888" customWidth="1"/>
    <col min="1799" max="2048" width="9.140625" style="1888"/>
    <col min="2049" max="2049" width="3.85546875" style="1888" bestFit="1" customWidth="1"/>
    <col min="2050" max="2050" width="34.7109375" style="1888" bestFit="1" customWidth="1"/>
    <col min="2051" max="2051" width="8.140625" style="1888" bestFit="1" customWidth="1"/>
    <col min="2052" max="2052" width="10.5703125" style="1888" bestFit="1" customWidth="1"/>
    <col min="2053" max="2053" width="12.140625" style="1888" customWidth="1"/>
    <col min="2054" max="2054" width="17.5703125" style="1888" customWidth="1"/>
    <col min="2055" max="2304" width="9.140625" style="1888"/>
    <col min="2305" max="2305" width="3.85546875" style="1888" bestFit="1" customWidth="1"/>
    <col min="2306" max="2306" width="34.7109375" style="1888" bestFit="1" customWidth="1"/>
    <col min="2307" max="2307" width="8.140625" style="1888" bestFit="1" customWidth="1"/>
    <col min="2308" max="2308" width="10.5703125" style="1888" bestFit="1" customWidth="1"/>
    <col min="2309" max="2309" width="12.140625" style="1888" customWidth="1"/>
    <col min="2310" max="2310" width="17.5703125" style="1888" customWidth="1"/>
    <col min="2311" max="2560" width="9.140625" style="1888"/>
    <col min="2561" max="2561" width="3.85546875" style="1888" bestFit="1" customWidth="1"/>
    <col min="2562" max="2562" width="34.7109375" style="1888" bestFit="1" customWidth="1"/>
    <col min="2563" max="2563" width="8.140625" style="1888" bestFit="1" customWidth="1"/>
    <col min="2564" max="2564" width="10.5703125" style="1888" bestFit="1" customWidth="1"/>
    <col min="2565" max="2565" width="12.140625" style="1888" customWidth="1"/>
    <col min="2566" max="2566" width="17.5703125" style="1888" customWidth="1"/>
    <col min="2567" max="2816" width="9.140625" style="1888"/>
    <col min="2817" max="2817" width="3.85546875" style="1888" bestFit="1" customWidth="1"/>
    <col min="2818" max="2818" width="34.7109375" style="1888" bestFit="1" customWidth="1"/>
    <col min="2819" max="2819" width="8.140625" style="1888" bestFit="1" customWidth="1"/>
    <col min="2820" max="2820" width="10.5703125" style="1888" bestFit="1" customWidth="1"/>
    <col min="2821" max="2821" width="12.140625" style="1888" customWidth="1"/>
    <col min="2822" max="2822" width="17.5703125" style="1888" customWidth="1"/>
    <col min="2823" max="3072" width="9.140625" style="1888"/>
    <col min="3073" max="3073" width="3.85546875" style="1888" bestFit="1" customWidth="1"/>
    <col min="3074" max="3074" width="34.7109375" style="1888" bestFit="1" customWidth="1"/>
    <col min="3075" max="3075" width="8.140625" style="1888" bestFit="1" customWidth="1"/>
    <col min="3076" max="3076" width="10.5703125" style="1888" bestFit="1" customWidth="1"/>
    <col min="3077" max="3077" width="12.140625" style="1888" customWidth="1"/>
    <col min="3078" max="3078" width="17.5703125" style="1888" customWidth="1"/>
    <col min="3079" max="3328" width="9.140625" style="1888"/>
    <col min="3329" max="3329" width="3.85546875" style="1888" bestFit="1" customWidth="1"/>
    <col min="3330" max="3330" width="34.7109375" style="1888" bestFit="1" customWidth="1"/>
    <col min="3331" max="3331" width="8.140625" style="1888" bestFit="1" customWidth="1"/>
    <col min="3332" max="3332" width="10.5703125" style="1888" bestFit="1" customWidth="1"/>
    <col min="3333" max="3333" width="12.140625" style="1888" customWidth="1"/>
    <col min="3334" max="3334" width="17.5703125" style="1888" customWidth="1"/>
    <col min="3335" max="3584" width="9.140625" style="1888"/>
    <col min="3585" max="3585" width="3.85546875" style="1888" bestFit="1" customWidth="1"/>
    <col min="3586" max="3586" width="34.7109375" style="1888" bestFit="1" customWidth="1"/>
    <col min="3587" max="3587" width="8.140625" style="1888" bestFit="1" customWidth="1"/>
    <col min="3588" max="3588" width="10.5703125" style="1888" bestFit="1" customWidth="1"/>
    <col min="3589" max="3589" width="12.140625" style="1888" customWidth="1"/>
    <col min="3590" max="3590" width="17.5703125" style="1888" customWidth="1"/>
    <col min="3591" max="3840" width="9.140625" style="1888"/>
    <col min="3841" max="3841" width="3.85546875" style="1888" bestFit="1" customWidth="1"/>
    <col min="3842" max="3842" width="34.7109375" style="1888" bestFit="1" customWidth="1"/>
    <col min="3843" max="3843" width="8.140625" style="1888" bestFit="1" customWidth="1"/>
    <col min="3844" max="3844" width="10.5703125" style="1888" bestFit="1" customWidth="1"/>
    <col min="3845" max="3845" width="12.140625" style="1888" customWidth="1"/>
    <col min="3846" max="3846" width="17.5703125" style="1888" customWidth="1"/>
    <col min="3847" max="4096" width="9.140625" style="1888"/>
    <col min="4097" max="4097" width="3.85546875" style="1888" bestFit="1" customWidth="1"/>
    <col min="4098" max="4098" width="34.7109375" style="1888" bestFit="1" customWidth="1"/>
    <col min="4099" max="4099" width="8.140625" style="1888" bestFit="1" customWidth="1"/>
    <col min="4100" max="4100" width="10.5703125" style="1888" bestFit="1" customWidth="1"/>
    <col min="4101" max="4101" width="12.140625" style="1888" customWidth="1"/>
    <col min="4102" max="4102" width="17.5703125" style="1888" customWidth="1"/>
    <col min="4103" max="4352" width="9.140625" style="1888"/>
    <col min="4353" max="4353" width="3.85546875" style="1888" bestFit="1" customWidth="1"/>
    <col min="4354" max="4354" width="34.7109375" style="1888" bestFit="1" customWidth="1"/>
    <col min="4355" max="4355" width="8.140625" style="1888" bestFit="1" customWidth="1"/>
    <col min="4356" max="4356" width="10.5703125" style="1888" bestFit="1" customWidth="1"/>
    <col min="4357" max="4357" width="12.140625" style="1888" customWidth="1"/>
    <col min="4358" max="4358" width="17.5703125" style="1888" customWidth="1"/>
    <col min="4359" max="4608" width="9.140625" style="1888"/>
    <col min="4609" max="4609" width="3.85546875" style="1888" bestFit="1" customWidth="1"/>
    <col min="4610" max="4610" width="34.7109375" style="1888" bestFit="1" customWidth="1"/>
    <col min="4611" max="4611" width="8.140625" style="1888" bestFit="1" customWidth="1"/>
    <col min="4612" max="4612" width="10.5703125" style="1888" bestFit="1" customWidth="1"/>
    <col min="4613" max="4613" width="12.140625" style="1888" customWidth="1"/>
    <col min="4614" max="4614" width="17.5703125" style="1888" customWidth="1"/>
    <col min="4615" max="4864" width="9.140625" style="1888"/>
    <col min="4865" max="4865" width="3.85546875" style="1888" bestFit="1" customWidth="1"/>
    <col min="4866" max="4866" width="34.7109375" style="1888" bestFit="1" customWidth="1"/>
    <col min="4867" max="4867" width="8.140625" style="1888" bestFit="1" customWidth="1"/>
    <col min="4868" max="4868" width="10.5703125" style="1888" bestFit="1" customWidth="1"/>
    <col min="4869" max="4869" width="12.140625" style="1888" customWidth="1"/>
    <col min="4870" max="4870" width="17.5703125" style="1888" customWidth="1"/>
    <col min="4871" max="5120" width="9.140625" style="1888"/>
    <col min="5121" max="5121" width="3.85546875" style="1888" bestFit="1" customWidth="1"/>
    <col min="5122" max="5122" width="34.7109375" style="1888" bestFit="1" customWidth="1"/>
    <col min="5123" max="5123" width="8.140625" style="1888" bestFit="1" customWidth="1"/>
    <col min="5124" max="5124" width="10.5703125" style="1888" bestFit="1" customWidth="1"/>
    <col min="5125" max="5125" width="12.140625" style="1888" customWidth="1"/>
    <col min="5126" max="5126" width="17.5703125" style="1888" customWidth="1"/>
    <col min="5127" max="5376" width="9.140625" style="1888"/>
    <col min="5377" max="5377" width="3.85546875" style="1888" bestFit="1" customWidth="1"/>
    <col min="5378" max="5378" width="34.7109375" style="1888" bestFit="1" customWidth="1"/>
    <col min="5379" max="5379" width="8.140625" style="1888" bestFit="1" customWidth="1"/>
    <col min="5380" max="5380" width="10.5703125" style="1888" bestFit="1" customWidth="1"/>
    <col min="5381" max="5381" width="12.140625" style="1888" customWidth="1"/>
    <col min="5382" max="5382" width="17.5703125" style="1888" customWidth="1"/>
    <col min="5383" max="5632" width="9.140625" style="1888"/>
    <col min="5633" max="5633" width="3.85546875" style="1888" bestFit="1" customWidth="1"/>
    <col min="5634" max="5634" width="34.7109375" style="1888" bestFit="1" customWidth="1"/>
    <col min="5635" max="5635" width="8.140625" style="1888" bestFit="1" customWidth="1"/>
    <col min="5636" max="5636" width="10.5703125" style="1888" bestFit="1" customWidth="1"/>
    <col min="5637" max="5637" width="12.140625" style="1888" customWidth="1"/>
    <col min="5638" max="5638" width="17.5703125" style="1888" customWidth="1"/>
    <col min="5639" max="5888" width="9.140625" style="1888"/>
    <col min="5889" max="5889" width="3.85546875" style="1888" bestFit="1" customWidth="1"/>
    <col min="5890" max="5890" width="34.7109375" style="1888" bestFit="1" customWidth="1"/>
    <col min="5891" max="5891" width="8.140625" style="1888" bestFit="1" customWidth="1"/>
    <col min="5892" max="5892" width="10.5703125" style="1888" bestFit="1" customWidth="1"/>
    <col min="5893" max="5893" width="12.140625" style="1888" customWidth="1"/>
    <col min="5894" max="5894" width="17.5703125" style="1888" customWidth="1"/>
    <col min="5895" max="6144" width="9.140625" style="1888"/>
    <col min="6145" max="6145" width="3.85546875" style="1888" bestFit="1" customWidth="1"/>
    <col min="6146" max="6146" width="34.7109375" style="1888" bestFit="1" customWidth="1"/>
    <col min="6147" max="6147" width="8.140625" style="1888" bestFit="1" customWidth="1"/>
    <col min="6148" max="6148" width="10.5703125" style="1888" bestFit="1" customWidth="1"/>
    <col min="6149" max="6149" width="12.140625" style="1888" customWidth="1"/>
    <col min="6150" max="6150" width="17.5703125" style="1888" customWidth="1"/>
    <col min="6151" max="6400" width="9.140625" style="1888"/>
    <col min="6401" max="6401" width="3.85546875" style="1888" bestFit="1" customWidth="1"/>
    <col min="6402" max="6402" width="34.7109375" style="1888" bestFit="1" customWidth="1"/>
    <col min="6403" max="6403" width="8.140625" style="1888" bestFit="1" customWidth="1"/>
    <col min="6404" max="6404" width="10.5703125" style="1888" bestFit="1" customWidth="1"/>
    <col min="6405" max="6405" width="12.140625" style="1888" customWidth="1"/>
    <col min="6406" max="6406" width="17.5703125" style="1888" customWidth="1"/>
    <col min="6407" max="6656" width="9.140625" style="1888"/>
    <col min="6657" max="6657" width="3.85546875" style="1888" bestFit="1" customWidth="1"/>
    <col min="6658" max="6658" width="34.7109375" style="1888" bestFit="1" customWidth="1"/>
    <col min="6659" max="6659" width="8.140625" style="1888" bestFit="1" customWidth="1"/>
    <col min="6660" max="6660" width="10.5703125" style="1888" bestFit="1" customWidth="1"/>
    <col min="6661" max="6661" width="12.140625" style="1888" customWidth="1"/>
    <col min="6662" max="6662" width="17.5703125" style="1888" customWidth="1"/>
    <col min="6663" max="6912" width="9.140625" style="1888"/>
    <col min="6913" max="6913" width="3.85546875" style="1888" bestFit="1" customWidth="1"/>
    <col min="6914" max="6914" width="34.7109375" style="1888" bestFit="1" customWidth="1"/>
    <col min="6915" max="6915" width="8.140625" style="1888" bestFit="1" customWidth="1"/>
    <col min="6916" max="6916" width="10.5703125" style="1888" bestFit="1" customWidth="1"/>
    <col min="6917" max="6917" width="12.140625" style="1888" customWidth="1"/>
    <col min="6918" max="6918" width="17.5703125" style="1888" customWidth="1"/>
    <col min="6919" max="7168" width="9.140625" style="1888"/>
    <col min="7169" max="7169" width="3.85546875" style="1888" bestFit="1" customWidth="1"/>
    <col min="7170" max="7170" width="34.7109375" style="1888" bestFit="1" customWidth="1"/>
    <col min="7171" max="7171" width="8.140625" style="1888" bestFit="1" customWidth="1"/>
    <col min="7172" max="7172" width="10.5703125" style="1888" bestFit="1" customWidth="1"/>
    <col min="7173" max="7173" width="12.140625" style="1888" customWidth="1"/>
    <col min="7174" max="7174" width="17.5703125" style="1888" customWidth="1"/>
    <col min="7175" max="7424" width="9.140625" style="1888"/>
    <col min="7425" max="7425" width="3.85546875" style="1888" bestFit="1" customWidth="1"/>
    <col min="7426" max="7426" width="34.7109375" style="1888" bestFit="1" customWidth="1"/>
    <col min="7427" max="7427" width="8.140625" style="1888" bestFit="1" customWidth="1"/>
    <col min="7428" max="7428" width="10.5703125" style="1888" bestFit="1" customWidth="1"/>
    <col min="7429" max="7429" width="12.140625" style="1888" customWidth="1"/>
    <col min="7430" max="7430" width="17.5703125" style="1888" customWidth="1"/>
    <col min="7431" max="7680" width="9.140625" style="1888"/>
    <col min="7681" max="7681" width="3.85546875" style="1888" bestFit="1" customWidth="1"/>
    <col min="7682" max="7682" width="34.7109375" style="1888" bestFit="1" customWidth="1"/>
    <col min="7683" max="7683" width="8.140625" style="1888" bestFit="1" customWidth="1"/>
    <col min="7684" max="7684" width="10.5703125" style="1888" bestFit="1" customWidth="1"/>
    <col min="7685" max="7685" width="12.140625" style="1888" customWidth="1"/>
    <col min="7686" max="7686" width="17.5703125" style="1888" customWidth="1"/>
    <col min="7687" max="7936" width="9.140625" style="1888"/>
    <col min="7937" max="7937" width="3.85546875" style="1888" bestFit="1" customWidth="1"/>
    <col min="7938" max="7938" width="34.7109375" style="1888" bestFit="1" customWidth="1"/>
    <col min="7939" max="7939" width="8.140625" style="1888" bestFit="1" customWidth="1"/>
    <col min="7940" max="7940" width="10.5703125" style="1888" bestFit="1" customWidth="1"/>
    <col min="7941" max="7941" width="12.140625" style="1888" customWidth="1"/>
    <col min="7942" max="7942" width="17.5703125" style="1888" customWidth="1"/>
    <col min="7943" max="8192" width="9.140625" style="1888"/>
    <col min="8193" max="8193" width="3.85546875" style="1888" bestFit="1" customWidth="1"/>
    <col min="8194" max="8194" width="34.7109375" style="1888" bestFit="1" customWidth="1"/>
    <col min="8195" max="8195" width="8.140625" style="1888" bestFit="1" customWidth="1"/>
    <col min="8196" max="8196" width="10.5703125" style="1888" bestFit="1" customWidth="1"/>
    <col min="8197" max="8197" width="12.140625" style="1888" customWidth="1"/>
    <col min="8198" max="8198" width="17.5703125" style="1888" customWidth="1"/>
    <col min="8199" max="8448" width="9.140625" style="1888"/>
    <col min="8449" max="8449" width="3.85546875" style="1888" bestFit="1" customWidth="1"/>
    <col min="8450" max="8450" width="34.7109375" style="1888" bestFit="1" customWidth="1"/>
    <col min="8451" max="8451" width="8.140625" style="1888" bestFit="1" customWidth="1"/>
    <col min="8452" max="8452" width="10.5703125" style="1888" bestFit="1" customWidth="1"/>
    <col min="8453" max="8453" width="12.140625" style="1888" customWidth="1"/>
    <col min="8454" max="8454" width="17.5703125" style="1888" customWidth="1"/>
    <col min="8455" max="8704" width="9.140625" style="1888"/>
    <col min="8705" max="8705" width="3.85546875" style="1888" bestFit="1" customWidth="1"/>
    <col min="8706" max="8706" width="34.7109375" style="1888" bestFit="1" customWidth="1"/>
    <col min="8707" max="8707" width="8.140625" style="1888" bestFit="1" customWidth="1"/>
    <col min="8708" max="8708" width="10.5703125" style="1888" bestFit="1" customWidth="1"/>
    <col min="8709" max="8709" width="12.140625" style="1888" customWidth="1"/>
    <col min="8710" max="8710" width="17.5703125" style="1888" customWidth="1"/>
    <col min="8711" max="8960" width="9.140625" style="1888"/>
    <col min="8961" max="8961" width="3.85546875" style="1888" bestFit="1" customWidth="1"/>
    <col min="8962" max="8962" width="34.7109375" style="1888" bestFit="1" customWidth="1"/>
    <col min="8963" max="8963" width="8.140625" style="1888" bestFit="1" customWidth="1"/>
    <col min="8964" max="8964" width="10.5703125" style="1888" bestFit="1" customWidth="1"/>
    <col min="8965" max="8965" width="12.140625" style="1888" customWidth="1"/>
    <col min="8966" max="8966" width="17.5703125" style="1888" customWidth="1"/>
    <col min="8967" max="9216" width="9.140625" style="1888"/>
    <col min="9217" max="9217" width="3.85546875" style="1888" bestFit="1" customWidth="1"/>
    <col min="9218" max="9218" width="34.7109375" style="1888" bestFit="1" customWidth="1"/>
    <col min="9219" max="9219" width="8.140625" style="1888" bestFit="1" customWidth="1"/>
    <col min="9220" max="9220" width="10.5703125" style="1888" bestFit="1" customWidth="1"/>
    <col min="9221" max="9221" width="12.140625" style="1888" customWidth="1"/>
    <col min="9222" max="9222" width="17.5703125" style="1888" customWidth="1"/>
    <col min="9223" max="9472" width="9.140625" style="1888"/>
    <col min="9473" max="9473" width="3.85546875" style="1888" bestFit="1" customWidth="1"/>
    <col min="9474" max="9474" width="34.7109375" style="1888" bestFit="1" customWidth="1"/>
    <col min="9475" max="9475" width="8.140625" style="1888" bestFit="1" customWidth="1"/>
    <col min="9476" max="9476" width="10.5703125" style="1888" bestFit="1" customWidth="1"/>
    <col min="9477" max="9477" width="12.140625" style="1888" customWidth="1"/>
    <col min="9478" max="9478" width="17.5703125" style="1888" customWidth="1"/>
    <col min="9479" max="9728" width="9.140625" style="1888"/>
    <col min="9729" max="9729" width="3.85546875" style="1888" bestFit="1" customWidth="1"/>
    <col min="9730" max="9730" width="34.7109375" style="1888" bestFit="1" customWidth="1"/>
    <col min="9731" max="9731" width="8.140625" style="1888" bestFit="1" customWidth="1"/>
    <col min="9732" max="9732" width="10.5703125" style="1888" bestFit="1" customWidth="1"/>
    <col min="9733" max="9733" width="12.140625" style="1888" customWidth="1"/>
    <col min="9734" max="9734" width="17.5703125" style="1888" customWidth="1"/>
    <col min="9735" max="9984" width="9.140625" style="1888"/>
    <col min="9985" max="9985" width="3.85546875" style="1888" bestFit="1" customWidth="1"/>
    <col min="9986" max="9986" width="34.7109375" style="1888" bestFit="1" customWidth="1"/>
    <col min="9987" max="9987" width="8.140625" style="1888" bestFit="1" customWidth="1"/>
    <col min="9988" max="9988" width="10.5703125" style="1888" bestFit="1" customWidth="1"/>
    <col min="9989" max="9989" width="12.140625" style="1888" customWidth="1"/>
    <col min="9990" max="9990" width="17.5703125" style="1888" customWidth="1"/>
    <col min="9991" max="10240" width="9.140625" style="1888"/>
    <col min="10241" max="10241" width="3.85546875" style="1888" bestFit="1" customWidth="1"/>
    <col min="10242" max="10242" width="34.7109375" style="1888" bestFit="1" customWidth="1"/>
    <col min="10243" max="10243" width="8.140625" style="1888" bestFit="1" customWidth="1"/>
    <col min="10244" max="10244" width="10.5703125" style="1888" bestFit="1" customWidth="1"/>
    <col min="10245" max="10245" width="12.140625" style="1888" customWidth="1"/>
    <col min="10246" max="10246" width="17.5703125" style="1888" customWidth="1"/>
    <col min="10247" max="10496" width="9.140625" style="1888"/>
    <col min="10497" max="10497" width="3.85546875" style="1888" bestFit="1" customWidth="1"/>
    <col min="10498" max="10498" width="34.7109375" style="1888" bestFit="1" customWidth="1"/>
    <col min="10499" max="10499" width="8.140625" style="1888" bestFit="1" customWidth="1"/>
    <col min="10500" max="10500" width="10.5703125" style="1888" bestFit="1" customWidth="1"/>
    <col min="10501" max="10501" width="12.140625" style="1888" customWidth="1"/>
    <col min="10502" max="10502" width="17.5703125" style="1888" customWidth="1"/>
    <col min="10503" max="10752" width="9.140625" style="1888"/>
    <col min="10753" max="10753" width="3.85546875" style="1888" bestFit="1" customWidth="1"/>
    <col min="10754" max="10754" width="34.7109375" style="1888" bestFit="1" customWidth="1"/>
    <col min="10755" max="10755" width="8.140625" style="1888" bestFit="1" customWidth="1"/>
    <col min="10756" max="10756" width="10.5703125" style="1888" bestFit="1" customWidth="1"/>
    <col min="10757" max="10757" width="12.140625" style="1888" customWidth="1"/>
    <col min="10758" max="10758" width="17.5703125" style="1888" customWidth="1"/>
    <col min="10759" max="11008" width="9.140625" style="1888"/>
    <col min="11009" max="11009" width="3.85546875" style="1888" bestFit="1" customWidth="1"/>
    <col min="11010" max="11010" width="34.7109375" style="1888" bestFit="1" customWidth="1"/>
    <col min="11011" max="11011" width="8.140625" style="1888" bestFit="1" customWidth="1"/>
    <col min="11012" max="11012" width="10.5703125" style="1888" bestFit="1" customWidth="1"/>
    <col min="11013" max="11013" width="12.140625" style="1888" customWidth="1"/>
    <col min="11014" max="11014" width="17.5703125" style="1888" customWidth="1"/>
    <col min="11015" max="11264" width="9.140625" style="1888"/>
    <col min="11265" max="11265" width="3.85546875" style="1888" bestFit="1" customWidth="1"/>
    <col min="11266" max="11266" width="34.7109375" style="1888" bestFit="1" customWidth="1"/>
    <col min="11267" max="11267" width="8.140625" style="1888" bestFit="1" customWidth="1"/>
    <col min="11268" max="11268" width="10.5703125" style="1888" bestFit="1" customWidth="1"/>
    <col min="11269" max="11269" width="12.140625" style="1888" customWidth="1"/>
    <col min="11270" max="11270" width="17.5703125" style="1888" customWidth="1"/>
    <col min="11271" max="11520" width="9.140625" style="1888"/>
    <col min="11521" max="11521" width="3.85546875" style="1888" bestFit="1" customWidth="1"/>
    <col min="11522" max="11522" width="34.7109375" style="1888" bestFit="1" customWidth="1"/>
    <col min="11523" max="11523" width="8.140625" style="1888" bestFit="1" customWidth="1"/>
    <col min="11524" max="11524" width="10.5703125" style="1888" bestFit="1" customWidth="1"/>
    <col min="11525" max="11525" width="12.140625" style="1888" customWidth="1"/>
    <col min="11526" max="11526" width="17.5703125" style="1888" customWidth="1"/>
    <col min="11527" max="11776" width="9.140625" style="1888"/>
    <col min="11777" max="11777" width="3.85546875" style="1888" bestFit="1" customWidth="1"/>
    <col min="11778" max="11778" width="34.7109375" style="1888" bestFit="1" customWidth="1"/>
    <col min="11779" max="11779" width="8.140625" style="1888" bestFit="1" customWidth="1"/>
    <col min="11780" max="11780" width="10.5703125" style="1888" bestFit="1" customWidth="1"/>
    <col min="11781" max="11781" width="12.140625" style="1888" customWidth="1"/>
    <col min="11782" max="11782" width="17.5703125" style="1888" customWidth="1"/>
    <col min="11783" max="12032" width="9.140625" style="1888"/>
    <col min="12033" max="12033" width="3.85546875" style="1888" bestFit="1" customWidth="1"/>
    <col min="12034" max="12034" width="34.7109375" style="1888" bestFit="1" customWidth="1"/>
    <col min="12035" max="12035" width="8.140625" style="1888" bestFit="1" customWidth="1"/>
    <col min="12036" max="12036" width="10.5703125" style="1888" bestFit="1" customWidth="1"/>
    <col min="12037" max="12037" width="12.140625" style="1888" customWidth="1"/>
    <col min="12038" max="12038" width="17.5703125" style="1888" customWidth="1"/>
    <col min="12039" max="12288" width="9.140625" style="1888"/>
    <col min="12289" max="12289" width="3.85546875" style="1888" bestFit="1" customWidth="1"/>
    <col min="12290" max="12290" width="34.7109375" style="1888" bestFit="1" customWidth="1"/>
    <col min="12291" max="12291" width="8.140625" style="1888" bestFit="1" customWidth="1"/>
    <col min="12292" max="12292" width="10.5703125" style="1888" bestFit="1" customWidth="1"/>
    <col min="12293" max="12293" width="12.140625" style="1888" customWidth="1"/>
    <col min="12294" max="12294" width="17.5703125" style="1888" customWidth="1"/>
    <col min="12295" max="12544" width="9.140625" style="1888"/>
    <col min="12545" max="12545" width="3.85546875" style="1888" bestFit="1" customWidth="1"/>
    <col min="12546" max="12546" width="34.7109375" style="1888" bestFit="1" customWidth="1"/>
    <col min="12547" max="12547" width="8.140625" style="1888" bestFit="1" customWidth="1"/>
    <col min="12548" max="12548" width="10.5703125" style="1888" bestFit="1" customWidth="1"/>
    <col min="12549" max="12549" width="12.140625" style="1888" customWidth="1"/>
    <col min="12550" max="12550" width="17.5703125" style="1888" customWidth="1"/>
    <col min="12551" max="12800" width="9.140625" style="1888"/>
    <col min="12801" max="12801" width="3.85546875" style="1888" bestFit="1" customWidth="1"/>
    <col min="12802" max="12802" width="34.7109375" style="1888" bestFit="1" customWidth="1"/>
    <col min="12803" max="12803" width="8.140625" style="1888" bestFit="1" customWidth="1"/>
    <col min="12804" max="12804" width="10.5703125" style="1888" bestFit="1" customWidth="1"/>
    <col min="12805" max="12805" width="12.140625" style="1888" customWidth="1"/>
    <col min="12806" max="12806" width="17.5703125" style="1888" customWidth="1"/>
    <col min="12807" max="13056" width="9.140625" style="1888"/>
    <col min="13057" max="13057" width="3.85546875" style="1888" bestFit="1" customWidth="1"/>
    <col min="13058" max="13058" width="34.7109375" style="1888" bestFit="1" customWidth="1"/>
    <col min="13059" max="13059" width="8.140625" style="1888" bestFit="1" customWidth="1"/>
    <col min="13060" max="13060" width="10.5703125" style="1888" bestFit="1" customWidth="1"/>
    <col min="13061" max="13061" width="12.140625" style="1888" customWidth="1"/>
    <col min="13062" max="13062" width="17.5703125" style="1888" customWidth="1"/>
    <col min="13063" max="13312" width="9.140625" style="1888"/>
    <col min="13313" max="13313" width="3.85546875" style="1888" bestFit="1" customWidth="1"/>
    <col min="13314" max="13314" width="34.7109375" style="1888" bestFit="1" customWidth="1"/>
    <col min="13315" max="13315" width="8.140625" style="1888" bestFit="1" customWidth="1"/>
    <col min="13316" max="13316" width="10.5703125" style="1888" bestFit="1" customWidth="1"/>
    <col min="13317" max="13317" width="12.140625" style="1888" customWidth="1"/>
    <col min="13318" max="13318" width="17.5703125" style="1888" customWidth="1"/>
    <col min="13319" max="13568" width="9.140625" style="1888"/>
    <col min="13569" max="13569" width="3.85546875" style="1888" bestFit="1" customWidth="1"/>
    <col min="13570" max="13570" width="34.7109375" style="1888" bestFit="1" customWidth="1"/>
    <col min="13571" max="13571" width="8.140625" style="1888" bestFit="1" customWidth="1"/>
    <col min="13572" max="13572" width="10.5703125" style="1888" bestFit="1" customWidth="1"/>
    <col min="13573" max="13573" width="12.140625" style="1888" customWidth="1"/>
    <col min="13574" max="13574" width="17.5703125" style="1888" customWidth="1"/>
    <col min="13575" max="13824" width="9.140625" style="1888"/>
    <col min="13825" max="13825" width="3.85546875" style="1888" bestFit="1" customWidth="1"/>
    <col min="13826" max="13826" width="34.7109375" style="1888" bestFit="1" customWidth="1"/>
    <col min="13827" max="13827" width="8.140625" style="1888" bestFit="1" customWidth="1"/>
    <col min="13828" max="13828" width="10.5703125" style="1888" bestFit="1" customWidth="1"/>
    <col min="13829" max="13829" width="12.140625" style="1888" customWidth="1"/>
    <col min="13830" max="13830" width="17.5703125" style="1888" customWidth="1"/>
    <col min="13831" max="14080" width="9.140625" style="1888"/>
    <col min="14081" max="14081" width="3.85546875" style="1888" bestFit="1" customWidth="1"/>
    <col min="14082" max="14082" width="34.7109375" style="1888" bestFit="1" customWidth="1"/>
    <col min="14083" max="14083" width="8.140625" style="1888" bestFit="1" customWidth="1"/>
    <col min="14084" max="14084" width="10.5703125" style="1888" bestFit="1" customWidth="1"/>
    <col min="14085" max="14085" width="12.140625" style="1888" customWidth="1"/>
    <col min="14086" max="14086" width="17.5703125" style="1888" customWidth="1"/>
    <col min="14087" max="14336" width="9.140625" style="1888"/>
    <col min="14337" max="14337" width="3.85546875" style="1888" bestFit="1" customWidth="1"/>
    <col min="14338" max="14338" width="34.7109375" style="1888" bestFit="1" customWidth="1"/>
    <col min="14339" max="14339" width="8.140625" style="1888" bestFit="1" customWidth="1"/>
    <col min="14340" max="14340" width="10.5703125" style="1888" bestFit="1" customWidth="1"/>
    <col min="14341" max="14341" width="12.140625" style="1888" customWidth="1"/>
    <col min="14342" max="14342" width="17.5703125" style="1888" customWidth="1"/>
    <col min="14343" max="14592" width="9.140625" style="1888"/>
    <col min="14593" max="14593" width="3.85546875" style="1888" bestFit="1" customWidth="1"/>
    <col min="14594" max="14594" width="34.7109375" style="1888" bestFit="1" customWidth="1"/>
    <col min="14595" max="14595" width="8.140625" style="1888" bestFit="1" customWidth="1"/>
    <col min="14596" max="14596" width="10.5703125" style="1888" bestFit="1" customWidth="1"/>
    <col min="14597" max="14597" width="12.140625" style="1888" customWidth="1"/>
    <col min="14598" max="14598" width="17.5703125" style="1888" customWidth="1"/>
    <col min="14599" max="14848" width="9.140625" style="1888"/>
    <col min="14849" max="14849" width="3.85546875" style="1888" bestFit="1" customWidth="1"/>
    <col min="14850" max="14850" width="34.7109375" style="1888" bestFit="1" customWidth="1"/>
    <col min="14851" max="14851" width="8.140625" style="1888" bestFit="1" customWidth="1"/>
    <col min="14852" max="14852" width="10.5703125" style="1888" bestFit="1" customWidth="1"/>
    <col min="14853" max="14853" width="12.140625" style="1888" customWidth="1"/>
    <col min="14854" max="14854" width="17.5703125" style="1888" customWidth="1"/>
    <col min="14855" max="15104" width="9.140625" style="1888"/>
    <col min="15105" max="15105" width="3.85546875" style="1888" bestFit="1" customWidth="1"/>
    <col min="15106" max="15106" width="34.7109375" style="1888" bestFit="1" customWidth="1"/>
    <col min="15107" max="15107" width="8.140625" style="1888" bestFit="1" customWidth="1"/>
    <col min="15108" max="15108" width="10.5703125" style="1888" bestFit="1" customWidth="1"/>
    <col min="15109" max="15109" width="12.140625" style="1888" customWidth="1"/>
    <col min="15110" max="15110" width="17.5703125" style="1888" customWidth="1"/>
    <col min="15111" max="15360" width="9.140625" style="1888"/>
    <col min="15361" max="15361" width="3.85546875" style="1888" bestFit="1" customWidth="1"/>
    <col min="15362" max="15362" width="34.7109375" style="1888" bestFit="1" customWidth="1"/>
    <col min="15363" max="15363" width="8.140625" style="1888" bestFit="1" customWidth="1"/>
    <col min="15364" max="15364" width="10.5703125" style="1888" bestFit="1" customWidth="1"/>
    <col min="15365" max="15365" width="12.140625" style="1888" customWidth="1"/>
    <col min="15366" max="15366" width="17.5703125" style="1888" customWidth="1"/>
    <col min="15367" max="15616" width="9.140625" style="1888"/>
    <col min="15617" max="15617" width="3.85546875" style="1888" bestFit="1" customWidth="1"/>
    <col min="15618" max="15618" width="34.7109375" style="1888" bestFit="1" customWidth="1"/>
    <col min="15619" max="15619" width="8.140625" style="1888" bestFit="1" customWidth="1"/>
    <col min="15620" max="15620" width="10.5703125" style="1888" bestFit="1" customWidth="1"/>
    <col min="15621" max="15621" width="12.140625" style="1888" customWidth="1"/>
    <col min="15622" max="15622" width="17.5703125" style="1888" customWidth="1"/>
    <col min="15623" max="15872" width="9.140625" style="1888"/>
    <col min="15873" max="15873" width="3.85546875" style="1888" bestFit="1" customWidth="1"/>
    <col min="15874" max="15874" width="34.7109375" style="1888" bestFit="1" customWidth="1"/>
    <col min="15875" max="15875" width="8.140625" style="1888" bestFit="1" customWidth="1"/>
    <col min="15876" max="15876" width="10.5703125" style="1888" bestFit="1" customWidth="1"/>
    <col min="15877" max="15877" width="12.140625" style="1888" customWidth="1"/>
    <col min="15878" max="15878" width="17.5703125" style="1888" customWidth="1"/>
    <col min="15879" max="16128" width="9.140625" style="1888"/>
    <col min="16129" max="16129" width="3.85546875" style="1888" bestFit="1" customWidth="1"/>
    <col min="16130" max="16130" width="34.7109375" style="1888" bestFit="1" customWidth="1"/>
    <col min="16131" max="16131" width="8.140625" style="1888" bestFit="1" customWidth="1"/>
    <col min="16132" max="16132" width="10.5703125" style="1888" bestFit="1" customWidth="1"/>
    <col min="16133" max="16133" width="12.140625" style="1888" customWidth="1"/>
    <col min="16134" max="16134" width="17.5703125" style="1888" customWidth="1"/>
    <col min="16135" max="16384" width="9.140625" style="1888"/>
  </cols>
  <sheetData>
    <row r="1" spans="1:7">
      <c r="C1" s="1888" t="s">
        <v>3207</v>
      </c>
      <c r="G1" s="1889" t="s">
        <v>1020</v>
      </c>
    </row>
    <row r="6" spans="1:7" s="1891" customFormat="1">
      <c r="A6" s="2612" t="s">
        <v>2003</v>
      </c>
      <c r="B6" s="2612" t="s">
        <v>64</v>
      </c>
      <c r="C6" s="2612" t="s">
        <v>2</v>
      </c>
      <c r="D6" s="2612" t="s">
        <v>2886</v>
      </c>
      <c r="E6" s="2612" t="s">
        <v>1729</v>
      </c>
      <c r="F6" s="2612" t="s">
        <v>4</v>
      </c>
      <c r="G6" s="1890"/>
    </row>
    <row r="7" spans="1:7" s="1891" customFormat="1">
      <c r="A7" s="2612"/>
      <c r="B7" s="2612"/>
      <c r="C7" s="2612"/>
      <c r="D7" s="2612"/>
      <c r="E7" s="2612"/>
      <c r="F7" s="2612"/>
      <c r="G7" s="1890"/>
    </row>
    <row r="8" spans="1:7" s="1891" customFormat="1">
      <c r="A8" s="1877" t="s">
        <v>109</v>
      </c>
      <c r="B8" s="1877" t="s">
        <v>22</v>
      </c>
      <c r="C8" s="1878"/>
      <c r="D8" s="2327"/>
      <c r="E8" s="1879"/>
      <c r="F8" s="1880">
        <f>F9+F17</f>
        <v>294600000</v>
      </c>
      <c r="G8" s="1890"/>
    </row>
    <row r="9" spans="1:7" s="1891" customFormat="1">
      <c r="A9" s="1877" t="s">
        <v>480</v>
      </c>
      <c r="B9" s="1877" t="s">
        <v>1248</v>
      </c>
      <c r="C9" s="1878"/>
      <c r="D9" s="2327"/>
      <c r="E9" s="1879"/>
      <c r="F9" s="1880">
        <f>SUM(F10:F16)</f>
        <v>268600000</v>
      </c>
      <c r="G9" s="1890"/>
    </row>
    <row r="10" spans="1:7">
      <c r="A10" s="2329">
        <v>1</v>
      </c>
      <c r="B10" s="2328" t="s">
        <v>3204</v>
      </c>
      <c r="C10" s="2329" t="s">
        <v>3203</v>
      </c>
      <c r="D10" s="2328">
        <v>300</v>
      </c>
      <c r="E10" s="1881">
        <v>80000</v>
      </c>
      <c r="F10" s="1881">
        <f>E10*D10</f>
        <v>24000000</v>
      </c>
      <c r="G10" s="1892"/>
    </row>
    <row r="11" spans="1:7">
      <c r="A11" s="2329">
        <v>2</v>
      </c>
      <c r="B11" s="2328" t="s">
        <v>3202</v>
      </c>
      <c r="C11" s="2329" t="s">
        <v>697</v>
      </c>
      <c r="D11" s="2328">
        <v>120</v>
      </c>
      <c r="E11" s="1881">
        <v>380000</v>
      </c>
      <c r="F11" s="1881">
        <f>E11*D11</f>
        <v>45600000</v>
      </c>
      <c r="G11" s="1892"/>
    </row>
    <row r="12" spans="1:7">
      <c r="A12" s="2329">
        <v>3</v>
      </c>
      <c r="B12" s="2328" t="s">
        <v>3201</v>
      </c>
      <c r="C12" s="2329" t="s">
        <v>2300</v>
      </c>
      <c r="D12" s="2328">
        <v>100</v>
      </c>
      <c r="E12" s="1881">
        <v>350000</v>
      </c>
      <c r="F12" s="1881">
        <f>E12*D12</f>
        <v>35000000</v>
      </c>
      <c r="G12" s="1892"/>
    </row>
    <row r="13" spans="1:7">
      <c r="A13" s="2329">
        <v>4</v>
      </c>
      <c r="B13" s="2328" t="s">
        <v>3200</v>
      </c>
      <c r="C13" s="2329" t="s">
        <v>697</v>
      </c>
      <c r="D13" s="1882">
        <v>200</v>
      </c>
      <c r="E13" s="1881">
        <v>400000</v>
      </c>
      <c r="F13" s="1881">
        <f>E13*D13</f>
        <v>80000000</v>
      </c>
      <c r="G13" s="1892"/>
    </row>
    <row r="14" spans="1:7">
      <c r="A14" s="2329">
        <v>5</v>
      </c>
      <c r="B14" s="2328" t="s">
        <v>3199</v>
      </c>
      <c r="C14" s="2329" t="s">
        <v>3198</v>
      </c>
      <c r="D14" s="1882">
        <v>200</v>
      </c>
      <c r="E14" s="1881">
        <v>250000</v>
      </c>
      <c r="F14" s="1881">
        <f>E14*D14</f>
        <v>50000000</v>
      </c>
      <c r="G14" s="1892"/>
    </row>
    <row r="15" spans="1:7">
      <c r="A15" s="2329">
        <v>16</v>
      </c>
      <c r="B15" s="2613" t="s">
        <v>3206</v>
      </c>
      <c r="C15" s="2613"/>
      <c r="D15" s="2613"/>
      <c r="E15" s="2613"/>
      <c r="F15" s="1881">
        <v>24000000</v>
      </c>
      <c r="G15" s="1892"/>
    </row>
    <row r="16" spans="1:7">
      <c r="A16" s="2329">
        <v>17</v>
      </c>
      <c r="B16" s="2328" t="s">
        <v>3197</v>
      </c>
      <c r="C16" s="2329"/>
      <c r="D16" s="1882"/>
      <c r="E16" s="1883"/>
      <c r="F16" s="1881">
        <v>10000000</v>
      </c>
      <c r="G16" s="1892"/>
    </row>
    <row r="17" spans="1:7" s="1891" customFormat="1">
      <c r="A17" s="1877" t="s">
        <v>485</v>
      </c>
      <c r="B17" s="1877" t="s">
        <v>1225</v>
      </c>
      <c r="C17" s="1877"/>
      <c r="D17" s="1884"/>
      <c r="E17" s="1879"/>
      <c r="F17" s="1880">
        <f>F18+F19</f>
        <v>26000000</v>
      </c>
      <c r="G17" s="1890"/>
    </row>
    <row r="18" spans="1:7">
      <c r="A18" s="2329">
        <v>1</v>
      </c>
      <c r="B18" s="2613" t="s">
        <v>3205</v>
      </c>
      <c r="C18" s="2613"/>
      <c r="D18" s="2613"/>
      <c r="E18" s="2613"/>
      <c r="F18" s="1881">
        <v>21000000</v>
      </c>
      <c r="G18" s="1892"/>
    </row>
    <row r="19" spans="1:7">
      <c r="A19" s="2329">
        <v>2</v>
      </c>
      <c r="B19" s="2328" t="s">
        <v>3025</v>
      </c>
      <c r="C19" s="2329"/>
      <c r="D19" s="2328"/>
      <c r="E19" s="1883"/>
      <c r="F19" s="1881">
        <v>5000000</v>
      </c>
      <c r="G19" s="1892"/>
    </row>
    <row r="20" spans="1:7" s="1891" customFormat="1" ht="17.25">
      <c r="A20" s="1885" t="s">
        <v>116</v>
      </c>
      <c r="B20" s="1885" t="s">
        <v>1999</v>
      </c>
      <c r="C20" s="1885"/>
      <c r="D20" s="1886"/>
      <c r="E20" s="1887"/>
      <c r="F20" s="1880">
        <f>SUM(F21:F26)</f>
        <v>325600000</v>
      </c>
      <c r="G20" s="1890"/>
    </row>
    <row r="21" spans="1:7">
      <c r="A21" s="2329">
        <v>1</v>
      </c>
      <c r="B21" s="2328" t="s">
        <v>3204</v>
      </c>
      <c r="C21" s="2329" t="s">
        <v>3203</v>
      </c>
      <c r="D21" s="2328">
        <v>300</v>
      </c>
      <c r="E21" s="1881">
        <v>130000</v>
      </c>
      <c r="F21" s="1881">
        <f>E21*D21</f>
        <v>39000000</v>
      </c>
      <c r="G21" s="1892"/>
    </row>
    <row r="22" spans="1:7">
      <c r="A22" s="2329">
        <v>2</v>
      </c>
      <c r="B22" s="2328" t="s">
        <v>3202</v>
      </c>
      <c r="C22" s="2329" t="s">
        <v>697</v>
      </c>
      <c r="D22" s="2328">
        <v>120</v>
      </c>
      <c r="E22" s="1881">
        <v>430000</v>
      </c>
      <c r="F22" s="1881">
        <f>E22*D22</f>
        <v>51600000</v>
      </c>
      <c r="G22" s="1892"/>
    </row>
    <row r="23" spans="1:7">
      <c r="A23" s="2329">
        <v>3</v>
      </c>
      <c r="B23" s="2328" t="s">
        <v>3201</v>
      </c>
      <c r="C23" s="2329" t="s">
        <v>2300</v>
      </c>
      <c r="D23" s="2328">
        <v>100</v>
      </c>
      <c r="E23" s="1881">
        <v>410000</v>
      </c>
      <c r="F23" s="1881">
        <f>E23*D23</f>
        <v>41000000</v>
      </c>
      <c r="G23" s="1892"/>
    </row>
    <row r="24" spans="1:7">
      <c r="A24" s="2329">
        <v>4</v>
      </c>
      <c r="B24" s="2328" t="s">
        <v>3200</v>
      </c>
      <c r="C24" s="2329" t="s">
        <v>697</v>
      </c>
      <c r="D24" s="1882">
        <v>200</v>
      </c>
      <c r="E24" s="1881">
        <v>450000</v>
      </c>
      <c r="F24" s="1881">
        <f>E24*D24</f>
        <v>90000000</v>
      </c>
      <c r="G24" s="1892"/>
    </row>
    <row r="25" spans="1:7">
      <c r="A25" s="2329">
        <v>5</v>
      </c>
      <c r="B25" s="2328" t="s">
        <v>3199</v>
      </c>
      <c r="C25" s="2329" t="s">
        <v>3198</v>
      </c>
      <c r="D25" s="1882">
        <v>200</v>
      </c>
      <c r="E25" s="1881">
        <v>320000</v>
      </c>
      <c r="F25" s="1881">
        <f>E25*D25</f>
        <v>64000000</v>
      </c>
      <c r="G25" s="1892"/>
    </row>
    <row r="26" spans="1:7">
      <c r="A26" s="2329">
        <v>16</v>
      </c>
      <c r="B26" s="2328" t="s">
        <v>3197</v>
      </c>
      <c r="C26" s="2329"/>
      <c r="D26" s="1882"/>
      <c r="E26" s="1883"/>
      <c r="F26" s="1881">
        <v>40000000</v>
      </c>
      <c r="G26" s="1892"/>
    </row>
    <row r="27" spans="1:7" s="1891" customFormat="1">
      <c r="A27" s="1877" t="s">
        <v>135</v>
      </c>
      <c r="B27" s="1877" t="s">
        <v>1988</v>
      </c>
      <c r="C27" s="1877"/>
      <c r="D27" s="1884"/>
      <c r="E27" s="1879"/>
      <c r="F27" s="1880">
        <f>F20-F8</f>
        <v>31000000</v>
      </c>
      <c r="G27" s="1890"/>
    </row>
  </sheetData>
  <mergeCells count="8">
    <mergeCell ref="F6:F7"/>
    <mergeCell ref="B15:E15"/>
    <mergeCell ref="B18:E18"/>
    <mergeCell ref="A6:A7"/>
    <mergeCell ref="B6:B7"/>
    <mergeCell ref="C6:C7"/>
    <mergeCell ref="D6:D7"/>
    <mergeCell ref="E6:E7"/>
  </mergeCells>
  <pageMargins left="0.75" right="0.75" top="1" bottom="1" header="0.5" footer="0.5"/>
  <pageSetup paperSize="9" orientation="portrait" verticalDpi="0" r:id="rId1"/>
  <headerFooter alignWithMargins="0"/>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I28"/>
  <sheetViews>
    <sheetView workbookViewId="0">
      <selection activeCell="C2" sqref="C2"/>
    </sheetView>
  </sheetViews>
  <sheetFormatPr defaultRowHeight="16.5"/>
  <cols>
    <col min="1" max="1" width="4.42578125" style="381" bestFit="1" customWidth="1"/>
    <col min="2" max="2" width="36" style="381" bestFit="1" customWidth="1"/>
    <col min="3" max="3" width="18.7109375" style="381" customWidth="1"/>
    <col min="4" max="4" width="12.85546875" style="8" bestFit="1" customWidth="1"/>
    <col min="5" max="5" width="17.42578125" style="8" bestFit="1" customWidth="1"/>
    <col min="6" max="6" width="18.5703125" style="381" bestFit="1" customWidth="1"/>
    <col min="7" max="7" width="15.85546875" style="381" bestFit="1" customWidth="1"/>
    <col min="8" max="8" width="18" style="381" bestFit="1" customWidth="1"/>
    <col min="9" max="9" width="16" style="8" bestFit="1" customWidth="1"/>
    <col min="10" max="16384" width="9.140625" style="381"/>
  </cols>
  <sheetData>
    <row r="1" spans="1:9">
      <c r="C1" s="381" t="s">
        <v>892</v>
      </c>
      <c r="G1" s="438" t="s">
        <v>1020</v>
      </c>
    </row>
    <row r="4" spans="1:9">
      <c r="A4" s="395" t="s">
        <v>0</v>
      </c>
      <c r="B4" s="395" t="s">
        <v>103</v>
      </c>
      <c r="C4" s="395" t="s">
        <v>872</v>
      </c>
      <c r="D4" s="2342" t="s">
        <v>3</v>
      </c>
      <c r="E4" s="2342" t="s">
        <v>873</v>
      </c>
    </row>
    <row r="5" spans="1:9">
      <c r="A5" s="367" t="s">
        <v>109</v>
      </c>
      <c r="B5" s="365" t="s">
        <v>237</v>
      </c>
      <c r="C5" s="365"/>
      <c r="D5" s="38"/>
      <c r="E5" s="39">
        <f>SUM(E6:E21)</f>
        <v>453640000</v>
      </c>
      <c r="F5" s="396">
        <f>SUM(H13)</f>
        <v>0</v>
      </c>
    </row>
    <row r="6" spans="1:9">
      <c r="A6" s="369">
        <v>1</v>
      </c>
      <c r="B6" s="370" t="s">
        <v>874</v>
      </c>
      <c r="C6" s="370">
        <v>280</v>
      </c>
      <c r="D6" s="42">
        <v>140000</v>
      </c>
      <c r="E6" s="43">
        <f>C6*D6</f>
        <v>39200000</v>
      </c>
      <c r="F6" s="396">
        <f>SUM(E6:E17)</f>
        <v>406540000</v>
      </c>
      <c r="G6" s="381">
        <v>1500000000</v>
      </c>
      <c r="H6" s="396">
        <f>F6+G6</f>
        <v>1906540000</v>
      </c>
    </row>
    <row r="7" spans="1:9">
      <c r="A7" s="369">
        <v>2</v>
      </c>
      <c r="B7" s="370" t="s">
        <v>875</v>
      </c>
      <c r="C7" s="370">
        <v>230</v>
      </c>
      <c r="D7" s="42">
        <v>144000</v>
      </c>
      <c r="E7" s="43">
        <f t="shared" ref="E7:E17" si="0">C7*D7</f>
        <v>33120000</v>
      </c>
      <c r="F7" s="381">
        <v>380000000</v>
      </c>
      <c r="H7" s="8">
        <v>3500000000</v>
      </c>
      <c r="I7" s="8">
        <v>7.0000000000000007E-2</v>
      </c>
    </row>
    <row r="8" spans="1:9">
      <c r="A8" s="369">
        <v>3</v>
      </c>
      <c r="B8" s="370" t="s">
        <v>876</v>
      </c>
      <c r="C8" s="370">
        <v>250</v>
      </c>
      <c r="D8" s="42">
        <v>160000</v>
      </c>
      <c r="E8" s="43">
        <f t="shared" si="0"/>
        <v>40000000</v>
      </c>
      <c r="F8" s="397">
        <v>0.08</v>
      </c>
      <c r="G8" s="397">
        <v>0.08</v>
      </c>
      <c r="I8" s="8">
        <f>H7*I7</f>
        <v>245000000.00000003</v>
      </c>
    </row>
    <row r="9" spans="1:9">
      <c r="A9" s="369">
        <v>4</v>
      </c>
      <c r="B9" s="370" t="s">
        <v>877</v>
      </c>
      <c r="C9" s="370">
        <v>250</v>
      </c>
      <c r="D9" s="42">
        <v>167000</v>
      </c>
      <c r="E9" s="43">
        <f t="shared" si="0"/>
        <v>41750000</v>
      </c>
      <c r="F9" s="381">
        <f>F7*F8</f>
        <v>30400000</v>
      </c>
      <c r="G9" s="8">
        <f>(F7*F8*5+F7*G8*7)/12</f>
        <v>30400000</v>
      </c>
      <c r="I9" s="8">
        <v>80000000</v>
      </c>
    </row>
    <row r="10" spans="1:9">
      <c r="A10" s="369">
        <v>5</v>
      </c>
      <c r="B10" s="398" t="s">
        <v>878</v>
      </c>
      <c r="C10" s="370">
        <v>280</v>
      </c>
      <c r="D10" s="42">
        <v>117000</v>
      </c>
      <c r="E10" s="43">
        <f t="shared" si="0"/>
        <v>32760000</v>
      </c>
      <c r="F10" s="396">
        <f>G9-F9</f>
        <v>0</v>
      </c>
      <c r="I10" s="8">
        <f>I8-I9</f>
        <v>165000000.00000003</v>
      </c>
    </row>
    <row r="11" spans="1:9">
      <c r="A11" s="369">
        <v>6</v>
      </c>
      <c r="B11" s="398" t="s">
        <v>879</v>
      </c>
      <c r="C11" s="370">
        <v>280</v>
      </c>
      <c r="D11" s="42">
        <v>180000</v>
      </c>
      <c r="E11" s="43">
        <f t="shared" si="0"/>
        <v>50400000</v>
      </c>
      <c r="G11" s="396">
        <f>SUM(E6:E17)</f>
        <v>406540000</v>
      </c>
    </row>
    <row r="12" spans="1:9">
      <c r="A12" s="369">
        <v>7</v>
      </c>
      <c r="B12" s="370" t="s">
        <v>880</v>
      </c>
      <c r="C12" s="370">
        <v>290</v>
      </c>
      <c r="D12" s="42">
        <v>112000</v>
      </c>
      <c r="E12" s="43">
        <f t="shared" si="0"/>
        <v>32480000</v>
      </c>
    </row>
    <row r="13" spans="1:9">
      <c r="A13" s="369">
        <v>8</v>
      </c>
      <c r="B13" s="398" t="s">
        <v>881</v>
      </c>
      <c r="C13" s="370">
        <v>250</v>
      </c>
      <c r="D13" s="42">
        <v>110000</v>
      </c>
      <c r="E13" s="43">
        <f>C13*D13</f>
        <v>27500000</v>
      </c>
    </row>
    <row r="14" spans="1:9">
      <c r="A14" s="369">
        <v>9</v>
      </c>
      <c r="B14" s="398" t="s">
        <v>882</v>
      </c>
      <c r="C14" s="370">
        <v>280</v>
      </c>
      <c r="D14" s="42">
        <v>109000</v>
      </c>
      <c r="E14" s="43">
        <f t="shared" si="0"/>
        <v>30520000</v>
      </c>
    </row>
    <row r="15" spans="1:9">
      <c r="A15" s="369">
        <v>10</v>
      </c>
      <c r="B15" s="398" t="s">
        <v>883</v>
      </c>
      <c r="C15" s="370">
        <v>330</v>
      </c>
      <c r="D15" s="42">
        <v>72000</v>
      </c>
      <c r="E15" s="43">
        <f t="shared" si="0"/>
        <v>23760000</v>
      </c>
    </row>
    <row r="16" spans="1:9">
      <c r="A16" s="369">
        <v>11</v>
      </c>
      <c r="B16" s="398" t="s">
        <v>884</v>
      </c>
      <c r="C16" s="370">
        <v>250</v>
      </c>
      <c r="D16" s="42">
        <v>75000</v>
      </c>
      <c r="E16" s="43">
        <f t="shared" si="0"/>
        <v>18750000</v>
      </c>
    </row>
    <row r="17" spans="1:9">
      <c r="A17" s="369">
        <v>12</v>
      </c>
      <c r="B17" s="398" t="s">
        <v>885</v>
      </c>
      <c r="C17" s="370">
        <v>330</v>
      </c>
      <c r="D17" s="42">
        <v>110000</v>
      </c>
      <c r="E17" s="43">
        <f t="shared" si="0"/>
        <v>36300000</v>
      </c>
    </row>
    <row r="18" spans="1:9">
      <c r="A18" s="369">
        <v>21</v>
      </c>
      <c r="B18" s="370" t="s">
        <v>125</v>
      </c>
      <c r="C18" s="370"/>
      <c r="D18" s="42"/>
      <c r="E18" s="43">
        <f>(F7*F8*5+F7*G8*7)/12</f>
        <v>30400000</v>
      </c>
    </row>
    <row r="19" spans="1:9">
      <c r="A19" s="369">
        <v>22</v>
      </c>
      <c r="B19" s="370" t="s">
        <v>194</v>
      </c>
      <c r="C19" s="370"/>
      <c r="D19" s="42"/>
      <c r="E19" s="43">
        <v>1500000</v>
      </c>
    </row>
    <row r="20" spans="1:9">
      <c r="A20" s="369">
        <v>23</v>
      </c>
      <c r="B20" s="370" t="s">
        <v>275</v>
      </c>
      <c r="C20" s="370"/>
      <c r="D20" s="42"/>
      <c r="E20" s="43">
        <v>7200000</v>
      </c>
    </row>
    <row r="21" spans="1:9">
      <c r="A21" s="369">
        <v>24</v>
      </c>
      <c r="B21" s="370" t="s">
        <v>21</v>
      </c>
      <c r="C21" s="370"/>
      <c r="D21" s="42"/>
      <c r="E21" s="43">
        <v>8000000</v>
      </c>
    </row>
    <row r="22" spans="1:9" s="399" customFormat="1">
      <c r="A22" s="367" t="s">
        <v>116</v>
      </c>
      <c r="B22" s="365" t="s">
        <v>110</v>
      </c>
      <c r="C22" s="365" t="s">
        <v>886</v>
      </c>
      <c r="D22" s="38"/>
      <c r="E22" s="39">
        <f>SUM(E23:E27)</f>
        <v>490000000</v>
      </c>
      <c r="F22" s="381"/>
      <c r="G22" s="381"/>
      <c r="I22" s="27"/>
    </row>
    <row r="23" spans="1:9">
      <c r="A23" s="369">
        <v>1</v>
      </c>
      <c r="B23" s="370" t="s">
        <v>887</v>
      </c>
      <c r="C23" s="370">
        <v>400</v>
      </c>
      <c r="D23" s="42">
        <v>300000</v>
      </c>
      <c r="E23" s="43">
        <f>C23*D23</f>
        <v>120000000</v>
      </c>
    </row>
    <row r="24" spans="1:9">
      <c r="A24" s="369">
        <v>2</v>
      </c>
      <c r="B24" s="370" t="s">
        <v>888</v>
      </c>
      <c r="C24" s="370">
        <v>300</v>
      </c>
      <c r="D24" s="42">
        <v>300000</v>
      </c>
      <c r="E24" s="43">
        <f>C24*D24</f>
        <v>90000000</v>
      </c>
    </row>
    <row r="25" spans="1:9">
      <c r="A25" s="369">
        <v>3</v>
      </c>
      <c r="B25" s="370" t="s">
        <v>889</v>
      </c>
      <c r="C25" s="370">
        <v>400</v>
      </c>
      <c r="D25" s="42">
        <v>500000</v>
      </c>
      <c r="E25" s="43">
        <f>C25*D25</f>
        <v>200000000</v>
      </c>
    </row>
    <row r="26" spans="1:9">
      <c r="A26" s="369">
        <v>4</v>
      </c>
      <c r="B26" s="370" t="s">
        <v>890</v>
      </c>
      <c r="C26" s="370">
        <v>300</v>
      </c>
      <c r="D26" s="42">
        <v>100000</v>
      </c>
      <c r="E26" s="43">
        <f>C26*D26</f>
        <v>30000000</v>
      </c>
    </row>
    <row r="27" spans="1:9">
      <c r="A27" s="369">
        <v>5</v>
      </c>
      <c r="B27" s="370" t="s">
        <v>891</v>
      </c>
      <c r="C27" s="370"/>
      <c r="D27" s="42"/>
      <c r="E27" s="43">
        <v>50000000</v>
      </c>
    </row>
    <row r="28" spans="1:9">
      <c r="A28" s="400" t="s">
        <v>135</v>
      </c>
      <c r="B28" s="401" t="s">
        <v>24</v>
      </c>
      <c r="C28" s="400"/>
      <c r="D28" s="49"/>
      <c r="E28" s="49">
        <f>E22-E5</f>
        <v>36360000</v>
      </c>
      <c r="I28" s="381"/>
    </row>
  </sheetData>
  <pageMargins left="0.75" right="0.75" top="1" bottom="1" header="0.5" footer="0.5"/>
  <pageSetup orientation="portrait" verticalDpi="0" r:id="rId1"/>
  <headerFooter alignWithMargins="0"/>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dimension ref="A1:L63"/>
  <sheetViews>
    <sheetView workbookViewId="0">
      <selection activeCell="C1" sqref="C1"/>
    </sheetView>
  </sheetViews>
  <sheetFormatPr defaultRowHeight="16.5"/>
  <cols>
    <col min="1" max="1" width="7.140625" style="1397" customWidth="1"/>
    <col min="2" max="2" width="31.5703125" style="1397" customWidth="1"/>
    <col min="3" max="3" width="13.5703125" style="1397" customWidth="1"/>
    <col min="4" max="4" width="10.42578125" style="1397" customWidth="1"/>
    <col min="5" max="5" width="16.140625" style="1397" customWidth="1"/>
    <col min="6" max="6" width="18.42578125" style="1397" customWidth="1"/>
    <col min="7" max="7" width="12.28515625" style="1397" bestFit="1" customWidth="1"/>
    <col min="8" max="8" width="9.140625" style="1397"/>
    <col min="9" max="9" width="25" style="1397" bestFit="1" customWidth="1"/>
    <col min="10" max="10" width="15.85546875" style="1397" bestFit="1" customWidth="1"/>
    <col min="11" max="11" width="14.5703125" style="1397" bestFit="1" customWidth="1"/>
    <col min="12" max="12" width="14.7109375" style="1397" bestFit="1" customWidth="1"/>
    <col min="13" max="256" width="9.140625" style="1397"/>
    <col min="257" max="257" width="7.140625" style="1397" customWidth="1"/>
    <col min="258" max="258" width="31.5703125" style="1397" customWidth="1"/>
    <col min="259" max="259" width="12.5703125" style="1397" customWidth="1"/>
    <col min="260" max="260" width="10.42578125" style="1397" customWidth="1"/>
    <col min="261" max="261" width="16.140625" style="1397" customWidth="1"/>
    <col min="262" max="262" width="18.42578125" style="1397" customWidth="1"/>
    <col min="263" max="263" width="12.28515625" style="1397" bestFit="1" customWidth="1"/>
    <col min="264" max="264" width="9.140625" style="1397"/>
    <col min="265" max="265" width="19.140625" style="1397" bestFit="1" customWidth="1"/>
    <col min="266" max="266" width="15.7109375" style="1397" bestFit="1" customWidth="1"/>
    <col min="267" max="267" width="9.140625" style="1397"/>
    <col min="268" max="268" width="14.7109375" style="1397" bestFit="1" customWidth="1"/>
    <col min="269" max="512" width="9.140625" style="1397"/>
    <col min="513" max="513" width="7.140625" style="1397" customWidth="1"/>
    <col min="514" max="514" width="31.5703125" style="1397" customWidth="1"/>
    <col min="515" max="515" width="12.5703125" style="1397" customWidth="1"/>
    <col min="516" max="516" width="10.42578125" style="1397" customWidth="1"/>
    <col min="517" max="517" width="16.140625" style="1397" customWidth="1"/>
    <col min="518" max="518" width="18.42578125" style="1397" customWidth="1"/>
    <col min="519" max="519" width="12.28515625" style="1397" bestFit="1" customWidth="1"/>
    <col min="520" max="520" width="9.140625" style="1397"/>
    <col min="521" max="521" width="19.140625" style="1397" bestFit="1" customWidth="1"/>
    <col min="522" max="522" width="15.7109375" style="1397" bestFit="1" customWidth="1"/>
    <col min="523" max="523" width="9.140625" style="1397"/>
    <col min="524" max="524" width="14.7109375" style="1397" bestFit="1" customWidth="1"/>
    <col min="525" max="768" width="9.140625" style="1397"/>
    <col min="769" max="769" width="7.140625" style="1397" customWidth="1"/>
    <col min="770" max="770" width="31.5703125" style="1397" customWidth="1"/>
    <col min="771" max="771" width="12.5703125" style="1397" customWidth="1"/>
    <col min="772" max="772" width="10.42578125" style="1397" customWidth="1"/>
    <col min="773" max="773" width="16.140625" style="1397" customWidth="1"/>
    <col min="774" max="774" width="18.42578125" style="1397" customWidth="1"/>
    <col min="775" max="775" width="12.28515625" style="1397" bestFit="1" customWidth="1"/>
    <col min="776" max="776" width="9.140625" style="1397"/>
    <col min="777" max="777" width="19.140625" style="1397" bestFit="1" customWidth="1"/>
    <col min="778" max="778" width="15.7109375" style="1397" bestFit="1" customWidth="1"/>
    <col min="779" max="779" width="9.140625" style="1397"/>
    <col min="780" max="780" width="14.7109375" style="1397" bestFit="1" customWidth="1"/>
    <col min="781" max="1024" width="9.140625" style="1397"/>
    <col min="1025" max="1025" width="7.140625" style="1397" customWidth="1"/>
    <col min="1026" max="1026" width="31.5703125" style="1397" customWidth="1"/>
    <col min="1027" max="1027" width="12.5703125" style="1397" customWidth="1"/>
    <col min="1028" max="1028" width="10.42578125" style="1397" customWidth="1"/>
    <col min="1029" max="1029" width="16.140625" style="1397" customWidth="1"/>
    <col min="1030" max="1030" width="18.42578125" style="1397" customWidth="1"/>
    <col min="1031" max="1031" width="12.28515625" style="1397" bestFit="1" customWidth="1"/>
    <col min="1032" max="1032" width="9.140625" style="1397"/>
    <col min="1033" max="1033" width="19.140625" style="1397" bestFit="1" customWidth="1"/>
    <col min="1034" max="1034" width="15.7109375" style="1397" bestFit="1" customWidth="1"/>
    <col min="1035" max="1035" width="9.140625" style="1397"/>
    <col min="1036" max="1036" width="14.7109375" style="1397" bestFit="1" customWidth="1"/>
    <col min="1037" max="1280" width="9.140625" style="1397"/>
    <col min="1281" max="1281" width="7.140625" style="1397" customWidth="1"/>
    <col min="1282" max="1282" width="31.5703125" style="1397" customWidth="1"/>
    <col min="1283" max="1283" width="12.5703125" style="1397" customWidth="1"/>
    <col min="1284" max="1284" width="10.42578125" style="1397" customWidth="1"/>
    <col min="1285" max="1285" width="16.140625" style="1397" customWidth="1"/>
    <col min="1286" max="1286" width="18.42578125" style="1397" customWidth="1"/>
    <col min="1287" max="1287" width="12.28515625" style="1397" bestFit="1" customWidth="1"/>
    <col min="1288" max="1288" width="9.140625" style="1397"/>
    <col min="1289" max="1289" width="19.140625" style="1397" bestFit="1" customWidth="1"/>
    <col min="1290" max="1290" width="15.7109375" style="1397" bestFit="1" customWidth="1"/>
    <col min="1291" max="1291" width="9.140625" style="1397"/>
    <col min="1292" max="1292" width="14.7109375" style="1397" bestFit="1" customWidth="1"/>
    <col min="1293" max="1536" width="9.140625" style="1397"/>
    <col min="1537" max="1537" width="7.140625" style="1397" customWidth="1"/>
    <col min="1538" max="1538" width="31.5703125" style="1397" customWidth="1"/>
    <col min="1539" max="1539" width="12.5703125" style="1397" customWidth="1"/>
    <col min="1540" max="1540" width="10.42578125" style="1397" customWidth="1"/>
    <col min="1541" max="1541" width="16.140625" style="1397" customWidth="1"/>
    <col min="1542" max="1542" width="18.42578125" style="1397" customWidth="1"/>
    <col min="1543" max="1543" width="12.28515625" style="1397" bestFit="1" customWidth="1"/>
    <col min="1544" max="1544" width="9.140625" style="1397"/>
    <col min="1545" max="1545" width="19.140625" style="1397" bestFit="1" customWidth="1"/>
    <col min="1546" max="1546" width="15.7109375" style="1397" bestFit="1" customWidth="1"/>
    <col min="1547" max="1547" width="9.140625" style="1397"/>
    <col min="1548" max="1548" width="14.7109375" style="1397" bestFit="1" customWidth="1"/>
    <col min="1549" max="1792" width="9.140625" style="1397"/>
    <col min="1793" max="1793" width="7.140625" style="1397" customWidth="1"/>
    <col min="1794" max="1794" width="31.5703125" style="1397" customWidth="1"/>
    <col min="1795" max="1795" width="12.5703125" style="1397" customWidth="1"/>
    <col min="1796" max="1796" width="10.42578125" style="1397" customWidth="1"/>
    <col min="1797" max="1797" width="16.140625" style="1397" customWidth="1"/>
    <col min="1798" max="1798" width="18.42578125" style="1397" customWidth="1"/>
    <col min="1799" max="1799" width="12.28515625" style="1397" bestFit="1" customWidth="1"/>
    <col min="1800" max="1800" width="9.140625" style="1397"/>
    <col min="1801" max="1801" width="19.140625" style="1397" bestFit="1" customWidth="1"/>
    <col min="1802" max="1802" width="15.7109375" style="1397" bestFit="1" customWidth="1"/>
    <col min="1803" max="1803" width="9.140625" style="1397"/>
    <col min="1804" max="1804" width="14.7109375" style="1397" bestFit="1" customWidth="1"/>
    <col min="1805" max="2048" width="9.140625" style="1397"/>
    <col min="2049" max="2049" width="7.140625" style="1397" customWidth="1"/>
    <col min="2050" max="2050" width="31.5703125" style="1397" customWidth="1"/>
    <col min="2051" max="2051" width="12.5703125" style="1397" customWidth="1"/>
    <col min="2052" max="2052" width="10.42578125" style="1397" customWidth="1"/>
    <col min="2053" max="2053" width="16.140625" style="1397" customWidth="1"/>
    <col min="2054" max="2054" width="18.42578125" style="1397" customWidth="1"/>
    <col min="2055" max="2055" width="12.28515625" style="1397" bestFit="1" customWidth="1"/>
    <col min="2056" max="2056" width="9.140625" style="1397"/>
    <col min="2057" max="2057" width="19.140625" style="1397" bestFit="1" customWidth="1"/>
    <col min="2058" max="2058" width="15.7109375" style="1397" bestFit="1" customWidth="1"/>
    <col min="2059" max="2059" width="9.140625" style="1397"/>
    <col min="2060" max="2060" width="14.7109375" style="1397" bestFit="1" customWidth="1"/>
    <col min="2061" max="2304" width="9.140625" style="1397"/>
    <col min="2305" max="2305" width="7.140625" style="1397" customWidth="1"/>
    <col min="2306" max="2306" width="31.5703125" style="1397" customWidth="1"/>
    <col min="2307" max="2307" width="12.5703125" style="1397" customWidth="1"/>
    <col min="2308" max="2308" width="10.42578125" style="1397" customWidth="1"/>
    <col min="2309" max="2309" width="16.140625" style="1397" customWidth="1"/>
    <col min="2310" max="2310" width="18.42578125" style="1397" customWidth="1"/>
    <col min="2311" max="2311" width="12.28515625" style="1397" bestFit="1" customWidth="1"/>
    <col min="2312" max="2312" width="9.140625" style="1397"/>
    <col min="2313" max="2313" width="19.140625" style="1397" bestFit="1" customWidth="1"/>
    <col min="2314" max="2314" width="15.7109375" style="1397" bestFit="1" customWidth="1"/>
    <col min="2315" max="2315" width="9.140625" style="1397"/>
    <col min="2316" max="2316" width="14.7109375" style="1397" bestFit="1" customWidth="1"/>
    <col min="2317" max="2560" width="9.140625" style="1397"/>
    <col min="2561" max="2561" width="7.140625" style="1397" customWidth="1"/>
    <col min="2562" max="2562" width="31.5703125" style="1397" customWidth="1"/>
    <col min="2563" max="2563" width="12.5703125" style="1397" customWidth="1"/>
    <col min="2564" max="2564" width="10.42578125" style="1397" customWidth="1"/>
    <col min="2565" max="2565" width="16.140625" style="1397" customWidth="1"/>
    <col min="2566" max="2566" width="18.42578125" style="1397" customWidth="1"/>
    <col min="2567" max="2567" width="12.28515625" style="1397" bestFit="1" customWidth="1"/>
    <col min="2568" max="2568" width="9.140625" style="1397"/>
    <col min="2569" max="2569" width="19.140625" style="1397" bestFit="1" customWidth="1"/>
    <col min="2570" max="2570" width="15.7109375" style="1397" bestFit="1" customWidth="1"/>
    <col min="2571" max="2571" width="9.140625" style="1397"/>
    <col min="2572" max="2572" width="14.7109375" style="1397" bestFit="1" customWidth="1"/>
    <col min="2573" max="2816" width="9.140625" style="1397"/>
    <col min="2817" max="2817" width="7.140625" style="1397" customWidth="1"/>
    <col min="2818" max="2818" width="31.5703125" style="1397" customWidth="1"/>
    <col min="2819" max="2819" width="12.5703125" style="1397" customWidth="1"/>
    <col min="2820" max="2820" width="10.42578125" style="1397" customWidth="1"/>
    <col min="2821" max="2821" width="16.140625" style="1397" customWidth="1"/>
    <col min="2822" max="2822" width="18.42578125" style="1397" customWidth="1"/>
    <col min="2823" max="2823" width="12.28515625" style="1397" bestFit="1" customWidth="1"/>
    <col min="2824" max="2824" width="9.140625" style="1397"/>
    <col min="2825" max="2825" width="19.140625" style="1397" bestFit="1" customWidth="1"/>
    <col min="2826" max="2826" width="15.7109375" style="1397" bestFit="1" customWidth="1"/>
    <col min="2827" max="2827" width="9.140625" style="1397"/>
    <col min="2828" max="2828" width="14.7109375" style="1397" bestFit="1" customWidth="1"/>
    <col min="2829" max="3072" width="9.140625" style="1397"/>
    <col min="3073" max="3073" width="7.140625" style="1397" customWidth="1"/>
    <col min="3074" max="3074" width="31.5703125" style="1397" customWidth="1"/>
    <col min="3075" max="3075" width="12.5703125" style="1397" customWidth="1"/>
    <col min="3076" max="3076" width="10.42578125" style="1397" customWidth="1"/>
    <col min="3077" max="3077" width="16.140625" style="1397" customWidth="1"/>
    <col min="3078" max="3078" width="18.42578125" style="1397" customWidth="1"/>
    <col min="3079" max="3079" width="12.28515625" style="1397" bestFit="1" customWidth="1"/>
    <col min="3080" max="3080" width="9.140625" style="1397"/>
    <col min="3081" max="3081" width="19.140625" style="1397" bestFit="1" customWidth="1"/>
    <col min="3082" max="3082" width="15.7109375" style="1397" bestFit="1" customWidth="1"/>
    <col min="3083" max="3083" width="9.140625" style="1397"/>
    <col min="3084" max="3084" width="14.7109375" style="1397" bestFit="1" customWidth="1"/>
    <col min="3085" max="3328" width="9.140625" style="1397"/>
    <col min="3329" max="3329" width="7.140625" style="1397" customWidth="1"/>
    <col min="3330" max="3330" width="31.5703125" style="1397" customWidth="1"/>
    <col min="3331" max="3331" width="12.5703125" style="1397" customWidth="1"/>
    <col min="3332" max="3332" width="10.42578125" style="1397" customWidth="1"/>
    <col min="3333" max="3333" width="16.140625" style="1397" customWidth="1"/>
    <col min="3334" max="3334" width="18.42578125" style="1397" customWidth="1"/>
    <col min="3335" max="3335" width="12.28515625" style="1397" bestFit="1" customWidth="1"/>
    <col min="3336" max="3336" width="9.140625" style="1397"/>
    <col min="3337" max="3337" width="19.140625" style="1397" bestFit="1" customWidth="1"/>
    <col min="3338" max="3338" width="15.7109375" style="1397" bestFit="1" customWidth="1"/>
    <col min="3339" max="3339" width="9.140625" style="1397"/>
    <col min="3340" max="3340" width="14.7109375" style="1397" bestFit="1" customWidth="1"/>
    <col min="3341" max="3584" width="9.140625" style="1397"/>
    <col min="3585" max="3585" width="7.140625" style="1397" customWidth="1"/>
    <col min="3586" max="3586" width="31.5703125" style="1397" customWidth="1"/>
    <col min="3587" max="3587" width="12.5703125" style="1397" customWidth="1"/>
    <col min="3588" max="3588" width="10.42578125" style="1397" customWidth="1"/>
    <col min="3589" max="3589" width="16.140625" style="1397" customWidth="1"/>
    <col min="3590" max="3590" width="18.42578125" style="1397" customWidth="1"/>
    <col min="3591" max="3591" width="12.28515625" style="1397" bestFit="1" customWidth="1"/>
    <col min="3592" max="3592" width="9.140625" style="1397"/>
    <col min="3593" max="3593" width="19.140625" style="1397" bestFit="1" customWidth="1"/>
    <col min="3594" max="3594" width="15.7109375" style="1397" bestFit="1" customWidth="1"/>
    <col min="3595" max="3595" width="9.140625" style="1397"/>
    <col min="3596" max="3596" width="14.7109375" style="1397" bestFit="1" customWidth="1"/>
    <col min="3597" max="3840" width="9.140625" style="1397"/>
    <col min="3841" max="3841" width="7.140625" style="1397" customWidth="1"/>
    <col min="3842" max="3842" width="31.5703125" style="1397" customWidth="1"/>
    <col min="3843" max="3843" width="12.5703125" style="1397" customWidth="1"/>
    <col min="3844" max="3844" width="10.42578125" style="1397" customWidth="1"/>
    <col min="3845" max="3845" width="16.140625" style="1397" customWidth="1"/>
    <col min="3846" max="3846" width="18.42578125" style="1397" customWidth="1"/>
    <col min="3847" max="3847" width="12.28515625" style="1397" bestFit="1" customWidth="1"/>
    <col min="3848" max="3848" width="9.140625" style="1397"/>
    <col min="3849" max="3849" width="19.140625" style="1397" bestFit="1" customWidth="1"/>
    <col min="3850" max="3850" width="15.7109375" style="1397" bestFit="1" customWidth="1"/>
    <col min="3851" max="3851" width="9.140625" style="1397"/>
    <col min="3852" max="3852" width="14.7109375" style="1397" bestFit="1" customWidth="1"/>
    <col min="3853" max="4096" width="9.140625" style="1397"/>
    <col min="4097" max="4097" width="7.140625" style="1397" customWidth="1"/>
    <col min="4098" max="4098" width="31.5703125" style="1397" customWidth="1"/>
    <col min="4099" max="4099" width="12.5703125" style="1397" customWidth="1"/>
    <col min="4100" max="4100" width="10.42578125" style="1397" customWidth="1"/>
    <col min="4101" max="4101" width="16.140625" style="1397" customWidth="1"/>
    <col min="4102" max="4102" width="18.42578125" style="1397" customWidth="1"/>
    <col min="4103" max="4103" width="12.28515625" style="1397" bestFit="1" customWidth="1"/>
    <col min="4104" max="4104" width="9.140625" style="1397"/>
    <col min="4105" max="4105" width="19.140625" style="1397" bestFit="1" customWidth="1"/>
    <col min="4106" max="4106" width="15.7109375" style="1397" bestFit="1" customWidth="1"/>
    <col min="4107" max="4107" width="9.140625" style="1397"/>
    <col min="4108" max="4108" width="14.7109375" style="1397" bestFit="1" customWidth="1"/>
    <col min="4109" max="4352" width="9.140625" style="1397"/>
    <col min="4353" max="4353" width="7.140625" style="1397" customWidth="1"/>
    <col min="4354" max="4354" width="31.5703125" style="1397" customWidth="1"/>
    <col min="4355" max="4355" width="12.5703125" style="1397" customWidth="1"/>
    <col min="4356" max="4356" width="10.42578125" style="1397" customWidth="1"/>
    <col min="4357" max="4357" width="16.140625" style="1397" customWidth="1"/>
    <col min="4358" max="4358" width="18.42578125" style="1397" customWidth="1"/>
    <col min="4359" max="4359" width="12.28515625" style="1397" bestFit="1" customWidth="1"/>
    <col min="4360" max="4360" width="9.140625" style="1397"/>
    <col min="4361" max="4361" width="19.140625" style="1397" bestFit="1" customWidth="1"/>
    <col min="4362" max="4362" width="15.7109375" style="1397" bestFit="1" customWidth="1"/>
    <col min="4363" max="4363" width="9.140625" style="1397"/>
    <col min="4364" max="4364" width="14.7109375" style="1397" bestFit="1" customWidth="1"/>
    <col min="4365" max="4608" width="9.140625" style="1397"/>
    <col min="4609" max="4609" width="7.140625" style="1397" customWidth="1"/>
    <col min="4610" max="4610" width="31.5703125" style="1397" customWidth="1"/>
    <col min="4611" max="4611" width="12.5703125" style="1397" customWidth="1"/>
    <col min="4612" max="4612" width="10.42578125" style="1397" customWidth="1"/>
    <col min="4613" max="4613" width="16.140625" style="1397" customWidth="1"/>
    <col min="4614" max="4614" width="18.42578125" style="1397" customWidth="1"/>
    <col min="4615" max="4615" width="12.28515625" style="1397" bestFit="1" customWidth="1"/>
    <col min="4616" max="4616" width="9.140625" style="1397"/>
    <col min="4617" max="4617" width="19.140625" style="1397" bestFit="1" customWidth="1"/>
    <col min="4618" max="4618" width="15.7109375" style="1397" bestFit="1" customWidth="1"/>
    <col min="4619" max="4619" width="9.140625" style="1397"/>
    <col min="4620" max="4620" width="14.7109375" style="1397" bestFit="1" customWidth="1"/>
    <col min="4621" max="4864" width="9.140625" style="1397"/>
    <col min="4865" max="4865" width="7.140625" style="1397" customWidth="1"/>
    <col min="4866" max="4866" width="31.5703125" style="1397" customWidth="1"/>
    <col min="4867" max="4867" width="12.5703125" style="1397" customWidth="1"/>
    <col min="4868" max="4868" width="10.42578125" style="1397" customWidth="1"/>
    <col min="4869" max="4869" width="16.140625" style="1397" customWidth="1"/>
    <col min="4870" max="4870" width="18.42578125" style="1397" customWidth="1"/>
    <col min="4871" max="4871" width="12.28515625" style="1397" bestFit="1" customWidth="1"/>
    <col min="4872" max="4872" width="9.140625" style="1397"/>
    <col min="4873" max="4873" width="19.140625" style="1397" bestFit="1" customWidth="1"/>
    <col min="4874" max="4874" width="15.7109375" style="1397" bestFit="1" customWidth="1"/>
    <col min="4875" max="4875" width="9.140625" style="1397"/>
    <col min="4876" max="4876" width="14.7109375" style="1397" bestFit="1" customWidth="1"/>
    <col min="4877" max="5120" width="9.140625" style="1397"/>
    <col min="5121" max="5121" width="7.140625" style="1397" customWidth="1"/>
    <col min="5122" max="5122" width="31.5703125" style="1397" customWidth="1"/>
    <col min="5123" max="5123" width="12.5703125" style="1397" customWidth="1"/>
    <col min="5124" max="5124" width="10.42578125" style="1397" customWidth="1"/>
    <col min="5125" max="5125" width="16.140625" style="1397" customWidth="1"/>
    <col min="5126" max="5126" width="18.42578125" style="1397" customWidth="1"/>
    <col min="5127" max="5127" width="12.28515625" style="1397" bestFit="1" customWidth="1"/>
    <col min="5128" max="5128" width="9.140625" style="1397"/>
    <col min="5129" max="5129" width="19.140625" style="1397" bestFit="1" customWidth="1"/>
    <col min="5130" max="5130" width="15.7109375" style="1397" bestFit="1" customWidth="1"/>
    <col min="5131" max="5131" width="9.140625" style="1397"/>
    <col min="5132" max="5132" width="14.7109375" style="1397" bestFit="1" customWidth="1"/>
    <col min="5133" max="5376" width="9.140625" style="1397"/>
    <col min="5377" max="5377" width="7.140625" style="1397" customWidth="1"/>
    <col min="5378" max="5378" width="31.5703125" style="1397" customWidth="1"/>
    <col min="5379" max="5379" width="12.5703125" style="1397" customWidth="1"/>
    <col min="5380" max="5380" width="10.42578125" style="1397" customWidth="1"/>
    <col min="5381" max="5381" width="16.140625" style="1397" customWidth="1"/>
    <col min="5382" max="5382" width="18.42578125" style="1397" customWidth="1"/>
    <col min="5383" max="5383" width="12.28515625" style="1397" bestFit="1" customWidth="1"/>
    <col min="5384" max="5384" width="9.140625" style="1397"/>
    <col min="5385" max="5385" width="19.140625" style="1397" bestFit="1" customWidth="1"/>
    <col min="5386" max="5386" width="15.7109375" style="1397" bestFit="1" customWidth="1"/>
    <col min="5387" max="5387" width="9.140625" style="1397"/>
    <col min="5388" max="5388" width="14.7109375" style="1397" bestFit="1" customWidth="1"/>
    <col min="5389" max="5632" width="9.140625" style="1397"/>
    <col min="5633" max="5633" width="7.140625" style="1397" customWidth="1"/>
    <col min="5634" max="5634" width="31.5703125" style="1397" customWidth="1"/>
    <col min="5635" max="5635" width="12.5703125" style="1397" customWidth="1"/>
    <col min="5636" max="5636" width="10.42578125" style="1397" customWidth="1"/>
    <col min="5637" max="5637" width="16.140625" style="1397" customWidth="1"/>
    <col min="5638" max="5638" width="18.42578125" style="1397" customWidth="1"/>
    <col min="5639" max="5639" width="12.28515625" style="1397" bestFit="1" customWidth="1"/>
    <col min="5640" max="5640" width="9.140625" style="1397"/>
    <col min="5641" max="5641" width="19.140625" style="1397" bestFit="1" customWidth="1"/>
    <col min="5642" max="5642" width="15.7109375" style="1397" bestFit="1" customWidth="1"/>
    <col min="5643" max="5643" width="9.140625" style="1397"/>
    <col min="5644" max="5644" width="14.7109375" style="1397" bestFit="1" customWidth="1"/>
    <col min="5645" max="5888" width="9.140625" style="1397"/>
    <col min="5889" max="5889" width="7.140625" style="1397" customWidth="1"/>
    <col min="5890" max="5890" width="31.5703125" style="1397" customWidth="1"/>
    <col min="5891" max="5891" width="12.5703125" style="1397" customWidth="1"/>
    <col min="5892" max="5892" width="10.42578125" style="1397" customWidth="1"/>
    <col min="5893" max="5893" width="16.140625" style="1397" customWidth="1"/>
    <col min="5894" max="5894" width="18.42578125" style="1397" customWidth="1"/>
    <col min="5895" max="5895" width="12.28515625" style="1397" bestFit="1" customWidth="1"/>
    <col min="5896" max="5896" width="9.140625" style="1397"/>
    <col min="5897" max="5897" width="19.140625" style="1397" bestFit="1" customWidth="1"/>
    <col min="5898" max="5898" width="15.7109375" style="1397" bestFit="1" customWidth="1"/>
    <col min="5899" max="5899" width="9.140625" style="1397"/>
    <col min="5900" max="5900" width="14.7109375" style="1397" bestFit="1" customWidth="1"/>
    <col min="5901" max="6144" width="9.140625" style="1397"/>
    <col min="6145" max="6145" width="7.140625" style="1397" customWidth="1"/>
    <col min="6146" max="6146" width="31.5703125" style="1397" customWidth="1"/>
    <col min="6147" max="6147" width="12.5703125" style="1397" customWidth="1"/>
    <col min="6148" max="6148" width="10.42578125" style="1397" customWidth="1"/>
    <col min="6149" max="6149" width="16.140625" style="1397" customWidth="1"/>
    <col min="6150" max="6150" width="18.42578125" style="1397" customWidth="1"/>
    <col min="6151" max="6151" width="12.28515625" style="1397" bestFit="1" customWidth="1"/>
    <col min="6152" max="6152" width="9.140625" style="1397"/>
    <col min="6153" max="6153" width="19.140625" style="1397" bestFit="1" customWidth="1"/>
    <col min="6154" max="6154" width="15.7109375" style="1397" bestFit="1" customWidth="1"/>
    <col min="6155" max="6155" width="9.140625" style="1397"/>
    <col min="6156" max="6156" width="14.7109375" style="1397" bestFit="1" customWidth="1"/>
    <col min="6157" max="6400" width="9.140625" style="1397"/>
    <col min="6401" max="6401" width="7.140625" style="1397" customWidth="1"/>
    <col min="6402" max="6402" width="31.5703125" style="1397" customWidth="1"/>
    <col min="6403" max="6403" width="12.5703125" style="1397" customWidth="1"/>
    <col min="6404" max="6404" width="10.42578125" style="1397" customWidth="1"/>
    <col min="6405" max="6405" width="16.140625" style="1397" customWidth="1"/>
    <col min="6406" max="6406" width="18.42578125" style="1397" customWidth="1"/>
    <col min="6407" max="6407" width="12.28515625" style="1397" bestFit="1" customWidth="1"/>
    <col min="6408" max="6408" width="9.140625" style="1397"/>
    <col min="6409" max="6409" width="19.140625" style="1397" bestFit="1" customWidth="1"/>
    <col min="6410" max="6410" width="15.7109375" style="1397" bestFit="1" customWidth="1"/>
    <col min="6411" max="6411" width="9.140625" style="1397"/>
    <col min="6412" max="6412" width="14.7109375" style="1397" bestFit="1" customWidth="1"/>
    <col min="6413" max="6656" width="9.140625" style="1397"/>
    <col min="6657" max="6657" width="7.140625" style="1397" customWidth="1"/>
    <col min="6658" max="6658" width="31.5703125" style="1397" customWidth="1"/>
    <col min="6659" max="6659" width="12.5703125" style="1397" customWidth="1"/>
    <col min="6660" max="6660" width="10.42578125" style="1397" customWidth="1"/>
    <col min="6661" max="6661" width="16.140625" style="1397" customWidth="1"/>
    <col min="6662" max="6662" width="18.42578125" style="1397" customWidth="1"/>
    <col min="6663" max="6663" width="12.28515625" style="1397" bestFit="1" customWidth="1"/>
    <col min="6664" max="6664" width="9.140625" style="1397"/>
    <col min="6665" max="6665" width="19.140625" style="1397" bestFit="1" customWidth="1"/>
    <col min="6666" max="6666" width="15.7109375" style="1397" bestFit="1" customWidth="1"/>
    <col min="6667" max="6667" width="9.140625" style="1397"/>
    <col min="6668" max="6668" width="14.7109375" style="1397" bestFit="1" customWidth="1"/>
    <col min="6669" max="6912" width="9.140625" style="1397"/>
    <col min="6913" max="6913" width="7.140625" style="1397" customWidth="1"/>
    <col min="6914" max="6914" width="31.5703125" style="1397" customWidth="1"/>
    <col min="6915" max="6915" width="12.5703125" style="1397" customWidth="1"/>
    <col min="6916" max="6916" width="10.42578125" style="1397" customWidth="1"/>
    <col min="6917" max="6917" width="16.140625" style="1397" customWidth="1"/>
    <col min="6918" max="6918" width="18.42578125" style="1397" customWidth="1"/>
    <col min="6919" max="6919" width="12.28515625" style="1397" bestFit="1" customWidth="1"/>
    <col min="6920" max="6920" width="9.140625" style="1397"/>
    <col min="6921" max="6921" width="19.140625" style="1397" bestFit="1" customWidth="1"/>
    <col min="6922" max="6922" width="15.7109375" style="1397" bestFit="1" customWidth="1"/>
    <col min="6923" max="6923" width="9.140625" style="1397"/>
    <col min="6924" max="6924" width="14.7109375" style="1397" bestFit="1" customWidth="1"/>
    <col min="6925" max="7168" width="9.140625" style="1397"/>
    <col min="7169" max="7169" width="7.140625" style="1397" customWidth="1"/>
    <col min="7170" max="7170" width="31.5703125" style="1397" customWidth="1"/>
    <col min="7171" max="7171" width="12.5703125" style="1397" customWidth="1"/>
    <col min="7172" max="7172" width="10.42578125" style="1397" customWidth="1"/>
    <col min="7173" max="7173" width="16.140625" style="1397" customWidth="1"/>
    <col min="7174" max="7174" width="18.42578125" style="1397" customWidth="1"/>
    <col min="7175" max="7175" width="12.28515625" style="1397" bestFit="1" customWidth="1"/>
    <col min="7176" max="7176" width="9.140625" style="1397"/>
    <col min="7177" max="7177" width="19.140625" style="1397" bestFit="1" customWidth="1"/>
    <col min="7178" max="7178" width="15.7109375" style="1397" bestFit="1" customWidth="1"/>
    <col min="7179" max="7179" width="9.140625" style="1397"/>
    <col min="7180" max="7180" width="14.7109375" style="1397" bestFit="1" customWidth="1"/>
    <col min="7181" max="7424" width="9.140625" style="1397"/>
    <col min="7425" max="7425" width="7.140625" style="1397" customWidth="1"/>
    <col min="7426" max="7426" width="31.5703125" style="1397" customWidth="1"/>
    <col min="7427" max="7427" width="12.5703125" style="1397" customWidth="1"/>
    <col min="7428" max="7428" width="10.42578125" style="1397" customWidth="1"/>
    <col min="7429" max="7429" width="16.140625" style="1397" customWidth="1"/>
    <col min="7430" max="7430" width="18.42578125" style="1397" customWidth="1"/>
    <col min="7431" max="7431" width="12.28515625" style="1397" bestFit="1" customWidth="1"/>
    <col min="7432" max="7432" width="9.140625" style="1397"/>
    <col min="7433" max="7433" width="19.140625" style="1397" bestFit="1" customWidth="1"/>
    <col min="7434" max="7434" width="15.7109375" style="1397" bestFit="1" customWidth="1"/>
    <col min="7435" max="7435" width="9.140625" style="1397"/>
    <col min="7436" max="7436" width="14.7109375" style="1397" bestFit="1" customWidth="1"/>
    <col min="7437" max="7680" width="9.140625" style="1397"/>
    <col min="7681" max="7681" width="7.140625" style="1397" customWidth="1"/>
    <col min="7682" max="7682" width="31.5703125" style="1397" customWidth="1"/>
    <col min="7683" max="7683" width="12.5703125" style="1397" customWidth="1"/>
    <col min="7684" max="7684" width="10.42578125" style="1397" customWidth="1"/>
    <col min="7685" max="7685" width="16.140625" style="1397" customWidth="1"/>
    <col min="7686" max="7686" width="18.42578125" style="1397" customWidth="1"/>
    <col min="7687" max="7687" width="12.28515625" style="1397" bestFit="1" customWidth="1"/>
    <col min="7688" max="7688" width="9.140625" style="1397"/>
    <col min="7689" max="7689" width="19.140625" style="1397" bestFit="1" customWidth="1"/>
    <col min="7690" max="7690" width="15.7109375" style="1397" bestFit="1" customWidth="1"/>
    <col min="7691" max="7691" width="9.140625" style="1397"/>
    <col min="7692" max="7692" width="14.7109375" style="1397" bestFit="1" customWidth="1"/>
    <col min="7693" max="7936" width="9.140625" style="1397"/>
    <col min="7937" max="7937" width="7.140625" style="1397" customWidth="1"/>
    <col min="7938" max="7938" width="31.5703125" style="1397" customWidth="1"/>
    <col min="7939" max="7939" width="12.5703125" style="1397" customWidth="1"/>
    <col min="7940" max="7940" width="10.42578125" style="1397" customWidth="1"/>
    <col min="7941" max="7941" width="16.140625" style="1397" customWidth="1"/>
    <col min="7942" max="7942" width="18.42578125" style="1397" customWidth="1"/>
    <col min="7943" max="7943" width="12.28515625" style="1397" bestFit="1" customWidth="1"/>
    <col min="7944" max="7944" width="9.140625" style="1397"/>
    <col min="7945" max="7945" width="19.140625" style="1397" bestFit="1" customWidth="1"/>
    <col min="7946" max="7946" width="15.7109375" style="1397" bestFit="1" customWidth="1"/>
    <col min="7947" max="7947" width="9.140625" style="1397"/>
    <col min="7948" max="7948" width="14.7109375" style="1397" bestFit="1" customWidth="1"/>
    <col min="7949" max="8192" width="9.140625" style="1397"/>
    <col min="8193" max="8193" width="7.140625" style="1397" customWidth="1"/>
    <col min="8194" max="8194" width="31.5703125" style="1397" customWidth="1"/>
    <col min="8195" max="8195" width="12.5703125" style="1397" customWidth="1"/>
    <col min="8196" max="8196" width="10.42578125" style="1397" customWidth="1"/>
    <col min="8197" max="8197" width="16.140625" style="1397" customWidth="1"/>
    <col min="8198" max="8198" width="18.42578125" style="1397" customWidth="1"/>
    <col min="8199" max="8199" width="12.28515625" style="1397" bestFit="1" customWidth="1"/>
    <col min="8200" max="8200" width="9.140625" style="1397"/>
    <col min="8201" max="8201" width="19.140625" style="1397" bestFit="1" customWidth="1"/>
    <col min="8202" max="8202" width="15.7109375" style="1397" bestFit="1" customWidth="1"/>
    <col min="8203" max="8203" width="9.140625" style="1397"/>
    <col min="8204" max="8204" width="14.7109375" style="1397" bestFit="1" customWidth="1"/>
    <col min="8205" max="8448" width="9.140625" style="1397"/>
    <col min="8449" max="8449" width="7.140625" style="1397" customWidth="1"/>
    <col min="8450" max="8450" width="31.5703125" style="1397" customWidth="1"/>
    <col min="8451" max="8451" width="12.5703125" style="1397" customWidth="1"/>
    <col min="8452" max="8452" width="10.42578125" style="1397" customWidth="1"/>
    <col min="8453" max="8453" width="16.140625" style="1397" customWidth="1"/>
    <col min="8454" max="8454" width="18.42578125" style="1397" customWidth="1"/>
    <col min="8455" max="8455" width="12.28515625" style="1397" bestFit="1" customWidth="1"/>
    <col min="8456" max="8456" width="9.140625" style="1397"/>
    <col min="8457" max="8457" width="19.140625" style="1397" bestFit="1" customWidth="1"/>
    <col min="8458" max="8458" width="15.7109375" style="1397" bestFit="1" customWidth="1"/>
    <col min="8459" max="8459" width="9.140625" style="1397"/>
    <col min="8460" max="8460" width="14.7109375" style="1397" bestFit="1" customWidth="1"/>
    <col min="8461" max="8704" width="9.140625" style="1397"/>
    <col min="8705" max="8705" width="7.140625" style="1397" customWidth="1"/>
    <col min="8706" max="8706" width="31.5703125" style="1397" customWidth="1"/>
    <col min="8707" max="8707" width="12.5703125" style="1397" customWidth="1"/>
    <col min="8708" max="8708" width="10.42578125" style="1397" customWidth="1"/>
    <col min="8709" max="8709" width="16.140625" style="1397" customWidth="1"/>
    <col min="8710" max="8710" width="18.42578125" style="1397" customWidth="1"/>
    <col min="8711" max="8711" width="12.28515625" style="1397" bestFit="1" customWidth="1"/>
    <col min="8712" max="8712" width="9.140625" style="1397"/>
    <col min="8713" max="8713" width="19.140625" style="1397" bestFit="1" customWidth="1"/>
    <col min="8714" max="8714" width="15.7109375" style="1397" bestFit="1" customWidth="1"/>
    <col min="8715" max="8715" width="9.140625" style="1397"/>
    <col min="8716" max="8716" width="14.7109375" style="1397" bestFit="1" customWidth="1"/>
    <col min="8717" max="8960" width="9.140625" style="1397"/>
    <col min="8961" max="8961" width="7.140625" style="1397" customWidth="1"/>
    <col min="8962" max="8962" width="31.5703125" style="1397" customWidth="1"/>
    <col min="8963" max="8963" width="12.5703125" style="1397" customWidth="1"/>
    <col min="8964" max="8964" width="10.42578125" style="1397" customWidth="1"/>
    <col min="8965" max="8965" width="16.140625" style="1397" customWidth="1"/>
    <col min="8966" max="8966" width="18.42578125" style="1397" customWidth="1"/>
    <col min="8967" max="8967" width="12.28515625" style="1397" bestFit="1" customWidth="1"/>
    <col min="8968" max="8968" width="9.140625" style="1397"/>
    <col min="8969" max="8969" width="19.140625" style="1397" bestFit="1" customWidth="1"/>
    <col min="8970" max="8970" width="15.7109375" style="1397" bestFit="1" customWidth="1"/>
    <col min="8971" max="8971" width="9.140625" style="1397"/>
    <col min="8972" max="8972" width="14.7109375" style="1397" bestFit="1" customWidth="1"/>
    <col min="8973" max="9216" width="9.140625" style="1397"/>
    <col min="9217" max="9217" width="7.140625" style="1397" customWidth="1"/>
    <col min="9218" max="9218" width="31.5703125" style="1397" customWidth="1"/>
    <col min="9219" max="9219" width="12.5703125" style="1397" customWidth="1"/>
    <col min="9220" max="9220" width="10.42578125" style="1397" customWidth="1"/>
    <col min="9221" max="9221" width="16.140625" style="1397" customWidth="1"/>
    <col min="9222" max="9222" width="18.42578125" style="1397" customWidth="1"/>
    <col min="9223" max="9223" width="12.28515625" style="1397" bestFit="1" customWidth="1"/>
    <col min="9224" max="9224" width="9.140625" style="1397"/>
    <col min="9225" max="9225" width="19.140625" style="1397" bestFit="1" customWidth="1"/>
    <col min="9226" max="9226" width="15.7109375" style="1397" bestFit="1" customWidth="1"/>
    <col min="9227" max="9227" width="9.140625" style="1397"/>
    <col min="9228" max="9228" width="14.7109375" style="1397" bestFit="1" customWidth="1"/>
    <col min="9229" max="9472" width="9.140625" style="1397"/>
    <col min="9473" max="9473" width="7.140625" style="1397" customWidth="1"/>
    <col min="9474" max="9474" width="31.5703125" style="1397" customWidth="1"/>
    <col min="9475" max="9475" width="12.5703125" style="1397" customWidth="1"/>
    <col min="9476" max="9476" width="10.42578125" style="1397" customWidth="1"/>
    <col min="9477" max="9477" width="16.140625" style="1397" customWidth="1"/>
    <col min="9478" max="9478" width="18.42578125" style="1397" customWidth="1"/>
    <col min="9479" max="9479" width="12.28515625" style="1397" bestFit="1" customWidth="1"/>
    <col min="9480" max="9480" width="9.140625" style="1397"/>
    <col min="9481" max="9481" width="19.140625" style="1397" bestFit="1" customWidth="1"/>
    <col min="9482" max="9482" width="15.7109375" style="1397" bestFit="1" customWidth="1"/>
    <col min="9483" max="9483" width="9.140625" style="1397"/>
    <col min="9484" max="9484" width="14.7109375" style="1397" bestFit="1" customWidth="1"/>
    <col min="9485" max="9728" width="9.140625" style="1397"/>
    <col min="9729" max="9729" width="7.140625" style="1397" customWidth="1"/>
    <col min="9730" max="9730" width="31.5703125" style="1397" customWidth="1"/>
    <col min="9731" max="9731" width="12.5703125" style="1397" customWidth="1"/>
    <col min="9732" max="9732" width="10.42578125" style="1397" customWidth="1"/>
    <col min="9733" max="9733" width="16.140625" style="1397" customWidth="1"/>
    <col min="9734" max="9734" width="18.42578125" style="1397" customWidth="1"/>
    <col min="9735" max="9735" width="12.28515625" style="1397" bestFit="1" customWidth="1"/>
    <col min="9736" max="9736" width="9.140625" style="1397"/>
    <col min="9737" max="9737" width="19.140625" style="1397" bestFit="1" customWidth="1"/>
    <col min="9738" max="9738" width="15.7109375" style="1397" bestFit="1" customWidth="1"/>
    <col min="9739" max="9739" width="9.140625" style="1397"/>
    <col min="9740" max="9740" width="14.7109375" style="1397" bestFit="1" customWidth="1"/>
    <col min="9741" max="9984" width="9.140625" style="1397"/>
    <col min="9985" max="9985" width="7.140625" style="1397" customWidth="1"/>
    <col min="9986" max="9986" width="31.5703125" style="1397" customWidth="1"/>
    <col min="9987" max="9987" width="12.5703125" style="1397" customWidth="1"/>
    <col min="9988" max="9988" width="10.42578125" style="1397" customWidth="1"/>
    <col min="9989" max="9989" width="16.140625" style="1397" customWidth="1"/>
    <col min="9990" max="9990" width="18.42578125" style="1397" customWidth="1"/>
    <col min="9991" max="9991" width="12.28515625" style="1397" bestFit="1" customWidth="1"/>
    <col min="9992" max="9992" width="9.140625" style="1397"/>
    <col min="9993" max="9993" width="19.140625" style="1397" bestFit="1" customWidth="1"/>
    <col min="9994" max="9994" width="15.7109375" style="1397" bestFit="1" customWidth="1"/>
    <col min="9995" max="9995" width="9.140625" style="1397"/>
    <col min="9996" max="9996" width="14.7109375" style="1397" bestFit="1" customWidth="1"/>
    <col min="9997" max="10240" width="9.140625" style="1397"/>
    <col min="10241" max="10241" width="7.140625" style="1397" customWidth="1"/>
    <col min="10242" max="10242" width="31.5703125" style="1397" customWidth="1"/>
    <col min="10243" max="10243" width="12.5703125" style="1397" customWidth="1"/>
    <col min="10244" max="10244" width="10.42578125" style="1397" customWidth="1"/>
    <col min="10245" max="10245" width="16.140625" style="1397" customWidth="1"/>
    <col min="10246" max="10246" width="18.42578125" style="1397" customWidth="1"/>
    <col min="10247" max="10247" width="12.28515625" style="1397" bestFit="1" customWidth="1"/>
    <col min="10248" max="10248" width="9.140625" style="1397"/>
    <col min="10249" max="10249" width="19.140625" style="1397" bestFit="1" customWidth="1"/>
    <col min="10250" max="10250" width="15.7109375" style="1397" bestFit="1" customWidth="1"/>
    <col min="10251" max="10251" width="9.140625" style="1397"/>
    <col min="10252" max="10252" width="14.7109375" style="1397" bestFit="1" customWidth="1"/>
    <col min="10253" max="10496" width="9.140625" style="1397"/>
    <col min="10497" max="10497" width="7.140625" style="1397" customWidth="1"/>
    <col min="10498" max="10498" width="31.5703125" style="1397" customWidth="1"/>
    <col min="10499" max="10499" width="12.5703125" style="1397" customWidth="1"/>
    <col min="10500" max="10500" width="10.42578125" style="1397" customWidth="1"/>
    <col min="10501" max="10501" width="16.140625" style="1397" customWidth="1"/>
    <col min="10502" max="10502" width="18.42578125" style="1397" customWidth="1"/>
    <col min="10503" max="10503" width="12.28515625" style="1397" bestFit="1" customWidth="1"/>
    <col min="10504" max="10504" width="9.140625" style="1397"/>
    <col min="10505" max="10505" width="19.140625" style="1397" bestFit="1" customWidth="1"/>
    <col min="10506" max="10506" width="15.7109375" style="1397" bestFit="1" customWidth="1"/>
    <col min="10507" max="10507" width="9.140625" style="1397"/>
    <col min="10508" max="10508" width="14.7109375" style="1397" bestFit="1" customWidth="1"/>
    <col min="10509" max="10752" width="9.140625" style="1397"/>
    <col min="10753" max="10753" width="7.140625" style="1397" customWidth="1"/>
    <col min="10754" max="10754" width="31.5703125" style="1397" customWidth="1"/>
    <col min="10755" max="10755" width="12.5703125" style="1397" customWidth="1"/>
    <col min="10756" max="10756" width="10.42578125" style="1397" customWidth="1"/>
    <col min="10757" max="10757" width="16.140625" style="1397" customWidth="1"/>
    <col min="10758" max="10758" width="18.42578125" style="1397" customWidth="1"/>
    <col min="10759" max="10759" width="12.28515625" style="1397" bestFit="1" customWidth="1"/>
    <col min="10760" max="10760" width="9.140625" style="1397"/>
    <col min="10761" max="10761" width="19.140625" style="1397" bestFit="1" customWidth="1"/>
    <col min="10762" max="10762" width="15.7109375" style="1397" bestFit="1" customWidth="1"/>
    <col min="10763" max="10763" width="9.140625" style="1397"/>
    <col min="10764" max="10764" width="14.7109375" style="1397" bestFit="1" customWidth="1"/>
    <col min="10765" max="11008" width="9.140625" style="1397"/>
    <col min="11009" max="11009" width="7.140625" style="1397" customWidth="1"/>
    <col min="11010" max="11010" width="31.5703125" style="1397" customWidth="1"/>
    <col min="11011" max="11011" width="12.5703125" style="1397" customWidth="1"/>
    <col min="11012" max="11012" width="10.42578125" style="1397" customWidth="1"/>
    <col min="11013" max="11013" width="16.140625" style="1397" customWidth="1"/>
    <col min="11014" max="11014" width="18.42578125" style="1397" customWidth="1"/>
    <col min="11015" max="11015" width="12.28515625" style="1397" bestFit="1" customWidth="1"/>
    <col min="11016" max="11016" width="9.140625" style="1397"/>
    <col min="11017" max="11017" width="19.140625" style="1397" bestFit="1" customWidth="1"/>
    <col min="11018" max="11018" width="15.7109375" style="1397" bestFit="1" customWidth="1"/>
    <col min="11019" max="11019" width="9.140625" style="1397"/>
    <col min="11020" max="11020" width="14.7109375" style="1397" bestFit="1" customWidth="1"/>
    <col min="11021" max="11264" width="9.140625" style="1397"/>
    <col min="11265" max="11265" width="7.140625" style="1397" customWidth="1"/>
    <col min="11266" max="11266" width="31.5703125" style="1397" customWidth="1"/>
    <col min="11267" max="11267" width="12.5703125" style="1397" customWidth="1"/>
    <col min="11268" max="11268" width="10.42578125" style="1397" customWidth="1"/>
    <col min="11269" max="11269" width="16.140625" style="1397" customWidth="1"/>
    <col min="11270" max="11270" width="18.42578125" style="1397" customWidth="1"/>
    <col min="11271" max="11271" width="12.28515625" style="1397" bestFit="1" customWidth="1"/>
    <col min="11272" max="11272" width="9.140625" style="1397"/>
    <col min="11273" max="11273" width="19.140625" style="1397" bestFit="1" customWidth="1"/>
    <col min="11274" max="11274" width="15.7109375" style="1397" bestFit="1" customWidth="1"/>
    <col min="11275" max="11275" width="9.140625" style="1397"/>
    <col min="11276" max="11276" width="14.7109375" style="1397" bestFit="1" customWidth="1"/>
    <col min="11277" max="11520" width="9.140625" style="1397"/>
    <col min="11521" max="11521" width="7.140625" style="1397" customWidth="1"/>
    <col min="11522" max="11522" width="31.5703125" style="1397" customWidth="1"/>
    <col min="11523" max="11523" width="12.5703125" style="1397" customWidth="1"/>
    <col min="11524" max="11524" width="10.42578125" style="1397" customWidth="1"/>
    <col min="11525" max="11525" width="16.140625" style="1397" customWidth="1"/>
    <col min="11526" max="11526" width="18.42578125" style="1397" customWidth="1"/>
    <col min="11527" max="11527" width="12.28515625" style="1397" bestFit="1" customWidth="1"/>
    <col min="11528" max="11528" width="9.140625" style="1397"/>
    <col min="11529" max="11529" width="19.140625" style="1397" bestFit="1" customWidth="1"/>
    <col min="11530" max="11530" width="15.7109375" style="1397" bestFit="1" customWidth="1"/>
    <col min="11531" max="11531" width="9.140625" style="1397"/>
    <col min="11532" max="11532" width="14.7109375" style="1397" bestFit="1" customWidth="1"/>
    <col min="11533" max="11776" width="9.140625" style="1397"/>
    <col min="11777" max="11777" width="7.140625" style="1397" customWidth="1"/>
    <col min="11778" max="11778" width="31.5703125" style="1397" customWidth="1"/>
    <col min="11779" max="11779" width="12.5703125" style="1397" customWidth="1"/>
    <col min="11780" max="11780" width="10.42578125" style="1397" customWidth="1"/>
    <col min="11781" max="11781" width="16.140625" style="1397" customWidth="1"/>
    <col min="11782" max="11782" width="18.42578125" style="1397" customWidth="1"/>
    <col min="11783" max="11783" width="12.28515625" style="1397" bestFit="1" customWidth="1"/>
    <col min="11784" max="11784" width="9.140625" style="1397"/>
    <col min="11785" max="11785" width="19.140625" style="1397" bestFit="1" customWidth="1"/>
    <col min="11786" max="11786" width="15.7109375" style="1397" bestFit="1" customWidth="1"/>
    <col min="11787" max="11787" width="9.140625" style="1397"/>
    <col min="11788" max="11788" width="14.7109375" style="1397" bestFit="1" customWidth="1"/>
    <col min="11789" max="12032" width="9.140625" style="1397"/>
    <col min="12033" max="12033" width="7.140625" style="1397" customWidth="1"/>
    <col min="12034" max="12034" width="31.5703125" style="1397" customWidth="1"/>
    <col min="12035" max="12035" width="12.5703125" style="1397" customWidth="1"/>
    <col min="12036" max="12036" width="10.42578125" style="1397" customWidth="1"/>
    <col min="12037" max="12037" width="16.140625" style="1397" customWidth="1"/>
    <col min="12038" max="12038" width="18.42578125" style="1397" customWidth="1"/>
    <col min="12039" max="12039" width="12.28515625" style="1397" bestFit="1" customWidth="1"/>
    <col min="12040" max="12040" width="9.140625" style="1397"/>
    <col min="12041" max="12041" width="19.140625" style="1397" bestFit="1" customWidth="1"/>
    <col min="12042" max="12042" width="15.7109375" style="1397" bestFit="1" customWidth="1"/>
    <col min="12043" max="12043" width="9.140625" style="1397"/>
    <col min="12044" max="12044" width="14.7109375" style="1397" bestFit="1" customWidth="1"/>
    <col min="12045" max="12288" width="9.140625" style="1397"/>
    <col min="12289" max="12289" width="7.140625" style="1397" customWidth="1"/>
    <col min="12290" max="12290" width="31.5703125" style="1397" customWidth="1"/>
    <col min="12291" max="12291" width="12.5703125" style="1397" customWidth="1"/>
    <col min="12292" max="12292" width="10.42578125" style="1397" customWidth="1"/>
    <col min="12293" max="12293" width="16.140625" style="1397" customWidth="1"/>
    <col min="12294" max="12294" width="18.42578125" style="1397" customWidth="1"/>
    <col min="12295" max="12295" width="12.28515625" style="1397" bestFit="1" customWidth="1"/>
    <col min="12296" max="12296" width="9.140625" style="1397"/>
    <col min="12297" max="12297" width="19.140625" style="1397" bestFit="1" customWidth="1"/>
    <col min="12298" max="12298" width="15.7109375" style="1397" bestFit="1" customWidth="1"/>
    <col min="12299" max="12299" width="9.140625" style="1397"/>
    <col min="12300" max="12300" width="14.7109375" style="1397" bestFit="1" customWidth="1"/>
    <col min="12301" max="12544" width="9.140625" style="1397"/>
    <col min="12545" max="12545" width="7.140625" style="1397" customWidth="1"/>
    <col min="12546" max="12546" width="31.5703125" style="1397" customWidth="1"/>
    <col min="12547" max="12547" width="12.5703125" style="1397" customWidth="1"/>
    <col min="12548" max="12548" width="10.42578125" style="1397" customWidth="1"/>
    <col min="12549" max="12549" width="16.140625" style="1397" customWidth="1"/>
    <col min="12550" max="12550" width="18.42578125" style="1397" customWidth="1"/>
    <col min="12551" max="12551" width="12.28515625" style="1397" bestFit="1" customWidth="1"/>
    <col min="12552" max="12552" width="9.140625" style="1397"/>
    <col min="12553" max="12553" width="19.140625" style="1397" bestFit="1" customWidth="1"/>
    <col min="12554" max="12554" width="15.7109375" style="1397" bestFit="1" customWidth="1"/>
    <col min="12555" max="12555" width="9.140625" style="1397"/>
    <col min="12556" max="12556" width="14.7109375" style="1397" bestFit="1" customWidth="1"/>
    <col min="12557" max="12800" width="9.140625" style="1397"/>
    <col min="12801" max="12801" width="7.140625" style="1397" customWidth="1"/>
    <col min="12802" max="12802" width="31.5703125" style="1397" customWidth="1"/>
    <col min="12803" max="12803" width="12.5703125" style="1397" customWidth="1"/>
    <col min="12804" max="12804" width="10.42578125" style="1397" customWidth="1"/>
    <col min="12805" max="12805" width="16.140625" style="1397" customWidth="1"/>
    <col min="12806" max="12806" width="18.42578125" style="1397" customWidth="1"/>
    <col min="12807" max="12807" width="12.28515625" style="1397" bestFit="1" customWidth="1"/>
    <col min="12808" max="12808" width="9.140625" style="1397"/>
    <col min="12809" max="12809" width="19.140625" style="1397" bestFit="1" customWidth="1"/>
    <col min="12810" max="12810" width="15.7109375" style="1397" bestFit="1" customWidth="1"/>
    <col min="12811" max="12811" width="9.140625" style="1397"/>
    <col min="12812" max="12812" width="14.7109375" style="1397" bestFit="1" customWidth="1"/>
    <col min="12813" max="13056" width="9.140625" style="1397"/>
    <col min="13057" max="13057" width="7.140625" style="1397" customWidth="1"/>
    <col min="13058" max="13058" width="31.5703125" style="1397" customWidth="1"/>
    <col min="13059" max="13059" width="12.5703125" style="1397" customWidth="1"/>
    <col min="13060" max="13060" width="10.42578125" style="1397" customWidth="1"/>
    <col min="13061" max="13061" width="16.140625" style="1397" customWidth="1"/>
    <col min="13062" max="13062" width="18.42578125" style="1397" customWidth="1"/>
    <col min="13063" max="13063" width="12.28515625" style="1397" bestFit="1" customWidth="1"/>
    <col min="13064" max="13064" width="9.140625" style="1397"/>
    <col min="13065" max="13065" width="19.140625" style="1397" bestFit="1" customWidth="1"/>
    <col min="13066" max="13066" width="15.7109375" style="1397" bestFit="1" customWidth="1"/>
    <col min="13067" max="13067" width="9.140625" style="1397"/>
    <col min="13068" max="13068" width="14.7109375" style="1397" bestFit="1" customWidth="1"/>
    <col min="13069" max="13312" width="9.140625" style="1397"/>
    <col min="13313" max="13313" width="7.140625" style="1397" customWidth="1"/>
    <col min="13314" max="13314" width="31.5703125" style="1397" customWidth="1"/>
    <col min="13315" max="13315" width="12.5703125" style="1397" customWidth="1"/>
    <col min="13316" max="13316" width="10.42578125" style="1397" customWidth="1"/>
    <col min="13317" max="13317" width="16.140625" style="1397" customWidth="1"/>
    <col min="13318" max="13318" width="18.42578125" style="1397" customWidth="1"/>
    <col min="13319" max="13319" width="12.28515625" style="1397" bestFit="1" customWidth="1"/>
    <col min="13320" max="13320" width="9.140625" style="1397"/>
    <col min="13321" max="13321" width="19.140625" style="1397" bestFit="1" customWidth="1"/>
    <col min="13322" max="13322" width="15.7109375" style="1397" bestFit="1" customWidth="1"/>
    <col min="13323" max="13323" width="9.140625" style="1397"/>
    <col min="13324" max="13324" width="14.7109375" style="1397" bestFit="1" customWidth="1"/>
    <col min="13325" max="13568" width="9.140625" style="1397"/>
    <col min="13569" max="13569" width="7.140625" style="1397" customWidth="1"/>
    <col min="13570" max="13570" width="31.5703125" style="1397" customWidth="1"/>
    <col min="13571" max="13571" width="12.5703125" style="1397" customWidth="1"/>
    <col min="13572" max="13572" width="10.42578125" style="1397" customWidth="1"/>
    <col min="13573" max="13573" width="16.140625" style="1397" customWidth="1"/>
    <col min="13574" max="13574" width="18.42578125" style="1397" customWidth="1"/>
    <col min="13575" max="13575" width="12.28515625" style="1397" bestFit="1" customWidth="1"/>
    <col min="13576" max="13576" width="9.140625" style="1397"/>
    <col min="13577" max="13577" width="19.140625" style="1397" bestFit="1" customWidth="1"/>
    <col min="13578" max="13578" width="15.7109375" style="1397" bestFit="1" customWidth="1"/>
    <col min="13579" max="13579" width="9.140625" style="1397"/>
    <col min="13580" max="13580" width="14.7109375" style="1397" bestFit="1" customWidth="1"/>
    <col min="13581" max="13824" width="9.140625" style="1397"/>
    <col min="13825" max="13825" width="7.140625" style="1397" customWidth="1"/>
    <col min="13826" max="13826" width="31.5703125" style="1397" customWidth="1"/>
    <col min="13827" max="13827" width="12.5703125" style="1397" customWidth="1"/>
    <col min="13828" max="13828" width="10.42578125" style="1397" customWidth="1"/>
    <col min="13829" max="13829" width="16.140625" style="1397" customWidth="1"/>
    <col min="13830" max="13830" width="18.42578125" style="1397" customWidth="1"/>
    <col min="13831" max="13831" width="12.28515625" style="1397" bestFit="1" customWidth="1"/>
    <col min="13832" max="13832" width="9.140625" style="1397"/>
    <col min="13833" max="13833" width="19.140625" style="1397" bestFit="1" customWidth="1"/>
    <col min="13834" max="13834" width="15.7109375" style="1397" bestFit="1" customWidth="1"/>
    <col min="13835" max="13835" width="9.140625" style="1397"/>
    <col min="13836" max="13836" width="14.7109375" style="1397" bestFit="1" customWidth="1"/>
    <col min="13837" max="14080" width="9.140625" style="1397"/>
    <col min="14081" max="14081" width="7.140625" style="1397" customWidth="1"/>
    <col min="14082" max="14082" width="31.5703125" style="1397" customWidth="1"/>
    <col min="14083" max="14083" width="12.5703125" style="1397" customWidth="1"/>
    <col min="14084" max="14084" width="10.42578125" style="1397" customWidth="1"/>
    <col min="14085" max="14085" width="16.140625" style="1397" customWidth="1"/>
    <col min="14086" max="14086" width="18.42578125" style="1397" customWidth="1"/>
    <col min="14087" max="14087" width="12.28515625" style="1397" bestFit="1" customWidth="1"/>
    <col min="14088" max="14088" width="9.140625" style="1397"/>
    <col min="14089" max="14089" width="19.140625" style="1397" bestFit="1" customWidth="1"/>
    <col min="14090" max="14090" width="15.7109375" style="1397" bestFit="1" customWidth="1"/>
    <col min="14091" max="14091" width="9.140625" style="1397"/>
    <col min="14092" max="14092" width="14.7109375" style="1397" bestFit="1" customWidth="1"/>
    <col min="14093" max="14336" width="9.140625" style="1397"/>
    <col min="14337" max="14337" width="7.140625" style="1397" customWidth="1"/>
    <col min="14338" max="14338" width="31.5703125" style="1397" customWidth="1"/>
    <col min="14339" max="14339" width="12.5703125" style="1397" customWidth="1"/>
    <col min="14340" max="14340" width="10.42578125" style="1397" customWidth="1"/>
    <col min="14341" max="14341" width="16.140625" style="1397" customWidth="1"/>
    <col min="14342" max="14342" width="18.42578125" style="1397" customWidth="1"/>
    <col min="14343" max="14343" width="12.28515625" style="1397" bestFit="1" customWidth="1"/>
    <col min="14344" max="14344" width="9.140625" style="1397"/>
    <col min="14345" max="14345" width="19.140625" style="1397" bestFit="1" customWidth="1"/>
    <col min="14346" max="14346" width="15.7109375" style="1397" bestFit="1" customWidth="1"/>
    <col min="14347" max="14347" width="9.140625" style="1397"/>
    <col min="14348" max="14348" width="14.7109375" style="1397" bestFit="1" customWidth="1"/>
    <col min="14349" max="14592" width="9.140625" style="1397"/>
    <col min="14593" max="14593" width="7.140625" style="1397" customWidth="1"/>
    <col min="14594" max="14594" width="31.5703125" style="1397" customWidth="1"/>
    <col min="14595" max="14595" width="12.5703125" style="1397" customWidth="1"/>
    <col min="14596" max="14596" width="10.42578125" style="1397" customWidth="1"/>
    <col min="14597" max="14597" width="16.140625" style="1397" customWidth="1"/>
    <col min="14598" max="14598" width="18.42578125" style="1397" customWidth="1"/>
    <col min="14599" max="14599" width="12.28515625" style="1397" bestFit="1" customWidth="1"/>
    <col min="14600" max="14600" width="9.140625" style="1397"/>
    <col min="14601" max="14601" width="19.140625" style="1397" bestFit="1" customWidth="1"/>
    <col min="14602" max="14602" width="15.7109375" style="1397" bestFit="1" customWidth="1"/>
    <col min="14603" max="14603" width="9.140625" style="1397"/>
    <col min="14604" max="14604" width="14.7109375" style="1397" bestFit="1" customWidth="1"/>
    <col min="14605" max="14848" width="9.140625" style="1397"/>
    <col min="14849" max="14849" width="7.140625" style="1397" customWidth="1"/>
    <col min="14850" max="14850" width="31.5703125" style="1397" customWidth="1"/>
    <col min="14851" max="14851" width="12.5703125" style="1397" customWidth="1"/>
    <col min="14852" max="14852" width="10.42578125" style="1397" customWidth="1"/>
    <col min="14853" max="14853" width="16.140625" style="1397" customWidth="1"/>
    <col min="14854" max="14854" width="18.42578125" style="1397" customWidth="1"/>
    <col min="14855" max="14855" width="12.28515625" style="1397" bestFit="1" customWidth="1"/>
    <col min="14856" max="14856" width="9.140625" style="1397"/>
    <col min="14857" max="14857" width="19.140625" style="1397" bestFit="1" customWidth="1"/>
    <col min="14858" max="14858" width="15.7109375" style="1397" bestFit="1" customWidth="1"/>
    <col min="14859" max="14859" width="9.140625" style="1397"/>
    <col min="14860" max="14860" width="14.7109375" style="1397" bestFit="1" customWidth="1"/>
    <col min="14861" max="15104" width="9.140625" style="1397"/>
    <col min="15105" max="15105" width="7.140625" style="1397" customWidth="1"/>
    <col min="15106" max="15106" width="31.5703125" style="1397" customWidth="1"/>
    <col min="15107" max="15107" width="12.5703125" style="1397" customWidth="1"/>
    <col min="15108" max="15108" width="10.42578125" style="1397" customWidth="1"/>
    <col min="15109" max="15109" width="16.140625" style="1397" customWidth="1"/>
    <col min="15110" max="15110" width="18.42578125" style="1397" customWidth="1"/>
    <col min="15111" max="15111" width="12.28515625" style="1397" bestFit="1" customWidth="1"/>
    <col min="15112" max="15112" width="9.140625" style="1397"/>
    <col min="15113" max="15113" width="19.140625" style="1397" bestFit="1" customWidth="1"/>
    <col min="15114" max="15114" width="15.7109375" style="1397" bestFit="1" customWidth="1"/>
    <col min="15115" max="15115" width="9.140625" style="1397"/>
    <col min="15116" max="15116" width="14.7109375" style="1397" bestFit="1" customWidth="1"/>
    <col min="15117" max="15360" width="9.140625" style="1397"/>
    <col min="15361" max="15361" width="7.140625" style="1397" customWidth="1"/>
    <col min="15362" max="15362" width="31.5703125" style="1397" customWidth="1"/>
    <col min="15363" max="15363" width="12.5703125" style="1397" customWidth="1"/>
    <col min="15364" max="15364" width="10.42578125" style="1397" customWidth="1"/>
    <col min="15365" max="15365" width="16.140625" style="1397" customWidth="1"/>
    <col min="15366" max="15366" width="18.42578125" style="1397" customWidth="1"/>
    <col min="15367" max="15367" width="12.28515625" style="1397" bestFit="1" customWidth="1"/>
    <col min="15368" max="15368" width="9.140625" style="1397"/>
    <col min="15369" max="15369" width="19.140625" style="1397" bestFit="1" customWidth="1"/>
    <col min="15370" max="15370" width="15.7109375" style="1397" bestFit="1" customWidth="1"/>
    <col min="15371" max="15371" width="9.140625" style="1397"/>
    <col min="15372" max="15372" width="14.7109375" style="1397" bestFit="1" customWidth="1"/>
    <col min="15373" max="15616" width="9.140625" style="1397"/>
    <col min="15617" max="15617" width="7.140625" style="1397" customWidth="1"/>
    <col min="15618" max="15618" width="31.5703125" style="1397" customWidth="1"/>
    <col min="15619" max="15619" width="12.5703125" style="1397" customWidth="1"/>
    <col min="15620" max="15620" width="10.42578125" style="1397" customWidth="1"/>
    <col min="15621" max="15621" width="16.140625" style="1397" customWidth="1"/>
    <col min="15622" max="15622" width="18.42578125" style="1397" customWidth="1"/>
    <col min="15623" max="15623" width="12.28515625" style="1397" bestFit="1" customWidth="1"/>
    <col min="15624" max="15624" width="9.140625" style="1397"/>
    <col min="15625" max="15625" width="19.140625" style="1397" bestFit="1" customWidth="1"/>
    <col min="15626" max="15626" width="15.7109375" style="1397" bestFit="1" customWidth="1"/>
    <col min="15627" max="15627" width="9.140625" style="1397"/>
    <col min="15628" max="15628" width="14.7109375" style="1397" bestFit="1" customWidth="1"/>
    <col min="15629" max="15872" width="9.140625" style="1397"/>
    <col min="15873" max="15873" width="7.140625" style="1397" customWidth="1"/>
    <col min="15874" max="15874" width="31.5703125" style="1397" customWidth="1"/>
    <col min="15875" max="15875" width="12.5703125" style="1397" customWidth="1"/>
    <col min="15876" max="15876" width="10.42578125" style="1397" customWidth="1"/>
    <col min="15877" max="15877" width="16.140625" style="1397" customWidth="1"/>
    <col min="15878" max="15878" width="18.42578125" style="1397" customWidth="1"/>
    <col min="15879" max="15879" width="12.28515625" style="1397" bestFit="1" customWidth="1"/>
    <col min="15880" max="15880" width="9.140625" style="1397"/>
    <col min="15881" max="15881" width="19.140625" style="1397" bestFit="1" customWidth="1"/>
    <col min="15882" max="15882" width="15.7109375" style="1397" bestFit="1" customWidth="1"/>
    <col min="15883" max="15883" width="9.140625" style="1397"/>
    <col min="15884" max="15884" width="14.7109375" style="1397" bestFit="1" customWidth="1"/>
    <col min="15885" max="16128" width="9.140625" style="1397"/>
    <col min="16129" max="16129" width="7.140625" style="1397" customWidth="1"/>
    <col min="16130" max="16130" width="31.5703125" style="1397" customWidth="1"/>
    <col min="16131" max="16131" width="12.5703125" style="1397" customWidth="1"/>
    <col min="16132" max="16132" width="10.42578125" style="1397" customWidth="1"/>
    <col min="16133" max="16133" width="16.140625" style="1397" customWidth="1"/>
    <col min="16134" max="16134" width="18.42578125" style="1397" customWidth="1"/>
    <col min="16135" max="16135" width="12.28515625" style="1397" bestFit="1" customWidth="1"/>
    <col min="16136" max="16136" width="9.140625" style="1397"/>
    <col min="16137" max="16137" width="19.140625" style="1397" bestFit="1" customWidth="1"/>
    <col min="16138" max="16138" width="15.7109375" style="1397" bestFit="1" customWidth="1"/>
    <col min="16139" max="16139" width="9.140625" style="1397"/>
    <col min="16140" max="16140" width="14.7109375" style="1397" bestFit="1" customWidth="1"/>
    <col min="16141" max="16384" width="9.140625" style="1397"/>
  </cols>
  <sheetData>
    <row r="1" spans="1:12">
      <c r="C1" s="1397" t="s">
        <v>3215</v>
      </c>
      <c r="G1" s="1748" t="s">
        <v>1020</v>
      </c>
    </row>
    <row r="5" spans="1:12" ht="17.100000000000001" customHeight="1">
      <c r="A5" s="1406" t="s">
        <v>97</v>
      </c>
      <c r="B5" s="1406" t="s">
        <v>2487</v>
      </c>
      <c r="C5" s="1406" t="s">
        <v>235</v>
      </c>
      <c r="D5" s="1420" t="s">
        <v>1055</v>
      </c>
      <c r="E5" s="1406" t="s">
        <v>3</v>
      </c>
      <c r="F5" s="1405" t="s">
        <v>4</v>
      </c>
      <c r="G5" s="1413"/>
      <c r="J5" s="1398"/>
    </row>
    <row r="6" spans="1:12" ht="17.100000000000001" customHeight="1">
      <c r="A6" s="1406" t="s">
        <v>30</v>
      </c>
      <c r="B6" s="2500" t="s">
        <v>2486</v>
      </c>
      <c r="C6" s="2501"/>
      <c r="D6" s="2501"/>
      <c r="E6" s="2502"/>
      <c r="F6" s="1405">
        <f>SUM(F7:F26)</f>
        <v>254000000</v>
      </c>
      <c r="G6" s="1413"/>
      <c r="J6" s="1398"/>
    </row>
    <row r="7" spans="1:12" ht="17.100000000000001" customHeight="1">
      <c r="A7" s="1411">
        <v>1</v>
      </c>
      <c r="B7" s="1416" t="s">
        <v>2485</v>
      </c>
      <c r="C7" s="1411" t="s">
        <v>2460</v>
      </c>
      <c r="D7" s="1415">
        <v>100</v>
      </c>
      <c r="E7" s="1414">
        <v>160000</v>
      </c>
      <c r="F7" s="1419">
        <f t="shared" ref="F7:F26" si="0">D7*E7</f>
        <v>16000000</v>
      </c>
      <c r="G7" s="1413"/>
      <c r="J7" s="1398"/>
    </row>
    <row r="8" spans="1:12" ht="17.100000000000001" customHeight="1">
      <c r="A8" s="1411">
        <v>2</v>
      </c>
      <c r="B8" s="1416" t="s">
        <v>2484</v>
      </c>
      <c r="C8" s="1411" t="s">
        <v>2460</v>
      </c>
      <c r="D8" s="1415">
        <v>100</v>
      </c>
      <c r="E8" s="1414">
        <v>140000</v>
      </c>
      <c r="F8" s="1419">
        <f t="shared" si="0"/>
        <v>14000000</v>
      </c>
      <c r="G8" s="1413"/>
      <c r="J8" s="1398"/>
    </row>
    <row r="9" spans="1:12" ht="17.100000000000001" customHeight="1">
      <c r="A9" s="1411">
        <v>3</v>
      </c>
      <c r="B9" s="1418" t="s">
        <v>2483</v>
      </c>
      <c r="C9" s="1411" t="s">
        <v>2460</v>
      </c>
      <c r="D9" s="1415">
        <v>100</v>
      </c>
      <c r="E9" s="1414">
        <v>45000</v>
      </c>
      <c r="F9" s="1419">
        <f t="shared" si="0"/>
        <v>4500000</v>
      </c>
      <c r="G9" s="1413"/>
      <c r="J9" s="1398"/>
    </row>
    <row r="10" spans="1:12" ht="17.100000000000001" customHeight="1">
      <c r="A10" s="1411">
        <v>4</v>
      </c>
      <c r="B10" s="1418" t="s">
        <v>2482</v>
      </c>
      <c r="C10" s="1411" t="s">
        <v>2460</v>
      </c>
      <c r="D10" s="1415">
        <v>200</v>
      </c>
      <c r="E10" s="1414">
        <v>200000</v>
      </c>
      <c r="F10" s="1419">
        <f t="shared" si="0"/>
        <v>40000000</v>
      </c>
      <c r="G10" s="1413"/>
      <c r="J10" s="1750"/>
    </row>
    <row r="11" spans="1:12" ht="17.100000000000001" customHeight="1">
      <c r="A11" s="1411">
        <v>5</v>
      </c>
      <c r="B11" s="1418" t="s">
        <v>2481</v>
      </c>
      <c r="C11" s="1411" t="s">
        <v>2460</v>
      </c>
      <c r="D11" s="1415">
        <v>200</v>
      </c>
      <c r="E11" s="1414">
        <v>30000</v>
      </c>
      <c r="F11" s="1419">
        <f t="shared" si="0"/>
        <v>6000000</v>
      </c>
      <c r="G11" s="1413"/>
      <c r="I11" s="1397" t="s">
        <v>2480</v>
      </c>
      <c r="J11" s="1398">
        <f>F33-(F29+F30+F31)</f>
        <v>297200000</v>
      </c>
    </row>
    <row r="12" spans="1:12" ht="17.100000000000001" customHeight="1">
      <c r="A12" s="1411">
        <v>6</v>
      </c>
      <c r="B12" s="1418" t="s">
        <v>2479</v>
      </c>
      <c r="C12" s="1411" t="s">
        <v>2460</v>
      </c>
      <c r="D12" s="1415">
        <v>200</v>
      </c>
      <c r="E12" s="1414">
        <v>35000</v>
      </c>
      <c r="F12" s="1419">
        <f t="shared" si="0"/>
        <v>7000000</v>
      </c>
      <c r="G12" s="1413"/>
      <c r="I12" s="1397" t="s">
        <v>2021</v>
      </c>
      <c r="J12" s="1398">
        <f>J11-J13</f>
        <v>97200000</v>
      </c>
      <c r="K12" s="1893">
        <f>J12/J11</f>
        <v>0.32705248990578734</v>
      </c>
    </row>
    <row r="13" spans="1:12" ht="17.100000000000001" customHeight="1">
      <c r="A13" s="1411">
        <v>7</v>
      </c>
      <c r="B13" s="1416" t="s">
        <v>2478</v>
      </c>
      <c r="C13" s="1411" t="s">
        <v>2460</v>
      </c>
      <c r="D13" s="1415">
        <v>200</v>
      </c>
      <c r="E13" s="1414">
        <v>20000</v>
      </c>
      <c r="F13" s="1419">
        <f t="shared" si="0"/>
        <v>4000000</v>
      </c>
      <c r="G13" s="1413"/>
      <c r="I13" s="1397" t="s">
        <v>2477</v>
      </c>
      <c r="J13" s="1750">
        <v>200000000</v>
      </c>
    </row>
    <row r="14" spans="1:12" ht="17.100000000000001" customHeight="1">
      <c r="A14" s="1411">
        <v>8</v>
      </c>
      <c r="B14" s="1416" t="s">
        <v>2476</v>
      </c>
      <c r="C14" s="1411" t="s">
        <v>2460</v>
      </c>
      <c r="D14" s="1415">
        <v>200</v>
      </c>
      <c r="E14" s="1414">
        <v>40000</v>
      </c>
      <c r="F14" s="1419">
        <f t="shared" si="0"/>
        <v>8000000</v>
      </c>
      <c r="G14" s="1413"/>
    </row>
    <row r="15" spans="1:12" ht="17.100000000000001" customHeight="1">
      <c r="A15" s="1411">
        <v>9</v>
      </c>
      <c r="B15" s="1416" t="s">
        <v>2475</v>
      </c>
      <c r="C15" s="1411" t="s">
        <v>2460</v>
      </c>
      <c r="D15" s="1415">
        <v>100</v>
      </c>
      <c r="E15" s="1414">
        <v>40000</v>
      </c>
      <c r="F15" s="1419">
        <f t="shared" si="0"/>
        <v>4000000</v>
      </c>
      <c r="G15" s="1413"/>
      <c r="J15" s="1398"/>
    </row>
    <row r="16" spans="1:12" ht="17.100000000000001" customHeight="1">
      <c r="A16" s="1411">
        <v>10</v>
      </c>
      <c r="B16" s="1418" t="s">
        <v>2474</v>
      </c>
      <c r="C16" s="1411" t="s">
        <v>2460</v>
      </c>
      <c r="D16" s="1415">
        <v>100</v>
      </c>
      <c r="E16" s="1417">
        <v>130000</v>
      </c>
      <c r="F16" s="1407">
        <f t="shared" si="0"/>
        <v>13000000</v>
      </c>
      <c r="G16" s="1413"/>
      <c r="J16" s="1398"/>
      <c r="L16" s="1401"/>
    </row>
    <row r="17" spans="1:12" ht="17.100000000000001" customHeight="1">
      <c r="A17" s="1411">
        <v>11</v>
      </c>
      <c r="B17" s="1416" t="s">
        <v>2473</v>
      </c>
      <c r="C17" s="1411" t="s">
        <v>2460</v>
      </c>
      <c r="D17" s="1415">
        <v>100</v>
      </c>
      <c r="E17" s="1414">
        <v>150000</v>
      </c>
      <c r="F17" s="1407">
        <f t="shared" si="0"/>
        <v>15000000</v>
      </c>
      <c r="G17" s="1413"/>
      <c r="J17" s="1398"/>
      <c r="L17" s="1401"/>
    </row>
    <row r="18" spans="1:12" ht="17.100000000000001" customHeight="1">
      <c r="A18" s="1411">
        <v>12</v>
      </c>
      <c r="B18" s="1416" t="s">
        <v>2472</v>
      </c>
      <c r="C18" s="1411" t="s">
        <v>2460</v>
      </c>
      <c r="D18" s="1415">
        <v>100</v>
      </c>
      <c r="E18" s="1414">
        <v>150000</v>
      </c>
      <c r="F18" s="1407">
        <f t="shared" si="0"/>
        <v>15000000</v>
      </c>
      <c r="G18" s="1413"/>
      <c r="J18" s="1398"/>
    </row>
    <row r="19" spans="1:12" ht="17.100000000000001" customHeight="1">
      <c r="A19" s="1411">
        <v>13</v>
      </c>
      <c r="B19" s="1416" t="s">
        <v>2471</v>
      </c>
      <c r="C19" s="1411" t="s">
        <v>2460</v>
      </c>
      <c r="D19" s="1415">
        <v>100</v>
      </c>
      <c r="E19" s="1414">
        <v>150000</v>
      </c>
      <c r="F19" s="1407">
        <f t="shared" si="0"/>
        <v>15000000</v>
      </c>
      <c r="G19" s="1413"/>
      <c r="J19" s="1398"/>
    </row>
    <row r="20" spans="1:12" ht="17.100000000000001" customHeight="1">
      <c r="A20" s="1411">
        <v>14</v>
      </c>
      <c r="B20" s="1416" t="s">
        <v>2470</v>
      </c>
      <c r="C20" s="1411" t="s">
        <v>2460</v>
      </c>
      <c r="D20" s="1415">
        <v>100</v>
      </c>
      <c r="E20" s="1414">
        <v>200000</v>
      </c>
      <c r="F20" s="1407">
        <f t="shared" si="0"/>
        <v>20000000</v>
      </c>
      <c r="G20" s="1413"/>
      <c r="J20" s="1398"/>
    </row>
    <row r="21" spans="1:12" ht="17.100000000000001" customHeight="1">
      <c r="A21" s="1411">
        <v>15</v>
      </c>
      <c r="B21" s="1416" t="s">
        <v>2469</v>
      </c>
      <c r="C21" s="1411" t="s">
        <v>2460</v>
      </c>
      <c r="D21" s="1415">
        <v>100</v>
      </c>
      <c r="E21" s="1414">
        <v>250000</v>
      </c>
      <c r="F21" s="1407">
        <f t="shared" si="0"/>
        <v>25000000</v>
      </c>
      <c r="G21" s="1413"/>
      <c r="J21" s="1398"/>
    </row>
    <row r="22" spans="1:12" ht="17.100000000000001" customHeight="1">
      <c r="A22" s="1411">
        <v>16</v>
      </c>
      <c r="B22" s="1416" t="s">
        <v>2468</v>
      </c>
      <c r="C22" s="1411" t="s">
        <v>2460</v>
      </c>
      <c r="D22" s="1415">
        <v>150</v>
      </c>
      <c r="E22" s="1414">
        <v>50000</v>
      </c>
      <c r="F22" s="1407">
        <f t="shared" si="0"/>
        <v>7500000</v>
      </c>
      <c r="G22" s="1413"/>
      <c r="J22" s="1398"/>
    </row>
    <row r="23" spans="1:12" ht="17.100000000000001" customHeight="1">
      <c r="A23" s="1411">
        <v>17</v>
      </c>
      <c r="B23" s="1416" t="s">
        <v>2467</v>
      </c>
      <c r="C23" s="1411" t="s">
        <v>2460</v>
      </c>
      <c r="D23" s="1415">
        <v>200</v>
      </c>
      <c r="E23" s="1414">
        <v>50000</v>
      </c>
      <c r="F23" s="1407">
        <f t="shared" si="0"/>
        <v>10000000</v>
      </c>
      <c r="G23" s="1413"/>
      <c r="H23" s="1397" t="s">
        <v>2466</v>
      </c>
      <c r="I23" s="1753">
        <v>20</v>
      </c>
      <c r="J23" s="1754">
        <v>150000</v>
      </c>
      <c r="K23" s="1401">
        <f>J23*I23*12</f>
        <v>36000000</v>
      </c>
    </row>
    <row r="24" spans="1:12" ht="17.100000000000001" customHeight="1">
      <c r="A24" s="1411">
        <v>18</v>
      </c>
      <c r="B24" s="1416" t="s">
        <v>2465</v>
      </c>
      <c r="C24" s="1411" t="s">
        <v>2460</v>
      </c>
      <c r="D24" s="1415">
        <v>200</v>
      </c>
      <c r="E24" s="1414">
        <v>60000</v>
      </c>
      <c r="F24" s="1407">
        <f t="shared" si="0"/>
        <v>12000000</v>
      </c>
      <c r="G24" s="1413"/>
      <c r="I24" s="1755" t="s">
        <v>2464</v>
      </c>
      <c r="J24" s="1756">
        <v>130</v>
      </c>
      <c r="K24" s="1397" t="s">
        <v>90</v>
      </c>
    </row>
    <row r="25" spans="1:12" ht="17.100000000000001" customHeight="1">
      <c r="A25" s="1411">
        <v>19</v>
      </c>
      <c r="B25" s="1416" t="s">
        <v>2463</v>
      </c>
      <c r="C25" s="1411" t="s">
        <v>2460</v>
      </c>
      <c r="D25" s="1415">
        <v>200</v>
      </c>
      <c r="E25" s="1414">
        <v>50000</v>
      </c>
      <c r="F25" s="1407">
        <f t="shared" si="0"/>
        <v>10000000</v>
      </c>
      <c r="G25" s="1413"/>
      <c r="I25" s="1755" t="s">
        <v>2462</v>
      </c>
      <c r="J25" s="1398">
        <f>F6*J24/100</f>
        <v>330200000</v>
      </c>
      <c r="K25" s="1397" t="s">
        <v>1270</v>
      </c>
    </row>
    <row r="26" spans="1:12" ht="17.100000000000001" customHeight="1">
      <c r="A26" s="1411">
        <v>20</v>
      </c>
      <c r="B26" s="1416" t="s">
        <v>2461</v>
      </c>
      <c r="C26" s="1411" t="s">
        <v>2460</v>
      </c>
      <c r="D26" s="1415">
        <v>200</v>
      </c>
      <c r="E26" s="1414">
        <v>40000</v>
      </c>
      <c r="F26" s="1407">
        <f t="shared" si="0"/>
        <v>8000000</v>
      </c>
      <c r="G26" s="1413"/>
      <c r="I26" s="1755" t="s">
        <v>2459</v>
      </c>
      <c r="J26" s="1398">
        <f>J25+K23</f>
        <v>366200000</v>
      </c>
    </row>
    <row r="27" spans="1:12" ht="17.100000000000001" customHeight="1">
      <c r="A27" s="1406" t="s">
        <v>30</v>
      </c>
      <c r="B27" s="2503" t="s">
        <v>2458</v>
      </c>
      <c r="C27" s="2504"/>
      <c r="D27" s="2504"/>
      <c r="E27" s="2505"/>
      <c r="F27" s="1405">
        <f>SUM(F28:F32)</f>
        <v>70800000</v>
      </c>
      <c r="I27" s="1755" t="s">
        <v>767</v>
      </c>
      <c r="J27" s="1398">
        <f>F33</f>
        <v>324800000</v>
      </c>
      <c r="K27" s="1397" t="s">
        <v>1270</v>
      </c>
    </row>
    <row r="28" spans="1:12" ht="17.100000000000001" customHeight="1">
      <c r="A28" s="1411">
        <v>1</v>
      </c>
      <c r="B28" s="1410" t="s">
        <v>2457</v>
      </c>
      <c r="C28" s="1407" t="s">
        <v>2456</v>
      </c>
      <c r="D28" s="1409">
        <v>1</v>
      </c>
      <c r="E28" s="1408">
        <v>36000000</v>
      </c>
      <c r="F28" s="1407">
        <f>D28*E28</f>
        <v>36000000</v>
      </c>
      <c r="I28" s="1757" t="s">
        <v>1988</v>
      </c>
      <c r="J28" s="1758">
        <f>J26-J27</f>
        <v>41400000</v>
      </c>
      <c r="K28" s="1397" t="s">
        <v>90</v>
      </c>
    </row>
    <row r="29" spans="1:12" ht="17.100000000000001" customHeight="1">
      <c r="A29" s="1411">
        <v>2</v>
      </c>
      <c r="B29" s="1410" t="s">
        <v>2455</v>
      </c>
      <c r="C29" s="1407" t="s">
        <v>2454</v>
      </c>
      <c r="D29" s="1412">
        <v>0.09</v>
      </c>
      <c r="E29" s="1408">
        <f>J13</f>
        <v>200000000</v>
      </c>
      <c r="F29" s="1407">
        <f>D29*E29</f>
        <v>18000000</v>
      </c>
      <c r="I29" s="1398" t="s">
        <v>2453</v>
      </c>
      <c r="J29" s="1894">
        <f>J28/J12</f>
        <v>0.42592592592592593</v>
      </c>
    </row>
    <row r="30" spans="1:12" ht="17.100000000000001" customHeight="1">
      <c r="A30" s="1411">
        <v>3</v>
      </c>
      <c r="B30" s="1410" t="s">
        <v>2452</v>
      </c>
      <c r="C30" s="1407" t="s">
        <v>45</v>
      </c>
      <c r="D30" s="1409">
        <v>1</v>
      </c>
      <c r="E30" s="1408">
        <v>3600000</v>
      </c>
      <c r="F30" s="1407">
        <f>D30*E30</f>
        <v>3600000</v>
      </c>
      <c r="I30" s="1398" t="s">
        <v>2451</v>
      </c>
      <c r="J30" s="1894">
        <f>J28/J26</f>
        <v>0.11305297651556527</v>
      </c>
    </row>
    <row r="31" spans="1:12" ht="17.100000000000001" customHeight="1">
      <c r="A31" s="1411">
        <v>4</v>
      </c>
      <c r="B31" s="1410" t="s">
        <v>2450</v>
      </c>
      <c r="C31" s="1407" t="s">
        <v>45</v>
      </c>
      <c r="D31" s="1409">
        <v>1</v>
      </c>
      <c r="E31" s="1408">
        <v>6000000</v>
      </c>
      <c r="F31" s="1407">
        <f>D31*E31</f>
        <v>6000000</v>
      </c>
      <c r="I31" s="1398"/>
    </row>
    <row r="32" spans="1:12" ht="17.100000000000001" customHeight="1">
      <c r="A32" s="1411">
        <v>5</v>
      </c>
      <c r="B32" s="1410" t="s">
        <v>2449</v>
      </c>
      <c r="C32" s="1407" t="s">
        <v>45</v>
      </c>
      <c r="D32" s="1409">
        <v>1</v>
      </c>
      <c r="E32" s="1408">
        <v>7200000</v>
      </c>
      <c r="F32" s="1407">
        <f>D32*E32</f>
        <v>7200000</v>
      </c>
      <c r="I32" s="1398"/>
    </row>
    <row r="33" spans="1:10" ht="17.100000000000001" customHeight="1">
      <c r="A33" s="1406" t="s">
        <v>30</v>
      </c>
      <c r="B33" s="2503" t="s">
        <v>22</v>
      </c>
      <c r="C33" s="2504"/>
      <c r="D33" s="2504"/>
      <c r="E33" s="2505"/>
      <c r="F33" s="1405">
        <f>F27+F6</f>
        <v>324800000</v>
      </c>
      <c r="I33" s="1398"/>
    </row>
    <row r="34" spans="1:10" ht="17.100000000000001" customHeight="1">
      <c r="A34" s="2506" t="s">
        <v>2448</v>
      </c>
      <c r="B34" s="2506"/>
      <c r="C34" s="2506"/>
      <c r="D34" s="2506"/>
      <c r="E34" s="2506"/>
      <c r="F34" s="2506"/>
      <c r="I34" s="1398"/>
    </row>
    <row r="35" spans="1:10" ht="17.100000000000001" customHeight="1">
      <c r="A35" s="2507" t="str">
        <f>CONCATENATE(TEXT(F33,"#,###,###,###")," đồng - (",TEXT(F29,"#,###,###,###")," đồng +  ",TEXT(F30,"#,###,###,###")," đồng + ",TEXT(F31,"#,###,###,###")," đồng) = ",TEXT(J11,"#,###,###,###")," đồng")</f>
        <v>324,800,000 đồng - (18,000,000 đồng +  3,600,000 đồng + 6,000,000 đồng) = 297,200,000 đồng</v>
      </c>
      <c r="B35" s="2507"/>
      <c r="C35" s="2507"/>
      <c r="D35" s="2507"/>
      <c r="E35" s="2507"/>
      <c r="F35" s="2507"/>
      <c r="I35" s="1398"/>
    </row>
    <row r="36" spans="1:10" ht="17.100000000000001" customHeight="1">
      <c r="A36" s="1404" t="s">
        <v>2447</v>
      </c>
      <c r="D36" s="1398"/>
      <c r="I36" s="1401"/>
    </row>
    <row r="37" spans="1:10" ht="32.25" customHeight="1">
      <c r="A37" s="2508" t="str">
        <f>CONCATENATE("Doanh thu từ Bán phụ tùng, sửa chữa xe máy được xác định theo tỷ lệ của giá vốn hàng bán trên cơ sở tính toán của năm thực hiện ước đạt ",J24," % giá vốn :")</f>
        <v>Doanh thu từ Bán phụ tùng, sửa chữa xe máy được xác định theo tỷ lệ của giá vốn hàng bán trên cơ sở tính toán của năm thực hiện ước đạt 130 % giá vốn :</v>
      </c>
      <c r="B37" s="2508"/>
      <c r="C37" s="2508"/>
      <c r="D37" s="2508"/>
      <c r="E37" s="2508"/>
      <c r="F37" s="2508"/>
      <c r="G37" s="1402"/>
      <c r="J37" s="1401"/>
    </row>
    <row r="38" spans="1:10" ht="17.100000000000001" customHeight="1">
      <c r="A38" s="2509" t="str">
        <f>CONCATENATE("Doanh thu = Giá vốn x ",J24," %: ")</f>
        <v xml:space="preserve">Doanh thu = Giá vốn x 130 %: </v>
      </c>
      <c r="B38" s="2509"/>
      <c r="C38" s="2509"/>
      <c r="D38" s="2509"/>
      <c r="E38" s="2509"/>
      <c r="F38" s="2509"/>
      <c r="G38" s="1402"/>
      <c r="J38" s="1401"/>
    </row>
    <row r="39" spans="1:10" ht="17.100000000000001" customHeight="1">
      <c r="A39" s="2510" t="str">
        <f>CONCATENATE(TEXT(F6,"#,###,###,###")," đ x  ",J24," % = ",TEXT(J25,"#,###,###,###")," đ" )</f>
        <v>254,000,000 đ x  130 % = 330,200,000 đ</v>
      </c>
      <c r="B39" s="2510"/>
      <c r="C39" s="2510"/>
      <c r="D39" s="2510"/>
      <c r="E39" s="2510"/>
      <c r="F39" s="2510"/>
      <c r="G39" s="1402"/>
      <c r="J39" s="1401"/>
    </row>
    <row r="40" spans="1:10" ht="17.100000000000001" customHeight="1">
      <c r="A40" s="1403" t="str">
        <f>CONCATENATE("Doanh thu từ sửa chữa xe máy ước đạt ",TEXT(J23,"#,###,###")," đ/ Ngày, 1 tháng sửa ",TEXT(I23,"#,###,###")," ngày, 1 năm sửa 12 tháng : ")</f>
        <v xml:space="preserve">Doanh thu từ sửa chữa xe máy ước đạt 150,000 đ/ Ngày, 1 tháng sửa 20 ngày, 1 năm sửa 12 tháng : </v>
      </c>
      <c r="B40" s="2313"/>
      <c r="C40" s="2313"/>
      <c r="D40" s="2313"/>
      <c r="E40" s="2313"/>
      <c r="F40" s="2313"/>
      <c r="G40" s="1402"/>
      <c r="J40" s="1401"/>
    </row>
    <row r="41" spans="1:10" ht="17.100000000000001" customHeight="1">
      <c r="A41" s="2629" t="str">
        <f>CONCATENATE(TEXT(J23,"#,###,###")," đ/ Ngày x ",TEXT(I23,"#,###,###")," Ngày/Tháng x 12 tháng = ",TEXT(I23*J23*12,"#,###,###")," đ")</f>
        <v>150,000 đ/ Ngày x 20 Ngày/Tháng x 12 tháng = 36,000,000 đ</v>
      </c>
      <c r="B41" s="2629"/>
      <c r="C41" s="2629"/>
      <c r="D41" s="2629"/>
      <c r="E41" s="2629"/>
      <c r="F41" s="2629"/>
      <c r="G41" s="1402"/>
      <c r="J41" s="1401"/>
    </row>
    <row r="42" spans="1:10" ht="17.100000000000001" customHeight="1">
      <c r="A42" s="2630" t="str">
        <f>CONCATENATE("Tổng doanh thu : ",TEXT(J25,"#,###,###")," đ + ",TEXT(K23,"#,###,###"),"đ =  ",TEXT(J25+K23,"#,###,###")," đ")</f>
        <v>Tổng doanh thu : 330,200,000 đ + 36,000,000đ =  366,200,000 đ</v>
      </c>
      <c r="B42" s="2630"/>
      <c r="C42" s="2630"/>
      <c r="D42" s="2630"/>
      <c r="E42" s="2630"/>
      <c r="F42" s="2630"/>
      <c r="G42" s="1402"/>
      <c r="J42" s="1401"/>
    </row>
    <row r="43" spans="1:10" ht="17.100000000000001" customHeight="1">
      <c r="A43" s="2497" t="s">
        <v>2446</v>
      </c>
      <c r="B43" s="2497"/>
      <c r="C43" s="2497"/>
      <c r="D43" s="2497"/>
      <c r="E43" s="2497"/>
      <c r="F43" s="2497"/>
      <c r="G43" s="1402"/>
      <c r="J43" s="1401"/>
    </row>
    <row r="44" spans="1:10" ht="17.100000000000001" customHeight="1">
      <c r="A44" s="2497" t="s">
        <v>2445</v>
      </c>
      <c r="B44" s="2497"/>
      <c r="C44" s="2497"/>
      <c r="D44" s="2497"/>
      <c r="E44" s="2497"/>
      <c r="F44" s="2497"/>
      <c r="G44" s="1402"/>
      <c r="J44" s="1401"/>
    </row>
    <row r="45" spans="1:10" ht="17.100000000000001" customHeight="1">
      <c r="A45" s="2498" t="str">
        <f>CONCATENATE(TEXT(J26,"#,###,###,###")," đ - ",TEXT(F33,"#,###,###,###")," đ = ",TEXT(J28,"#,###,###,###")," đ")</f>
        <v>366,200,000 đ - 324,800,000 đ = 41,400,000 đ</v>
      </c>
      <c r="B45" s="2498"/>
      <c r="C45" s="2498"/>
      <c r="D45" s="2498"/>
      <c r="E45" s="2498"/>
      <c r="F45" s="2498"/>
      <c r="G45" s="1402"/>
      <c r="J45" s="1401"/>
    </row>
    <row r="46" spans="1:10" ht="17.100000000000001" customHeight="1">
      <c r="A46" s="2499" t="s">
        <v>2444</v>
      </c>
      <c r="B46" s="2499"/>
      <c r="C46" s="2499"/>
      <c r="D46" s="2499"/>
      <c r="E46" s="2499"/>
      <c r="F46" s="2499"/>
      <c r="G46" s="1402"/>
      <c r="J46" s="1401"/>
    </row>
    <row r="47" spans="1:10" ht="17.100000000000001" customHeight="1">
      <c r="A47" s="1399"/>
      <c r="D47" s="1398"/>
      <c r="G47" s="1402"/>
      <c r="J47" s="1401"/>
    </row>
    <row r="48" spans="1:10" ht="17.100000000000001" customHeight="1">
      <c r="A48" s="1399"/>
      <c r="D48" s="1398"/>
      <c r="G48" s="1402"/>
      <c r="J48" s="1401"/>
    </row>
    <row r="49" spans="1:10" ht="17.100000000000001" customHeight="1">
      <c r="A49" s="1399"/>
      <c r="D49" s="1398"/>
      <c r="G49" s="1402"/>
      <c r="J49" s="1401"/>
    </row>
    <row r="50" spans="1:10" ht="17.100000000000001" customHeight="1">
      <c r="A50" s="1399"/>
      <c r="D50" s="1398"/>
      <c r="G50" s="1402"/>
      <c r="J50" s="1401"/>
    </row>
    <row r="51" spans="1:10" ht="17.100000000000001" customHeight="1">
      <c r="A51" s="1399"/>
      <c r="D51" s="1398"/>
      <c r="G51" s="1402"/>
      <c r="J51" s="1401"/>
    </row>
    <row r="52" spans="1:10" ht="17.100000000000001" customHeight="1">
      <c r="A52" s="1399"/>
      <c r="D52" s="1398"/>
      <c r="G52" s="1402"/>
      <c r="J52" s="1401"/>
    </row>
    <row r="53" spans="1:10" ht="17.100000000000001" customHeight="1">
      <c r="A53" s="1399"/>
      <c r="D53" s="1398"/>
      <c r="G53" s="1402"/>
      <c r="J53" s="1401"/>
    </row>
    <row r="54" spans="1:10" ht="17.100000000000001" customHeight="1">
      <c r="A54" s="1399"/>
      <c r="D54" s="1398"/>
      <c r="G54" s="1402"/>
      <c r="J54" s="1401"/>
    </row>
    <row r="55" spans="1:10" ht="17.100000000000001" customHeight="1">
      <c r="A55" s="1399"/>
      <c r="D55" s="1398"/>
      <c r="G55" s="1402"/>
      <c r="J55" s="1401"/>
    </row>
    <row r="56" spans="1:10" ht="17.100000000000001" customHeight="1">
      <c r="A56" s="1399"/>
      <c r="D56" s="1398"/>
      <c r="G56" s="1402"/>
      <c r="J56" s="1401"/>
    </row>
    <row r="57" spans="1:10" ht="17.100000000000001" customHeight="1">
      <c r="A57" s="1399"/>
      <c r="D57" s="1398"/>
      <c r="J57" s="1401"/>
    </row>
    <row r="58" spans="1:10" ht="17.100000000000001" customHeight="1">
      <c r="A58" s="1399"/>
      <c r="D58" s="1398"/>
    </row>
    <row r="59" spans="1:10" ht="17.100000000000001" customHeight="1">
      <c r="A59" s="1399"/>
      <c r="D59" s="1398"/>
    </row>
    <row r="60" spans="1:10" ht="17.100000000000001" customHeight="1">
      <c r="A60" s="1399"/>
      <c r="D60" s="1398"/>
    </row>
    <row r="61" spans="1:10" ht="17.100000000000001" customHeight="1">
      <c r="A61" s="1399"/>
      <c r="D61" s="1398"/>
    </row>
    <row r="62" spans="1:10" ht="17.100000000000001" customHeight="1">
      <c r="A62" s="1399"/>
      <c r="D62" s="1398"/>
      <c r="G62" s="1400"/>
    </row>
    <row r="63" spans="1:10">
      <c r="A63" s="1399"/>
      <c r="D63" s="1398"/>
    </row>
  </sheetData>
  <mergeCells count="14">
    <mergeCell ref="A45:F45"/>
    <mergeCell ref="A46:F46"/>
    <mergeCell ref="A38:F38"/>
    <mergeCell ref="A39:F39"/>
    <mergeCell ref="A41:F41"/>
    <mergeCell ref="A42:F42"/>
    <mergeCell ref="A43:F43"/>
    <mergeCell ref="A44:F44"/>
    <mergeCell ref="A37:F37"/>
    <mergeCell ref="B6:E6"/>
    <mergeCell ref="B27:E27"/>
    <mergeCell ref="B33:E33"/>
    <mergeCell ref="A34:F34"/>
    <mergeCell ref="A35:F35"/>
  </mergeCells>
  <printOptions horizontalCentered="1"/>
  <pageMargins left="0.5" right="0.25" top="0.5" bottom="0.75" header="0.5" footer="0.5"/>
  <pageSetup orientation="portrait" useFirstPageNumber="1"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dimension ref="A1:G164"/>
  <sheetViews>
    <sheetView workbookViewId="0">
      <selection activeCell="I9" sqref="I9"/>
    </sheetView>
  </sheetViews>
  <sheetFormatPr defaultRowHeight="16.5"/>
  <cols>
    <col min="1" max="1" width="3.5703125" style="1895" customWidth="1"/>
    <col min="2" max="2" width="33" style="1896" customWidth="1"/>
    <col min="3" max="3" width="10.5703125" style="1930" customWidth="1"/>
    <col min="4" max="4" width="11" style="1896" customWidth="1"/>
    <col min="5" max="5" width="15" style="1930" customWidth="1"/>
    <col min="6" max="6" width="16.5703125" style="1896" customWidth="1"/>
    <col min="7" max="7" width="17.85546875" style="1896" bestFit="1" customWidth="1"/>
    <col min="8" max="256" width="9.140625" style="1896"/>
    <col min="257" max="257" width="3.5703125" style="1896" customWidth="1"/>
    <col min="258" max="258" width="33" style="1896" customWidth="1"/>
    <col min="259" max="259" width="10.5703125" style="1896" customWidth="1"/>
    <col min="260" max="260" width="11" style="1896" customWidth="1"/>
    <col min="261" max="261" width="15" style="1896" customWidth="1"/>
    <col min="262" max="262" width="16.5703125" style="1896" customWidth="1"/>
    <col min="263" max="263" width="15.85546875" style="1896" bestFit="1" customWidth="1"/>
    <col min="264" max="512" width="9.140625" style="1896"/>
    <col min="513" max="513" width="3.5703125" style="1896" customWidth="1"/>
    <col min="514" max="514" width="33" style="1896" customWidth="1"/>
    <col min="515" max="515" width="10.5703125" style="1896" customWidth="1"/>
    <col min="516" max="516" width="11" style="1896" customWidth="1"/>
    <col min="517" max="517" width="15" style="1896" customWidth="1"/>
    <col min="518" max="518" width="16.5703125" style="1896" customWidth="1"/>
    <col min="519" max="519" width="15.85546875" style="1896" bestFit="1" customWidth="1"/>
    <col min="520" max="768" width="9.140625" style="1896"/>
    <col min="769" max="769" width="3.5703125" style="1896" customWidth="1"/>
    <col min="770" max="770" width="33" style="1896" customWidth="1"/>
    <col min="771" max="771" width="10.5703125" style="1896" customWidth="1"/>
    <col min="772" max="772" width="11" style="1896" customWidth="1"/>
    <col min="773" max="773" width="15" style="1896" customWidth="1"/>
    <col min="774" max="774" width="16.5703125" style="1896" customWidth="1"/>
    <col min="775" max="775" width="15.85546875" style="1896" bestFit="1" customWidth="1"/>
    <col min="776" max="1024" width="9.140625" style="1896"/>
    <col min="1025" max="1025" width="3.5703125" style="1896" customWidth="1"/>
    <col min="1026" max="1026" width="33" style="1896" customWidth="1"/>
    <col min="1027" max="1027" width="10.5703125" style="1896" customWidth="1"/>
    <col min="1028" max="1028" width="11" style="1896" customWidth="1"/>
    <col min="1029" max="1029" width="15" style="1896" customWidth="1"/>
    <col min="1030" max="1030" width="16.5703125" style="1896" customWidth="1"/>
    <col min="1031" max="1031" width="15.85546875" style="1896" bestFit="1" customWidth="1"/>
    <col min="1032" max="1280" width="9.140625" style="1896"/>
    <col min="1281" max="1281" width="3.5703125" style="1896" customWidth="1"/>
    <col min="1282" max="1282" width="33" style="1896" customWidth="1"/>
    <col min="1283" max="1283" width="10.5703125" style="1896" customWidth="1"/>
    <col min="1284" max="1284" width="11" style="1896" customWidth="1"/>
    <col min="1285" max="1285" width="15" style="1896" customWidth="1"/>
    <col min="1286" max="1286" width="16.5703125" style="1896" customWidth="1"/>
    <col min="1287" max="1287" width="15.85546875" style="1896" bestFit="1" customWidth="1"/>
    <col min="1288" max="1536" width="9.140625" style="1896"/>
    <col min="1537" max="1537" width="3.5703125" style="1896" customWidth="1"/>
    <col min="1538" max="1538" width="33" style="1896" customWidth="1"/>
    <col min="1539" max="1539" width="10.5703125" style="1896" customWidth="1"/>
    <col min="1540" max="1540" width="11" style="1896" customWidth="1"/>
    <col min="1541" max="1541" width="15" style="1896" customWidth="1"/>
    <col min="1542" max="1542" width="16.5703125" style="1896" customWidth="1"/>
    <col min="1543" max="1543" width="15.85546875" style="1896" bestFit="1" customWidth="1"/>
    <col min="1544" max="1792" width="9.140625" style="1896"/>
    <col min="1793" max="1793" width="3.5703125" style="1896" customWidth="1"/>
    <col min="1794" max="1794" width="33" style="1896" customWidth="1"/>
    <col min="1795" max="1795" width="10.5703125" style="1896" customWidth="1"/>
    <col min="1796" max="1796" width="11" style="1896" customWidth="1"/>
    <col min="1797" max="1797" width="15" style="1896" customWidth="1"/>
    <col min="1798" max="1798" width="16.5703125" style="1896" customWidth="1"/>
    <col min="1799" max="1799" width="15.85546875" style="1896" bestFit="1" customWidth="1"/>
    <col min="1800" max="2048" width="9.140625" style="1896"/>
    <col min="2049" max="2049" width="3.5703125" style="1896" customWidth="1"/>
    <col min="2050" max="2050" width="33" style="1896" customWidth="1"/>
    <col min="2051" max="2051" width="10.5703125" style="1896" customWidth="1"/>
    <col min="2052" max="2052" width="11" style="1896" customWidth="1"/>
    <col min="2053" max="2053" width="15" style="1896" customWidth="1"/>
    <col min="2054" max="2054" width="16.5703125" style="1896" customWidth="1"/>
    <col min="2055" max="2055" width="15.85546875" style="1896" bestFit="1" customWidth="1"/>
    <col min="2056" max="2304" width="9.140625" style="1896"/>
    <col min="2305" max="2305" width="3.5703125" style="1896" customWidth="1"/>
    <col min="2306" max="2306" width="33" style="1896" customWidth="1"/>
    <col min="2307" max="2307" width="10.5703125" style="1896" customWidth="1"/>
    <col min="2308" max="2308" width="11" style="1896" customWidth="1"/>
    <col min="2309" max="2309" width="15" style="1896" customWidth="1"/>
    <col min="2310" max="2310" width="16.5703125" style="1896" customWidth="1"/>
    <col min="2311" max="2311" width="15.85546875" style="1896" bestFit="1" customWidth="1"/>
    <col min="2312" max="2560" width="9.140625" style="1896"/>
    <col min="2561" max="2561" width="3.5703125" style="1896" customWidth="1"/>
    <col min="2562" max="2562" width="33" style="1896" customWidth="1"/>
    <col min="2563" max="2563" width="10.5703125" style="1896" customWidth="1"/>
    <col min="2564" max="2564" width="11" style="1896" customWidth="1"/>
    <col min="2565" max="2565" width="15" style="1896" customWidth="1"/>
    <col min="2566" max="2566" width="16.5703125" style="1896" customWidth="1"/>
    <col min="2567" max="2567" width="15.85546875" style="1896" bestFit="1" customWidth="1"/>
    <col min="2568" max="2816" width="9.140625" style="1896"/>
    <col min="2817" max="2817" width="3.5703125" style="1896" customWidth="1"/>
    <col min="2818" max="2818" width="33" style="1896" customWidth="1"/>
    <col min="2819" max="2819" width="10.5703125" style="1896" customWidth="1"/>
    <col min="2820" max="2820" width="11" style="1896" customWidth="1"/>
    <col min="2821" max="2821" width="15" style="1896" customWidth="1"/>
    <col min="2822" max="2822" width="16.5703125" style="1896" customWidth="1"/>
    <col min="2823" max="2823" width="15.85546875" style="1896" bestFit="1" customWidth="1"/>
    <col min="2824" max="3072" width="9.140625" style="1896"/>
    <col min="3073" max="3073" width="3.5703125" style="1896" customWidth="1"/>
    <col min="3074" max="3074" width="33" style="1896" customWidth="1"/>
    <col min="3075" max="3075" width="10.5703125" style="1896" customWidth="1"/>
    <col min="3076" max="3076" width="11" style="1896" customWidth="1"/>
    <col min="3077" max="3077" width="15" style="1896" customWidth="1"/>
    <col min="3078" max="3078" width="16.5703125" style="1896" customWidth="1"/>
    <col min="3079" max="3079" width="15.85546875" style="1896" bestFit="1" customWidth="1"/>
    <col min="3080" max="3328" width="9.140625" style="1896"/>
    <col min="3329" max="3329" width="3.5703125" style="1896" customWidth="1"/>
    <col min="3330" max="3330" width="33" style="1896" customWidth="1"/>
    <col min="3331" max="3331" width="10.5703125" style="1896" customWidth="1"/>
    <col min="3332" max="3332" width="11" style="1896" customWidth="1"/>
    <col min="3333" max="3333" width="15" style="1896" customWidth="1"/>
    <col min="3334" max="3334" width="16.5703125" style="1896" customWidth="1"/>
    <col min="3335" max="3335" width="15.85546875" style="1896" bestFit="1" customWidth="1"/>
    <col min="3336" max="3584" width="9.140625" style="1896"/>
    <col min="3585" max="3585" width="3.5703125" style="1896" customWidth="1"/>
    <col min="3586" max="3586" width="33" style="1896" customWidth="1"/>
    <col min="3587" max="3587" width="10.5703125" style="1896" customWidth="1"/>
    <col min="3588" max="3588" width="11" style="1896" customWidth="1"/>
    <col min="3589" max="3589" width="15" style="1896" customWidth="1"/>
    <col min="3590" max="3590" width="16.5703125" style="1896" customWidth="1"/>
    <col min="3591" max="3591" width="15.85546875" style="1896" bestFit="1" customWidth="1"/>
    <col min="3592" max="3840" width="9.140625" style="1896"/>
    <col min="3841" max="3841" width="3.5703125" style="1896" customWidth="1"/>
    <col min="3842" max="3842" width="33" style="1896" customWidth="1"/>
    <col min="3843" max="3843" width="10.5703125" style="1896" customWidth="1"/>
    <col min="3844" max="3844" width="11" style="1896" customWidth="1"/>
    <col min="3845" max="3845" width="15" style="1896" customWidth="1"/>
    <col min="3846" max="3846" width="16.5703125" style="1896" customWidth="1"/>
    <col min="3847" max="3847" width="15.85546875" style="1896" bestFit="1" customWidth="1"/>
    <col min="3848" max="4096" width="9.140625" style="1896"/>
    <col min="4097" max="4097" width="3.5703125" style="1896" customWidth="1"/>
    <col min="4098" max="4098" width="33" style="1896" customWidth="1"/>
    <col min="4099" max="4099" width="10.5703125" style="1896" customWidth="1"/>
    <col min="4100" max="4100" width="11" style="1896" customWidth="1"/>
    <col min="4101" max="4101" width="15" style="1896" customWidth="1"/>
    <col min="4102" max="4102" width="16.5703125" style="1896" customWidth="1"/>
    <col min="4103" max="4103" width="15.85546875" style="1896" bestFit="1" customWidth="1"/>
    <col min="4104" max="4352" width="9.140625" style="1896"/>
    <col min="4353" max="4353" width="3.5703125" style="1896" customWidth="1"/>
    <col min="4354" max="4354" width="33" style="1896" customWidth="1"/>
    <col min="4355" max="4355" width="10.5703125" style="1896" customWidth="1"/>
    <col min="4356" max="4356" width="11" style="1896" customWidth="1"/>
    <col min="4357" max="4357" width="15" style="1896" customWidth="1"/>
    <col min="4358" max="4358" width="16.5703125" style="1896" customWidth="1"/>
    <col min="4359" max="4359" width="15.85546875" style="1896" bestFit="1" customWidth="1"/>
    <col min="4360" max="4608" width="9.140625" style="1896"/>
    <col min="4609" max="4609" width="3.5703125" style="1896" customWidth="1"/>
    <col min="4610" max="4610" width="33" style="1896" customWidth="1"/>
    <col min="4611" max="4611" width="10.5703125" style="1896" customWidth="1"/>
    <col min="4612" max="4612" width="11" style="1896" customWidth="1"/>
    <col min="4613" max="4613" width="15" style="1896" customWidth="1"/>
    <col min="4614" max="4614" width="16.5703125" style="1896" customWidth="1"/>
    <col min="4615" max="4615" width="15.85546875" style="1896" bestFit="1" customWidth="1"/>
    <col min="4616" max="4864" width="9.140625" style="1896"/>
    <col min="4865" max="4865" width="3.5703125" style="1896" customWidth="1"/>
    <col min="4866" max="4866" width="33" style="1896" customWidth="1"/>
    <col min="4867" max="4867" width="10.5703125" style="1896" customWidth="1"/>
    <col min="4868" max="4868" width="11" style="1896" customWidth="1"/>
    <col min="4869" max="4869" width="15" style="1896" customWidth="1"/>
    <col min="4870" max="4870" width="16.5703125" style="1896" customWidth="1"/>
    <col min="4871" max="4871" width="15.85546875" style="1896" bestFit="1" customWidth="1"/>
    <col min="4872" max="5120" width="9.140625" style="1896"/>
    <col min="5121" max="5121" width="3.5703125" style="1896" customWidth="1"/>
    <col min="5122" max="5122" width="33" style="1896" customWidth="1"/>
    <col min="5123" max="5123" width="10.5703125" style="1896" customWidth="1"/>
    <col min="5124" max="5124" width="11" style="1896" customWidth="1"/>
    <col min="5125" max="5125" width="15" style="1896" customWidth="1"/>
    <col min="5126" max="5126" width="16.5703125" style="1896" customWidth="1"/>
    <col min="5127" max="5127" width="15.85546875" style="1896" bestFit="1" customWidth="1"/>
    <col min="5128" max="5376" width="9.140625" style="1896"/>
    <col min="5377" max="5377" width="3.5703125" style="1896" customWidth="1"/>
    <col min="5378" max="5378" width="33" style="1896" customWidth="1"/>
    <col min="5379" max="5379" width="10.5703125" style="1896" customWidth="1"/>
    <col min="5380" max="5380" width="11" style="1896" customWidth="1"/>
    <col min="5381" max="5381" width="15" style="1896" customWidth="1"/>
    <col min="5382" max="5382" width="16.5703125" style="1896" customWidth="1"/>
    <col min="5383" max="5383" width="15.85546875" style="1896" bestFit="1" customWidth="1"/>
    <col min="5384" max="5632" width="9.140625" style="1896"/>
    <col min="5633" max="5633" width="3.5703125" style="1896" customWidth="1"/>
    <col min="5634" max="5634" width="33" style="1896" customWidth="1"/>
    <col min="5635" max="5635" width="10.5703125" style="1896" customWidth="1"/>
    <col min="5636" max="5636" width="11" style="1896" customWidth="1"/>
    <col min="5637" max="5637" width="15" style="1896" customWidth="1"/>
    <col min="5638" max="5638" width="16.5703125" style="1896" customWidth="1"/>
    <col min="5639" max="5639" width="15.85546875" style="1896" bestFit="1" customWidth="1"/>
    <col min="5640" max="5888" width="9.140625" style="1896"/>
    <col min="5889" max="5889" width="3.5703125" style="1896" customWidth="1"/>
    <col min="5890" max="5890" width="33" style="1896" customWidth="1"/>
    <col min="5891" max="5891" width="10.5703125" style="1896" customWidth="1"/>
    <col min="5892" max="5892" width="11" style="1896" customWidth="1"/>
    <col min="5893" max="5893" width="15" style="1896" customWidth="1"/>
    <col min="5894" max="5894" width="16.5703125" style="1896" customWidth="1"/>
    <col min="5895" max="5895" width="15.85546875" style="1896" bestFit="1" customWidth="1"/>
    <col min="5896" max="6144" width="9.140625" style="1896"/>
    <col min="6145" max="6145" width="3.5703125" style="1896" customWidth="1"/>
    <col min="6146" max="6146" width="33" style="1896" customWidth="1"/>
    <col min="6147" max="6147" width="10.5703125" style="1896" customWidth="1"/>
    <col min="6148" max="6148" width="11" style="1896" customWidth="1"/>
    <col min="6149" max="6149" width="15" style="1896" customWidth="1"/>
    <col min="6150" max="6150" width="16.5703125" style="1896" customWidth="1"/>
    <col min="6151" max="6151" width="15.85546875" style="1896" bestFit="1" customWidth="1"/>
    <col min="6152" max="6400" width="9.140625" style="1896"/>
    <col min="6401" max="6401" width="3.5703125" style="1896" customWidth="1"/>
    <col min="6402" max="6402" width="33" style="1896" customWidth="1"/>
    <col min="6403" max="6403" width="10.5703125" style="1896" customWidth="1"/>
    <col min="6404" max="6404" width="11" style="1896" customWidth="1"/>
    <col min="6405" max="6405" width="15" style="1896" customWidth="1"/>
    <col min="6406" max="6406" width="16.5703125" style="1896" customWidth="1"/>
    <col min="6407" max="6407" width="15.85546875" style="1896" bestFit="1" customWidth="1"/>
    <col min="6408" max="6656" width="9.140625" style="1896"/>
    <col min="6657" max="6657" width="3.5703125" style="1896" customWidth="1"/>
    <col min="6658" max="6658" width="33" style="1896" customWidth="1"/>
    <col min="6659" max="6659" width="10.5703125" style="1896" customWidth="1"/>
    <col min="6660" max="6660" width="11" style="1896" customWidth="1"/>
    <col min="6661" max="6661" width="15" style="1896" customWidth="1"/>
    <col min="6662" max="6662" width="16.5703125" style="1896" customWidth="1"/>
    <col min="6663" max="6663" width="15.85546875" style="1896" bestFit="1" customWidth="1"/>
    <col min="6664" max="6912" width="9.140625" style="1896"/>
    <col min="6913" max="6913" width="3.5703125" style="1896" customWidth="1"/>
    <col min="6914" max="6914" width="33" style="1896" customWidth="1"/>
    <col min="6915" max="6915" width="10.5703125" style="1896" customWidth="1"/>
    <col min="6916" max="6916" width="11" style="1896" customWidth="1"/>
    <col min="6917" max="6917" width="15" style="1896" customWidth="1"/>
    <col min="6918" max="6918" width="16.5703125" style="1896" customWidth="1"/>
    <col min="6919" max="6919" width="15.85546875" style="1896" bestFit="1" customWidth="1"/>
    <col min="6920" max="7168" width="9.140625" style="1896"/>
    <col min="7169" max="7169" width="3.5703125" style="1896" customWidth="1"/>
    <col min="7170" max="7170" width="33" style="1896" customWidth="1"/>
    <col min="7171" max="7171" width="10.5703125" style="1896" customWidth="1"/>
    <col min="7172" max="7172" width="11" style="1896" customWidth="1"/>
    <col min="7173" max="7173" width="15" style="1896" customWidth="1"/>
    <col min="7174" max="7174" width="16.5703125" style="1896" customWidth="1"/>
    <col min="7175" max="7175" width="15.85546875" style="1896" bestFit="1" customWidth="1"/>
    <col min="7176" max="7424" width="9.140625" style="1896"/>
    <col min="7425" max="7425" width="3.5703125" style="1896" customWidth="1"/>
    <col min="7426" max="7426" width="33" style="1896" customWidth="1"/>
    <col min="7427" max="7427" width="10.5703125" style="1896" customWidth="1"/>
    <col min="7428" max="7428" width="11" style="1896" customWidth="1"/>
    <col min="7429" max="7429" width="15" style="1896" customWidth="1"/>
    <col min="7430" max="7430" width="16.5703125" style="1896" customWidth="1"/>
    <col min="7431" max="7431" width="15.85546875" style="1896" bestFit="1" customWidth="1"/>
    <col min="7432" max="7680" width="9.140625" style="1896"/>
    <col min="7681" max="7681" width="3.5703125" style="1896" customWidth="1"/>
    <col min="7682" max="7682" width="33" style="1896" customWidth="1"/>
    <col min="7683" max="7683" width="10.5703125" style="1896" customWidth="1"/>
    <col min="7684" max="7684" width="11" style="1896" customWidth="1"/>
    <col min="7685" max="7685" width="15" style="1896" customWidth="1"/>
    <col min="7686" max="7686" width="16.5703125" style="1896" customWidth="1"/>
    <col min="7687" max="7687" width="15.85546875" style="1896" bestFit="1" customWidth="1"/>
    <col min="7688" max="7936" width="9.140625" style="1896"/>
    <col min="7937" max="7937" width="3.5703125" style="1896" customWidth="1"/>
    <col min="7938" max="7938" width="33" style="1896" customWidth="1"/>
    <col min="7939" max="7939" width="10.5703125" style="1896" customWidth="1"/>
    <col min="7940" max="7940" width="11" style="1896" customWidth="1"/>
    <col min="7941" max="7941" width="15" style="1896" customWidth="1"/>
    <col min="7942" max="7942" width="16.5703125" style="1896" customWidth="1"/>
    <col min="7943" max="7943" width="15.85546875" style="1896" bestFit="1" customWidth="1"/>
    <col min="7944" max="8192" width="9.140625" style="1896"/>
    <col min="8193" max="8193" width="3.5703125" style="1896" customWidth="1"/>
    <col min="8194" max="8194" width="33" style="1896" customWidth="1"/>
    <col min="8195" max="8195" width="10.5703125" style="1896" customWidth="1"/>
    <col min="8196" max="8196" width="11" style="1896" customWidth="1"/>
    <col min="8197" max="8197" width="15" style="1896" customWidth="1"/>
    <col min="8198" max="8198" width="16.5703125" style="1896" customWidth="1"/>
    <col min="8199" max="8199" width="15.85546875" style="1896" bestFit="1" customWidth="1"/>
    <col min="8200" max="8448" width="9.140625" style="1896"/>
    <col min="8449" max="8449" width="3.5703125" style="1896" customWidth="1"/>
    <col min="8450" max="8450" width="33" style="1896" customWidth="1"/>
    <col min="8451" max="8451" width="10.5703125" style="1896" customWidth="1"/>
    <col min="8452" max="8452" width="11" style="1896" customWidth="1"/>
    <col min="8453" max="8453" width="15" style="1896" customWidth="1"/>
    <col min="8454" max="8454" width="16.5703125" style="1896" customWidth="1"/>
    <col min="8455" max="8455" width="15.85546875" style="1896" bestFit="1" customWidth="1"/>
    <col min="8456" max="8704" width="9.140625" style="1896"/>
    <col min="8705" max="8705" width="3.5703125" style="1896" customWidth="1"/>
    <col min="8706" max="8706" width="33" style="1896" customWidth="1"/>
    <col min="8707" max="8707" width="10.5703125" style="1896" customWidth="1"/>
    <col min="8708" max="8708" width="11" style="1896" customWidth="1"/>
    <col min="8709" max="8709" width="15" style="1896" customWidth="1"/>
    <col min="8710" max="8710" width="16.5703125" style="1896" customWidth="1"/>
    <col min="8711" max="8711" width="15.85546875" style="1896" bestFit="1" customWidth="1"/>
    <col min="8712" max="8960" width="9.140625" style="1896"/>
    <col min="8961" max="8961" width="3.5703125" style="1896" customWidth="1"/>
    <col min="8962" max="8962" width="33" style="1896" customWidth="1"/>
    <col min="8963" max="8963" width="10.5703125" style="1896" customWidth="1"/>
    <col min="8964" max="8964" width="11" style="1896" customWidth="1"/>
    <col min="8965" max="8965" width="15" style="1896" customWidth="1"/>
    <col min="8966" max="8966" width="16.5703125" style="1896" customWidth="1"/>
    <col min="8967" max="8967" width="15.85546875" style="1896" bestFit="1" customWidth="1"/>
    <col min="8968" max="9216" width="9.140625" style="1896"/>
    <col min="9217" max="9217" width="3.5703125" style="1896" customWidth="1"/>
    <col min="9218" max="9218" width="33" style="1896" customWidth="1"/>
    <col min="9219" max="9219" width="10.5703125" style="1896" customWidth="1"/>
    <col min="9220" max="9220" width="11" style="1896" customWidth="1"/>
    <col min="9221" max="9221" width="15" style="1896" customWidth="1"/>
    <col min="9222" max="9222" width="16.5703125" style="1896" customWidth="1"/>
    <col min="9223" max="9223" width="15.85546875" style="1896" bestFit="1" customWidth="1"/>
    <col min="9224" max="9472" width="9.140625" style="1896"/>
    <col min="9473" max="9473" width="3.5703125" style="1896" customWidth="1"/>
    <col min="9474" max="9474" width="33" style="1896" customWidth="1"/>
    <col min="9475" max="9475" width="10.5703125" style="1896" customWidth="1"/>
    <col min="9476" max="9476" width="11" style="1896" customWidth="1"/>
    <col min="9477" max="9477" width="15" style="1896" customWidth="1"/>
    <col min="9478" max="9478" width="16.5703125" style="1896" customWidth="1"/>
    <col min="9479" max="9479" width="15.85546875" style="1896" bestFit="1" customWidth="1"/>
    <col min="9480" max="9728" width="9.140625" style="1896"/>
    <col min="9729" max="9729" width="3.5703125" style="1896" customWidth="1"/>
    <col min="9730" max="9730" width="33" style="1896" customWidth="1"/>
    <col min="9731" max="9731" width="10.5703125" style="1896" customWidth="1"/>
    <col min="9732" max="9732" width="11" style="1896" customWidth="1"/>
    <col min="9733" max="9733" width="15" style="1896" customWidth="1"/>
    <col min="9734" max="9734" width="16.5703125" style="1896" customWidth="1"/>
    <col min="9735" max="9735" width="15.85546875" style="1896" bestFit="1" customWidth="1"/>
    <col min="9736" max="9984" width="9.140625" style="1896"/>
    <col min="9985" max="9985" width="3.5703125" style="1896" customWidth="1"/>
    <col min="9986" max="9986" width="33" style="1896" customWidth="1"/>
    <col min="9987" max="9987" width="10.5703125" style="1896" customWidth="1"/>
    <col min="9988" max="9988" width="11" style="1896" customWidth="1"/>
    <col min="9989" max="9989" width="15" style="1896" customWidth="1"/>
    <col min="9990" max="9990" width="16.5703125" style="1896" customWidth="1"/>
    <col min="9991" max="9991" width="15.85546875" style="1896" bestFit="1" customWidth="1"/>
    <col min="9992" max="10240" width="9.140625" style="1896"/>
    <col min="10241" max="10241" width="3.5703125" style="1896" customWidth="1"/>
    <col min="10242" max="10242" width="33" style="1896" customWidth="1"/>
    <col min="10243" max="10243" width="10.5703125" style="1896" customWidth="1"/>
    <col min="10244" max="10244" width="11" style="1896" customWidth="1"/>
    <col min="10245" max="10245" width="15" style="1896" customWidth="1"/>
    <col min="10246" max="10246" width="16.5703125" style="1896" customWidth="1"/>
    <col min="10247" max="10247" width="15.85546875" style="1896" bestFit="1" customWidth="1"/>
    <col min="10248" max="10496" width="9.140625" style="1896"/>
    <col min="10497" max="10497" width="3.5703125" style="1896" customWidth="1"/>
    <col min="10498" max="10498" width="33" style="1896" customWidth="1"/>
    <col min="10499" max="10499" width="10.5703125" style="1896" customWidth="1"/>
    <col min="10500" max="10500" width="11" style="1896" customWidth="1"/>
    <col min="10501" max="10501" width="15" style="1896" customWidth="1"/>
    <col min="10502" max="10502" width="16.5703125" style="1896" customWidth="1"/>
    <col min="10503" max="10503" width="15.85546875" style="1896" bestFit="1" customWidth="1"/>
    <col min="10504" max="10752" width="9.140625" style="1896"/>
    <col min="10753" max="10753" width="3.5703125" style="1896" customWidth="1"/>
    <col min="10754" max="10754" width="33" style="1896" customWidth="1"/>
    <col min="10755" max="10755" width="10.5703125" style="1896" customWidth="1"/>
    <col min="10756" max="10756" width="11" style="1896" customWidth="1"/>
    <col min="10757" max="10757" width="15" style="1896" customWidth="1"/>
    <col min="10758" max="10758" width="16.5703125" style="1896" customWidth="1"/>
    <col min="10759" max="10759" width="15.85546875" style="1896" bestFit="1" customWidth="1"/>
    <col min="10760" max="11008" width="9.140625" style="1896"/>
    <col min="11009" max="11009" width="3.5703125" style="1896" customWidth="1"/>
    <col min="11010" max="11010" width="33" style="1896" customWidth="1"/>
    <col min="11011" max="11011" width="10.5703125" style="1896" customWidth="1"/>
    <col min="11012" max="11012" width="11" style="1896" customWidth="1"/>
    <col min="11013" max="11013" width="15" style="1896" customWidth="1"/>
    <col min="11014" max="11014" width="16.5703125" style="1896" customWidth="1"/>
    <col min="11015" max="11015" width="15.85546875" style="1896" bestFit="1" customWidth="1"/>
    <col min="11016" max="11264" width="9.140625" style="1896"/>
    <col min="11265" max="11265" width="3.5703125" style="1896" customWidth="1"/>
    <col min="11266" max="11266" width="33" style="1896" customWidth="1"/>
    <col min="11267" max="11267" width="10.5703125" style="1896" customWidth="1"/>
    <col min="11268" max="11268" width="11" style="1896" customWidth="1"/>
    <col min="11269" max="11269" width="15" style="1896" customWidth="1"/>
    <col min="11270" max="11270" width="16.5703125" style="1896" customWidth="1"/>
    <col min="11271" max="11271" width="15.85546875" style="1896" bestFit="1" customWidth="1"/>
    <col min="11272" max="11520" width="9.140625" style="1896"/>
    <col min="11521" max="11521" width="3.5703125" style="1896" customWidth="1"/>
    <col min="11522" max="11522" width="33" style="1896" customWidth="1"/>
    <col min="11523" max="11523" width="10.5703125" style="1896" customWidth="1"/>
    <col min="11524" max="11524" width="11" style="1896" customWidth="1"/>
    <col min="11525" max="11525" width="15" style="1896" customWidth="1"/>
    <col min="11526" max="11526" width="16.5703125" style="1896" customWidth="1"/>
    <col min="11527" max="11527" width="15.85546875" style="1896" bestFit="1" customWidth="1"/>
    <col min="11528" max="11776" width="9.140625" style="1896"/>
    <col min="11777" max="11777" width="3.5703125" style="1896" customWidth="1"/>
    <col min="11778" max="11778" width="33" style="1896" customWidth="1"/>
    <col min="11779" max="11779" width="10.5703125" style="1896" customWidth="1"/>
    <col min="11780" max="11780" width="11" style="1896" customWidth="1"/>
    <col min="11781" max="11781" width="15" style="1896" customWidth="1"/>
    <col min="11782" max="11782" width="16.5703125" style="1896" customWidth="1"/>
    <col min="11783" max="11783" width="15.85546875" style="1896" bestFit="1" customWidth="1"/>
    <col min="11784" max="12032" width="9.140625" style="1896"/>
    <col min="12033" max="12033" width="3.5703125" style="1896" customWidth="1"/>
    <col min="12034" max="12034" width="33" style="1896" customWidth="1"/>
    <col min="12035" max="12035" width="10.5703125" style="1896" customWidth="1"/>
    <col min="12036" max="12036" width="11" style="1896" customWidth="1"/>
    <col min="12037" max="12037" width="15" style="1896" customWidth="1"/>
    <col min="12038" max="12038" width="16.5703125" style="1896" customWidth="1"/>
    <col min="12039" max="12039" width="15.85546875" style="1896" bestFit="1" customWidth="1"/>
    <col min="12040" max="12288" width="9.140625" style="1896"/>
    <col min="12289" max="12289" width="3.5703125" style="1896" customWidth="1"/>
    <col min="12290" max="12290" width="33" style="1896" customWidth="1"/>
    <col min="12291" max="12291" width="10.5703125" style="1896" customWidth="1"/>
    <col min="12292" max="12292" width="11" style="1896" customWidth="1"/>
    <col min="12293" max="12293" width="15" style="1896" customWidth="1"/>
    <col min="12294" max="12294" width="16.5703125" style="1896" customWidth="1"/>
    <col min="12295" max="12295" width="15.85546875" style="1896" bestFit="1" customWidth="1"/>
    <col min="12296" max="12544" width="9.140625" style="1896"/>
    <col min="12545" max="12545" width="3.5703125" style="1896" customWidth="1"/>
    <col min="12546" max="12546" width="33" style="1896" customWidth="1"/>
    <col min="12547" max="12547" width="10.5703125" style="1896" customWidth="1"/>
    <col min="12548" max="12548" width="11" style="1896" customWidth="1"/>
    <col min="12549" max="12549" width="15" style="1896" customWidth="1"/>
    <col min="12550" max="12550" width="16.5703125" style="1896" customWidth="1"/>
    <col min="12551" max="12551" width="15.85546875" style="1896" bestFit="1" customWidth="1"/>
    <col min="12552" max="12800" width="9.140625" style="1896"/>
    <col min="12801" max="12801" width="3.5703125" style="1896" customWidth="1"/>
    <col min="12802" max="12802" width="33" style="1896" customWidth="1"/>
    <col min="12803" max="12803" width="10.5703125" style="1896" customWidth="1"/>
    <col min="12804" max="12804" width="11" style="1896" customWidth="1"/>
    <col min="12805" max="12805" width="15" style="1896" customWidth="1"/>
    <col min="12806" max="12806" width="16.5703125" style="1896" customWidth="1"/>
    <col min="12807" max="12807" width="15.85546875" style="1896" bestFit="1" customWidth="1"/>
    <col min="12808" max="13056" width="9.140625" style="1896"/>
    <col min="13057" max="13057" width="3.5703125" style="1896" customWidth="1"/>
    <col min="13058" max="13058" width="33" style="1896" customWidth="1"/>
    <col min="13059" max="13059" width="10.5703125" style="1896" customWidth="1"/>
    <col min="13060" max="13060" width="11" style="1896" customWidth="1"/>
    <col min="13061" max="13061" width="15" style="1896" customWidth="1"/>
    <col min="13062" max="13062" width="16.5703125" style="1896" customWidth="1"/>
    <col min="13063" max="13063" width="15.85546875" style="1896" bestFit="1" customWidth="1"/>
    <col min="13064" max="13312" width="9.140625" style="1896"/>
    <col min="13313" max="13313" width="3.5703125" style="1896" customWidth="1"/>
    <col min="13314" max="13314" width="33" style="1896" customWidth="1"/>
    <col min="13315" max="13315" width="10.5703125" style="1896" customWidth="1"/>
    <col min="13316" max="13316" width="11" style="1896" customWidth="1"/>
    <col min="13317" max="13317" width="15" style="1896" customWidth="1"/>
    <col min="13318" max="13318" width="16.5703125" style="1896" customWidth="1"/>
    <col min="13319" max="13319" width="15.85546875" style="1896" bestFit="1" customWidth="1"/>
    <col min="13320" max="13568" width="9.140625" style="1896"/>
    <col min="13569" max="13569" width="3.5703125" style="1896" customWidth="1"/>
    <col min="13570" max="13570" width="33" style="1896" customWidth="1"/>
    <col min="13571" max="13571" width="10.5703125" style="1896" customWidth="1"/>
    <col min="13572" max="13572" width="11" style="1896" customWidth="1"/>
    <col min="13573" max="13573" width="15" style="1896" customWidth="1"/>
    <col min="13574" max="13574" width="16.5703125" style="1896" customWidth="1"/>
    <col min="13575" max="13575" width="15.85546875" style="1896" bestFit="1" customWidth="1"/>
    <col min="13576" max="13824" width="9.140625" style="1896"/>
    <col min="13825" max="13825" width="3.5703125" style="1896" customWidth="1"/>
    <col min="13826" max="13826" width="33" style="1896" customWidth="1"/>
    <col min="13827" max="13827" width="10.5703125" style="1896" customWidth="1"/>
    <col min="13828" max="13828" width="11" style="1896" customWidth="1"/>
    <col min="13829" max="13829" width="15" style="1896" customWidth="1"/>
    <col min="13830" max="13830" width="16.5703125" style="1896" customWidth="1"/>
    <col min="13831" max="13831" width="15.85546875" style="1896" bestFit="1" customWidth="1"/>
    <col min="13832" max="14080" width="9.140625" style="1896"/>
    <col min="14081" max="14081" width="3.5703125" style="1896" customWidth="1"/>
    <col min="14082" max="14082" width="33" style="1896" customWidth="1"/>
    <col min="14083" max="14083" width="10.5703125" style="1896" customWidth="1"/>
    <col min="14084" max="14084" width="11" style="1896" customWidth="1"/>
    <col min="14085" max="14085" width="15" style="1896" customWidth="1"/>
    <col min="14086" max="14086" width="16.5703125" style="1896" customWidth="1"/>
    <col min="14087" max="14087" width="15.85546875" style="1896" bestFit="1" customWidth="1"/>
    <col min="14088" max="14336" width="9.140625" style="1896"/>
    <col min="14337" max="14337" width="3.5703125" style="1896" customWidth="1"/>
    <col min="14338" max="14338" width="33" style="1896" customWidth="1"/>
    <col min="14339" max="14339" width="10.5703125" style="1896" customWidth="1"/>
    <col min="14340" max="14340" width="11" style="1896" customWidth="1"/>
    <col min="14341" max="14341" width="15" style="1896" customWidth="1"/>
    <col min="14342" max="14342" width="16.5703125" style="1896" customWidth="1"/>
    <col min="14343" max="14343" width="15.85546875" style="1896" bestFit="1" customWidth="1"/>
    <col min="14344" max="14592" width="9.140625" style="1896"/>
    <col min="14593" max="14593" width="3.5703125" style="1896" customWidth="1"/>
    <col min="14594" max="14594" width="33" style="1896" customWidth="1"/>
    <col min="14595" max="14595" width="10.5703125" style="1896" customWidth="1"/>
    <col min="14596" max="14596" width="11" style="1896" customWidth="1"/>
    <col min="14597" max="14597" width="15" style="1896" customWidth="1"/>
    <col min="14598" max="14598" width="16.5703125" style="1896" customWidth="1"/>
    <col min="14599" max="14599" width="15.85546875" style="1896" bestFit="1" customWidth="1"/>
    <col min="14600" max="14848" width="9.140625" style="1896"/>
    <col min="14849" max="14849" width="3.5703125" style="1896" customWidth="1"/>
    <col min="14850" max="14850" width="33" style="1896" customWidth="1"/>
    <col min="14851" max="14851" width="10.5703125" style="1896" customWidth="1"/>
    <col min="14852" max="14852" width="11" style="1896" customWidth="1"/>
    <col min="14853" max="14853" width="15" style="1896" customWidth="1"/>
    <col min="14854" max="14854" width="16.5703125" style="1896" customWidth="1"/>
    <col min="14855" max="14855" width="15.85546875" style="1896" bestFit="1" customWidth="1"/>
    <col min="14856" max="15104" width="9.140625" style="1896"/>
    <col min="15105" max="15105" width="3.5703125" style="1896" customWidth="1"/>
    <col min="15106" max="15106" width="33" style="1896" customWidth="1"/>
    <col min="15107" max="15107" width="10.5703125" style="1896" customWidth="1"/>
    <col min="15108" max="15108" width="11" style="1896" customWidth="1"/>
    <col min="15109" max="15109" width="15" style="1896" customWidth="1"/>
    <col min="15110" max="15110" width="16.5703125" style="1896" customWidth="1"/>
    <col min="15111" max="15111" width="15.85546875" style="1896" bestFit="1" customWidth="1"/>
    <col min="15112" max="15360" width="9.140625" style="1896"/>
    <col min="15361" max="15361" width="3.5703125" style="1896" customWidth="1"/>
    <col min="15362" max="15362" width="33" style="1896" customWidth="1"/>
    <col min="15363" max="15363" width="10.5703125" style="1896" customWidth="1"/>
    <col min="15364" max="15364" width="11" style="1896" customWidth="1"/>
    <col min="15365" max="15365" width="15" style="1896" customWidth="1"/>
    <col min="15366" max="15366" width="16.5703125" style="1896" customWidth="1"/>
    <col min="15367" max="15367" width="15.85546875" style="1896" bestFit="1" customWidth="1"/>
    <col min="15368" max="15616" width="9.140625" style="1896"/>
    <col min="15617" max="15617" width="3.5703125" style="1896" customWidth="1"/>
    <col min="15618" max="15618" width="33" style="1896" customWidth="1"/>
    <col min="15619" max="15619" width="10.5703125" style="1896" customWidth="1"/>
    <col min="15620" max="15620" width="11" style="1896" customWidth="1"/>
    <col min="15621" max="15621" width="15" style="1896" customWidth="1"/>
    <col min="15622" max="15622" width="16.5703125" style="1896" customWidth="1"/>
    <col min="15623" max="15623" width="15.85546875" style="1896" bestFit="1" customWidth="1"/>
    <col min="15624" max="15872" width="9.140625" style="1896"/>
    <col min="15873" max="15873" width="3.5703125" style="1896" customWidth="1"/>
    <col min="15874" max="15874" width="33" style="1896" customWidth="1"/>
    <col min="15875" max="15875" width="10.5703125" style="1896" customWidth="1"/>
    <col min="15876" max="15876" width="11" style="1896" customWidth="1"/>
    <col min="15877" max="15877" width="15" style="1896" customWidth="1"/>
    <col min="15878" max="15878" width="16.5703125" style="1896" customWidth="1"/>
    <col min="15879" max="15879" width="15.85546875" style="1896" bestFit="1" customWidth="1"/>
    <col min="15880" max="16128" width="9.140625" style="1896"/>
    <col min="16129" max="16129" width="3.5703125" style="1896" customWidth="1"/>
    <col min="16130" max="16130" width="33" style="1896" customWidth="1"/>
    <col min="16131" max="16131" width="10.5703125" style="1896" customWidth="1"/>
    <col min="16132" max="16132" width="11" style="1896" customWidth="1"/>
    <col min="16133" max="16133" width="15" style="1896" customWidth="1"/>
    <col min="16134" max="16134" width="16.5703125" style="1896" customWidth="1"/>
    <col min="16135" max="16135" width="15.85546875" style="1896" bestFit="1" customWidth="1"/>
    <col min="16136" max="16384" width="9.140625" style="1896"/>
  </cols>
  <sheetData>
    <row r="1" spans="1:7">
      <c r="C1" s="1930" t="s">
        <v>3216</v>
      </c>
      <c r="G1" s="1897" t="s">
        <v>1020</v>
      </c>
    </row>
    <row r="6" spans="1:7" ht="33">
      <c r="A6" s="1898" t="s">
        <v>0</v>
      </c>
      <c r="B6" s="1898" t="s">
        <v>2487</v>
      </c>
      <c r="C6" s="1899" t="s">
        <v>1</v>
      </c>
      <c r="D6" s="1898" t="s">
        <v>235</v>
      </c>
      <c r="E6" s="1899" t="s">
        <v>2760</v>
      </c>
      <c r="F6" s="1898" t="s">
        <v>3223</v>
      </c>
    </row>
    <row r="7" spans="1:7" ht="16.5" customHeight="1">
      <c r="A7" s="1900" t="s">
        <v>2721</v>
      </c>
      <c r="B7" s="1901" t="s">
        <v>2759</v>
      </c>
      <c r="C7" s="1902"/>
      <c r="D7" s="1900"/>
      <c r="E7" s="1902"/>
      <c r="F7" s="1903">
        <f>SUM(F8:F27)</f>
        <v>2325500000</v>
      </c>
    </row>
    <row r="8" spans="1:7" ht="16.5" customHeight="1">
      <c r="A8" s="1900">
        <v>1</v>
      </c>
      <c r="B8" s="1901" t="s">
        <v>2756</v>
      </c>
      <c r="C8" s="1900">
        <v>900</v>
      </c>
      <c r="D8" s="1902" t="s">
        <v>248</v>
      </c>
      <c r="E8" s="1902">
        <v>200000</v>
      </c>
      <c r="F8" s="1903">
        <f t="shared" ref="F8:F26" si="0">E8*C8</f>
        <v>180000000</v>
      </c>
    </row>
    <row r="9" spans="1:7" ht="16.5" customHeight="1">
      <c r="A9" s="1900">
        <v>2</v>
      </c>
      <c r="B9" s="1901" t="s">
        <v>2755</v>
      </c>
      <c r="C9" s="1900">
        <v>900</v>
      </c>
      <c r="D9" s="1900" t="s">
        <v>697</v>
      </c>
      <c r="E9" s="1902">
        <v>500000</v>
      </c>
      <c r="F9" s="1903">
        <f t="shared" si="0"/>
        <v>450000000</v>
      </c>
    </row>
    <row r="10" spans="1:7" ht="16.5" customHeight="1">
      <c r="A10" s="1900">
        <v>3</v>
      </c>
      <c r="B10" s="1901" t="s">
        <v>2754</v>
      </c>
      <c r="C10" s="1900">
        <v>500</v>
      </c>
      <c r="D10" s="1900" t="s">
        <v>248</v>
      </c>
      <c r="E10" s="1902">
        <v>1000000</v>
      </c>
      <c r="F10" s="1903">
        <f t="shared" si="0"/>
        <v>500000000</v>
      </c>
    </row>
    <row r="11" spans="1:7" ht="16.5" customHeight="1">
      <c r="A11" s="1900">
        <v>4</v>
      </c>
      <c r="B11" s="1901" t="s">
        <v>2753</v>
      </c>
      <c r="C11" s="1900">
        <v>900</v>
      </c>
      <c r="D11" s="1900" t="s">
        <v>244</v>
      </c>
      <c r="E11" s="1902">
        <v>250000</v>
      </c>
      <c r="F11" s="1903">
        <f t="shared" si="0"/>
        <v>225000000</v>
      </c>
    </row>
    <row r="12" spans="1:7" ht="16.5" customHeight="1">
      <c r="A12" s="1900">
        <v>5</v>
      </c>
      <c r="B12" s="1901" t="s">
        <v>2752</v>
      </c>
      <c r="C12" s="1900">
        <v>600</v>
      </c>
      <c r="D12" s="1900" t="s">
        <v>244</v>
      </c>
      <c r="E12" s="1902">
        <v>50000</v>
      </c>
      <c r="F12" s="1903">
        <f t="shared" si="0"/>
        <v>30000000</v>
      </c>
    </row>
    <row r="13" spans="1:7" ht="16.5" customHeight="1">
      <c r="A13" s="1900">
        <v>6</v>
      </c>
      <c r="B13" s="1901" t="s">
        <v>2751</v>
      </c>
      <c r="C13" s="1900">
        <v>600</v>
      </c>
      <c r="D13" s="1900" t="s">
        <v>244</v>
      </c>
      <c r="E13" s="1902">
        <v>100000</v>
      </c>
      <c r="F13" s="1903">
        <f t="shared" si="0"/>
        <v>60000000</v>
      </c>
    </row>
    <row r="14" spans="1:7" ht="16.5" customHeight="1">
      <c r="A14" s="1900">
        <v>7</v>
      </c>
      <c r="B14" s="1901" t="s">
        <v>2750</v>
      </c>
      <c r="C14" s="1900">
        <v>800</v>
      </c>
      <c r="D14" s="1900" t="s">
        <v>248</v>
      </c>
      <c r="E14" s="1902">
        <v>150000</v>
      </c>
      <c r="F14" s="1903">
        <f t="shared" si="0"/>
        <v>120000000</v>
      </c>
    </row>
    <row r="15" spans="1:7" ht="16.5" customHeight="1">
      <c r="A15" s="1900">
        <v>8</v>
      </c>
      <c r="B15" s="1901" t="s">
        <v>2749</v>
      </c>
      <c r="C15" s="1900">
        <v>700</v>
      </c>
      <c r="D15" s="1900" t="s">
        <v>248</v>
      </c>
      <c r="E15" s="1902">
        <v>150000</v>
      </c>
      <c r="F15" s="1903">
        <f t="shared" si="0"/>
        <v>105000000</v>
      </c>
    </row>
    <row r="16" spans="1:7" ht="16.5" customHeight="1">
      <c r="A16" s="1900">
        <v>9</v>
      </c>
      <c r="B16" s="1901" t="s">
        <v>2748</v>
      </c>
      <c r="C16" s="1900">
        <v>500</v>
      </c>
      <c r="D16" s="1900" t="s">
        <v>248</v>
      </c>
      <c r="E16" s="1902">
        <v>85000</v>
      </c>
      <c r="F16" s="1903">
        <f t="shared" si="0"/>
        <v>42500000</v>
      </c>
    </row>
    <row r="17" spans="1:6" ht="16.5" customHeight="1">
      <c r="A17" s="1900">
        <v>10</v>
      </c>
      <c r="B17" s="1901" t="s">
        <v>2747</v>
      </c>
      <c r="C17" s="1900">
        <v>600</v>
      </c>
      <c r="D17" s="1900" t="s">
        <v>2745</v>
      </c>
      <c r="E17" s="1902">
        <v>80000</v>
      </c>
      <c r="F17" s="1903">
        <f t="shared" si="0"/>
        <v>48000000</v>
      </c>
    </row>
    <row r="18" spans="1:6" ht="16.5" customHeight="1">
      <c r="A18" s="1900">
        <v>11</v>
      </c>
      <c r="B18" s="1901" t="s">
        <v>2746</v>
      </c>
      <c r="C18" s="1900">
        <v>600</v>
      </c>
      <c r="D18" s="1900" t="s">
        <v>2745</v>
      </c>
      <c r="E18" s="1902">
        <v>50000</v>
      </c>
      <c r="F18" s="1903">
        <f t="shared" si="0"/>
        <v>30000000</v>
      </c>
    </row>
    <row r="19" spans="1:6" ht="16.5" customHeight="1">
      <c r="A19" s="1900">
        <v>12</v>
      </c>
      <c r="B19" s="1901" t="s">
        <v>2744</v>
      </c>
      <c r="C19" s="1900">
        <v>500</v>
      </c>
      <c r="D19" s="1900" t="s">
        <v>248</v>
      </c>
      <c r="E19" s="1902">
        <v>50000</v>
      </c>
      <c r="F19" s="1903">
        <f t="shared" si="0"/>
        <v>25000000</v>
      </c>
    </row>
    <row r="20" spans="1:6" ht="16.5" customHeight="1">
      <c r="A20" s="1900">
        <v>13</v>
      </c>
      <c r="B20" s="1901" t="s">
        <v>2476</v>
      </c>
      <c r="C20" s="1900">
        <v>500</v>
      </c>
      <c r="D20" s="1900" t="s">
        <v>248</v>
      </c>
      <c r="E20" s="1902">
        <v>50000</v>
      </c>
      <c r="F20" s="1903">
        <f t="shared" si="0"/>
        <v>25000000</v>
      </c>
    </row>
    <row r="21" spans="1:6" ht="16.5" customHeight="1">
      <c r="A21" s="1900">
        <v>14</v>
      </c>
      <c r="B21" s="1901" t="s">
        <v>2743</v>
      </c>
      <c r="C21" s="1900">
        <v>500</v>
      </c>
      <c r="D21" s="1900" t="s">
        <v>248</v>
      </c>
      <c r="E21" s="1902">
        <v>40000</v>
      </c>
      <c r="F21" s="1903">
        <f t="shared" si="0"/>
        <v>20000000</v>
      </c>
    </row>
    <row r="22" spans="1:6" ht="16.5" customHeight="1">
      <c r="A22" s="1900">
        <v>15</v>
      </c>
      <c r="B22" s="1901" t="s">
        <v>2742</v>
      </c>
      <c r="C22" s="1900">
        <v>1500</v>
      </c>
      <c r="D22" s="1900" t="s">
        <v>248</v>
      </c>
      <c r="E22" s="1902">
        <v>200000</v>
      </c>
      <c r="F22" s="1903">
        <f t="shared" si="0"/>
        <v>300000000</v>
      </c>
    </row>
    <row r="23" spans="1:6" ht="16.5" customHeight="1">
      <c r="A23" s="1900">
        <v>16</v>
      </c>
      <c r="B23" s="1901" t="s">
        <v>2741</v>
      </c>
      <c r="C23" s="1900">
        <v>200</v>
      </c>
      <c r="D23" s="1900" t="s">
        <v>248</v>
      </c>
      <c r="E23" s="1902">
        <v>50000</v>
      </c>
      <c r="F23" s="1903">
        <f t="shared" si="0"/>
        <v>10000000</v>
      </c>
    </row>
    <row r="24" spans="1:6" ht="16.5" customHeight="1">
      <c r="A24" s="1900">
        <v>17</v>
      </c>
      <c r="B24" s="1901" t="s">
        <v>2740</v>
      </c>
      <c r="C24" s="1900">
        <v>300</v>
      </c>
      <c r="D24" s="1900" t="s">
        <v>244</v>
      </c>
      <c r="E24" s="1902">
        <v>80000</v>
      </c>
      <c r="F24" s="1903">
        <f t="shared" si="0"/>
        <v>24000000</v>
      </c>
    </row>
    <row r="25" spans="1:6" ht="16.5" customHeight="1">
      <c r="A25" s="1900">
        <v>18</v>
      </c>
      <c r="B25" s="1901" t="s">
        <v>2739</v>
      </c>
      <c r="C25" s="1900">
        <v>500</v>
      </c>
      <c r="D25" s="1900" t="s">
        <v>244</v>
      </c>
      <c r="E25" s="1902">
        <v>50000</v>
      </c>
      <c r="F25" s="1903">
        <f t="shared" si="0"/>
        <v>25000000</v>
      </c>
    </row>
    <row r="26" spans="1:6" ht="16.5" customHeight="1">
      <c r="A26" s="1900">
        <v>19</v>
      </c>
      <c r="B26" s="1904" t="s">
        <v>2738</v>
      </c>
      <c r="C26" s="1900">
        <v>700</v>
      </c>
      <c r="D26" s="1900" t="s">
        <v>248</v>
      </c>
      <c r="E26" s="1905">
        <v>80000</v>
      </c>
      <c r="F26" s="1903">
        <f t="shared" si="0"/>
        <v>56000000</v>
      </c>
    </row>
    <row r="27" spans="1:6" ht="16.5" customHeight="1">
      <c r="A27" s="1900">
        <v>20</v>
      </c>
      <c r="B27" s="1904" t="s">
        <v>2693</v>
      </c>
      <c r="C27" s="1902"/>
      <c r="D27" s="1902"/>
      <c r="E27" s="1902"/>
      <c r="F27" s="1902">
        <v>50000000</v>
      </c>
    </row>
    <row r="28" spans="1:6" ht="16.5" customHeight="1">
      <c r="A28" s="1906" t="s">
        <v>2758</v>
      </c>
      <c r="B28" s="1907" t="s">
        <v>2757</v>
      </c>
      <c r="C28" s="1907"/>
      <c r="D28" s="2331"/>
      <c r="E28" s="1907"/>
      <c r="F28" s="1908">
        <f>SUM(F29:F48)</f>
        <v>3159000000</v>
      </c>
    </row>
    <row r="29" spans="1:6" ht="16.5" customHeight="1">
      <c r="A29" s="1900">
        <v>1</v>
      </c>
      <c r="B29" s="1901" t="s">
        <v>2756</v>
      </c>
      <c r="C29" s="1900">
        <f t="shared" ref="C29:C47" si="1">C8</f>
        <v>900</v>
      </c>
      <c r="D29" s="1902" t="s">
        <v>248</v>
      </c>
      <c r="E29" s="1902">
        <v>250000</v>
      </c>
      <c r="F29" s="1903">
        <f t="shared" ref="F29:F47" si="2">E29*C29</f>
        <v>225000000</v>
      </c>
    </row>
    <row r="30" spans="1:6" ht="16.5" customHeight="1">
      <c r="A30" s="1900">
        <v>2</v>
      </c>
      <c r="B30" s="1901" t="s">
        <v>2755</v>
      </c>
      <c r="C30" s="1900">
        <f t="shared" si="1"/>
        <v>900</v>
      </c>
      <c r="D30" s="1900" t="s">
        <v>697</v>
      </c>
      <c r="E30" s="1902">
        <v>700000</v>
      </c>
      <c r="F30" s="1903">
        <f t="shared" si="2"/>
        <v>630000000</v>
      </c>
    </row>
    <row r="31" spans="1:6" ht="16.5" customHeight="1">
      <c r="A31" s="1900">
        <v>3</v>
      </c>
      <c r="B31" s="1901" t="s">
        <v>2754</v>
      </c>
      <c r="C31" s="1900">
        <f t="shared" si="1"/>
        <v>500</v>
      </c>
      <c r="D31" s="1900" t="s">
        <v>248</v>
      </c>
      <c r="E31" s="1902">
        <v>1500000</v>
      </c>
      <c r="F31" s="1903">
        <f t="shared" si="2"/>
        <v>750000000</v>
      </c>
    </row>
    <row r="32" spans="1:6" ht="16.5" customHeight="1">
      <c r="A32" s="1900">
        <v>4</v>
      </c>
      <c r="B32" s="1901" t="s">
        <v>2753</v>
      </c>
      <c r="C32" s="1900">
        <f t="shared" si="1"/>
        <v>900</v>
      </c>
      <c r="D32" s="1900" t="s">
        <v>244</v>
      </c>
      <c r="E32" s="1902">
        <v>300000</v>
      </c>
      <c r="F32" s="1903">
        <f t="shared" si="2"/>
        <v>270000000</v>
      </c>
    </row>
    <row r="33" spans="1:6" ht="16.5" customHeight="1">
      <c r="A33" s="1900">
        <v>5</v>
      </c>
      <c r="B33" s="1901" t="s">
        <v>2752</v>
      </c>
      <c r="C33" s="1900">
        <f t="shared" si="1"/>
        <v>600</v>
      </c>
      <c r="D33" s="1900" t="s">
        <v>244</v>
      </c>
      <c r="E33" s="1902">
        <v>70000</v>
      </c>
      <c r="F33" s="1903">
        <f t="shared" si="2"/>
        <v>42000000</v>
      </c>
    </row>
    <row r="34" spans="1:6" ht="16.5" customHeight="1">
      <c r="A34" s="1900">
        <v>6</v>
      </c>
      <c r="B34" s="1901" t="s">
        <v>2751</v>
      </c>
      <c r="C34" s="1900">
        <f t="shared" si="1"/>
        <v>600</v>
      </c>
      <c r="D34" s="1900" t="s">
        <v>244</v>
      </c>
      <c r="E34" s="1902">
        <v>150000</v>
      </c>
      <c r="F34" s="1903">
        <f t="shared" si="2"/>
        <v>90000000</v>
      </c>
    </row>
    <row r="35" spans="1:6" ht="16.5" customHeight="1">
      <c r="A35" s="1900">
        <v>7</v>
      </c>
      <c r="B35" s="1901" t="s">
        <v>2750</v>
      </c>
      <c r="C35" s="1900">
        <f t="shared" si="1"/>
        <v>800</v>
      </c>
      <c r="D35" s="1900" t="s">
        <v>248</v>
      </c>
      <c r="E35" s="1902">
        <v>200000</v>
      </c>
      <c r="F35" s="1903">
        <f t="shared" si="2"/>
        <v>160000000</v>
      </c>
    </row>
    <row r="36" spans="1:6" ht="16.5" customHeight="1">
      <c r="A36" s="1900">
        <v>8</v>
      </c>
      <c r="B36" s="1901" t="s">
        <v>2749</v>
      </c>
      <c r="C36" s="1900">
        <f t="shared" si="1"/>
        <v>700</v>
      </c>
      <c r="D36" s="1900" t="s">
        <v>248</v>
      </c>
      <c r="E36" s="1902">
        <v>200000</v>
      </c>
      <c r="F36" s="1903">
        <f t="shared" si="2"/>
        <v>140000000</v>
      </c>
    </row>
    <row r="37" spans="1:6" ht="16.5" customHeight="1">
      <c r="A37" s="1900">
        <v>9</v>
      </c>
      <c r="B37" s="1901" t="s">
        <v>2748</v>
      </c>
      <c r="C37" s="1900">
        <f t="shared" si="1"/>
        <v>500</v>
      </c>
      <c r="D37" s="1900" t="s">
        <v>248</v>
      </c>
      <c r="E37" s="1902">
        <v>100000</v>
      </c>
      <c r="F37" s="1903">
        <f t="shared" si="2"/>
        <v>50000000</v>
      </c>
    </row>
    <row r="38" spans="1:6" ht="16.5" customHeight="1">
      <c r="A38" s="1900">
        <v>10</v>
      </c>
      <c r="B38" s="1901" t="s">
        <v>2747</v>
      </c>
      <c r="C38" s="1900">
        <f t="shared" si="1"/>
        <v>600</v>
      </c>
      <c r="D38" s="1900" t="s">
        <v>2745</v>
      </c>
      <c r="E38" s="1902">
        <v>110000</v>
      </c>
      <c r="F38" s="1903">
        <f t="shared" si="2"/>
        <v>66000000</v>
      </c>
    </row>
    <row r="39" spans="1:6" ht="16.5" customHeight="1">
      <c r="A39" s="1900">
        <v>11</v>
      </c>
      <c r="B39" s="1901" t="s">
        <v>2746</v>
      </c>
      <c r="C39" s="1900">
        <f t="shared" si="1"/>
        <v>600</v>
      </c>
      <c r="D39" s="1900" t="s">
        <v>2745</v>
      </c>
      <c r="E39" s="1902">
        <v>70000</v>
      </c>
      <c r="F39" s="1903">
        <f t="shared" si="2"/>
        <v>42000000</v>
      </c>
    </row>
    <row r="40" spans="1:6" ht="16.5" customHeight="1">
      <c r="A40" s="1900">
        <v>12</v>
      </c>
      <c r="B40" s="1901" t="s">
        <v>2744</v>
      </c>
      <c r="C40" s="1900">
        <f t="shared" si="1"/>
        <v>500</v>
      </c>
      <c r="D40" s="1900" t="s">
        <v>248</v>
      </c>
      <c r="E40" s="1902">
        <v>70000</v>
      </c>
      <c r="F40" s="1903">
        <f t="shared" si="2"/>
        <v>35000000</v>
      </c>
    </row>
    <row r="41" spans="1:6" ht="16.5" customHeight="1">
      <c r="A41" s="1900">
        <v>13</v>
      </c>
      <c r="B41" s="1901" t="s">
        <v>2476</v>
      </c>
      <c r="C41" s="1900">
        <f t="shared" si="1"/>
        <v>500</v>
      </c>
      <c r="D41" s="1900" t="s">
        <v>248</v>
      </c>
      <c r="E41" s="1902">
        <v>70000</v>
      </c>
      <c r="F41" s="1903">
        <f t="shared" si="2"/>
        <v>35000000</v>
      </c>
    </row>
    <row r="42" spans="1:6" ht="16.5" customHeight="1">
      <c r="A42" s="1900">
        <v>14</v>
      </c>
      <c r="B42" s="1901" t="s">
        <v>2743</v>
      </c>
      <c r="C42" s="1900">
        <f t="shared" si="1"/>
        <v>500</v>
      </c>
      <c r="D42" s="1900" t="s">
        <v>248</v>
      </c>
      <c r="E42" s="1902">
        <v>60000</v>
      </c>
      <c r="F42" s="1903">
        <f t="shared" si="2"/>
        <v>30000000</v>
      </c>
    </row>
    <row r="43" spans="1:6" ht="16.5" customHeight="1">
      <c r="A43" s="1900">
        <v>15</v>
      </c>
      <c r="B43" s="1901" t="s">
        <v>2742</v>
      </c>
      <c r="C43" s="1900">
        <f t="shared" si="1"/>
        <v>1500</v>
      </c>
      <c r="D43" s="1900" t="s">
        <v>248</v>
      </c>
      <c r="E43" s="1902">
        <v>250000</v>
      </c>
      <c r="F43" s="1903">
        <f t="shared" si="2"/>
        <v>375000000</v>
      </c>
    </row>
    <row r="44" spans="1:6" ht="16.5" customHeight="1">
      <c r="A44" s="1900">
        <v>16</v>
      </c>
      <c r="B44" s="1901" t="s">
        <v>2741</v>
      </c>
      <c r="C44" s="1900">
        <f t="shared" si="1"/>
        <v>200</v>
      </c>
      <c r="D44" s="1900" t="s">
        <v>248</v>
      </c>
      <c r="E44" s="1902">
        <v>70000</v>
      </c>
      <c r="F44" s="1903">
        <f t="shared" si="2"/>
        <v>14000000</v>
      </c>
    </row>
    <row r="45" spans="1:6" ht="16.5" customHeight="1">
      <c r="A45" s="1900">
        <v>17</v>
      </c>
      <c r="B45" s="1901" t="s">
        <v>2740</v>
      </c>
      <c r="C45" s="1900">
        <f t="shared" si="1"/>
        <v>300</v>
      </c>
      <c r="D45" s="1900" t="s">
        <v>244</v>
      </c>
      <c r="E45" s="1902">
        <v>100000</v>
      </c>
      <c r="F45" s="1903">
        <f t="shared" si="2"/>
        <v>30000000</v>
      </c>
    </row>
    <row r="46" spans="1:6" ht="16.5" customHeight="1">
      <c r="A46" s="1900">
        <v>18</v>
      </c>
      <c r="B46" s="1901" t="s">
        <v>2739</v>
      </c>
      <c r="C46" s="1900">
        <f t="shared" si="1"/>
        <v>500</v>
      </c>
      <c r="D46" s="1900" t="s">
        <v>244</v>
      </c>
      <c r="E46" s="1902">
        <v>70000</v>
      </c>
      <c r="F46" s="1903">
        <f t="shared" si="2"/>
        <v>35000000</v>
      </c>
    </row>
    <row r="47" spans="1:6" ht="16.5" customHeight="1">
      <c r="A47" s="1900">
        <v>19</v>
      </c>
      <c r="B47" s="1904" t="s">
        <v>2738</v>
      </c>
      <c r="C47" s="1900">
        <f t="shared" si="1"/>
        <v>700</v>
      </c>
      <c r="D47" s="1900" t="s">
        <v>248</v>
      </c>
      <c r="E47" s="1905">
        <v>100000</v>
      </c>
      <c r="F47" s="1903">
        <f t="shared" si="2"/>
        <v>70000000</v>
      </c>
    </row>
    <row r="48" spans="1:6" ht="16.5" customHeight="1">
      <c r="A48" s="1900">
        <v>20</v>
      </c>
      <c r="B48" s="1904" t="s">
        <v>2693</v>
      </c>
      <c r="C48" s="1902"/>
      <c r="D48" s="1902"/>
      <c r="E48" s="1902"/>
      <c r="F48" s="1902">
        <v>70000000</v>
      </c>
    </row>
    <row r="49" spans="1:7">
      <c r="A49" s="1906" t="s">
        <v>2737</v>
      </c>
      <c r="B49" s="1907" t="s">
        <v>2736</v>
      </c>
      <c r="C49" s="2637"/>
      <c r="D49" s="2637"/>
      <c r="E49" s="2637"/>
      <c r="F49" s="1908">
        <f>F28-F7</f>
        <v>833500000</v>
      </c>
    </row>
    <row r="50" spans="1:7">
      <c r="A50" s="1906" t="s">
        <v>2735</v>
      </c>
      <c r="B50" s="1909" t="s">
        <v>2734</v>
      </c>
      <c r="C50" s="2640"/>
      <c r="D50" s="2640"/>
      <c r="E50" s="2640"/>
      <c r="F50" s="1908">
        <f>SUM(F51:F57)</f>
        <v>527211000</v>
      </c>
    </row>
    <row r="51" spans="1:7">
      <c r="A51" s="1910">
        <v>1</v>
      </c>
      <c r="B51" s="1911" t="s">
        <v>2733</v>
      </c>
      <c r="C51" s="2636" t="s">
        <v>2732</v>
      </c>
      <c r="D51" s="2636"/>
      <c r="E51" s="2636"/>
      <c r="F51" s="1912">
        <f>7000000*12*3</f>
        <v>252000000</v>
      </c>
    </row>
    <row r="52" spans="1:7" s="1913" customFormat="1">
      <c r="A52" s="1910">
        <v>2</v>
      </c>
      <c r="B52" s="1911" t="s">
        <v>2731</v>
      </c>
      <c r="C52" s="2636" t="s">
        <v>2730</v>
      </c>
      <c r="D52" s="2636"/>
      <c r="E52" s="2636"/>
      <c r="F52" s="1912">
        <f>650000*12</f>
        <v>7800000</v>
      </c>
    </row>
    <row r="53" spans="1:7" s="1913" customFormat="1">
      <c r="A53" s="1910">
        <v>3</v>
      </c>
      <c r="B53" s="1911" t="s">
        <v>2729</v>
      </c>
      <c r="C53" s="2636" t="s">
        <v>2728</v>
      </c>
      <c r="D53" s="2636"/>
      <c r="E53" s="2636"/>
      <c r="F53" s="1912">
        <f>1000000*12</f>
        <v>12000000</v>
      </c>
    </row>
    <row r="54" spans="1:7">
      <c r="A54" s="1910">
        <v>4</v>
      </c>
      <c r="B54" s="1911" t="s">
        <v>2600</v>
      </c>
      <c r="C54" s="2636"/>
      <c r="D54" s="2636"/>
      <c r="E54" s="2636"/>
      <c r="F54" s="1912">
        <v>40000000</v>
      </c>
    </row>
    <row r="55" spans="1:7">
      <c r="A55" s="1910">
        <v>5</v>
      </c>
      <c r="B55" s="1914" t="s">
        <v>2727</v>
      </c>
      <c r="C55" s="2635"/>
      <c r="D55" s="2635"/>
      <c r="E55" s="2635"/>
      <c r="F55" s="1915">
        <v>5411000</v>
      </c>
    </row>
    <row r="56" spans="1:7">
      <c r="A56" s="1910">
        <v>6</v>
      </c>
      <c r="B56" s="1914" t="s">
        <v>2726</v>
      </c>
      <c r="C56" s="2636" t="s">
        <v>2725</v>
      </c>
      <c r="D56" s="2636"/>
      <c r="E56" s="2636"/>
      <c r="F56" s="1915">
        <f>C66*9.5%</f>
        <v>190000000</v>
      </c>
    </row>
    <row r="57" spans="1:7">
      <c r="A57" s="1910">
        <v>7</v>
      </c>
      <c r="B57" s="1914" t="s">
        <v>2724</v>
      </c>
      <c r="C57" s="2635"/>
      <c r="D57" s="2635"/>
      <c r="E57" s="2635"/>
      <c r="F57" s="1915">
        <v>20000000</v>
      </c>
    </row>
    <row r="58" spans="1:7">
      <c r="A58" s="1916" t="s">
        <v>2723</v>
      </c>
      <c r="B58" s="1917" t="s">
        <v>136</v>
      </c>
      <c r="C58" s="2637"/>
      <c r="D58" s="2637"/>
      <c r="E58" s="2637"/>
      <c r="F58" s="1918">
        <f>F49-F50</f>
        <v>306289000</v>
      </c>
    </row>
    <row r="59" spans="1:7" ht="15.75" customHeight="1">
      <c r="A59" s="1906" t="s">
        <v>2722</v>
      </c>
      <c r="B59" s="1919" t="s">
        <v>1119</v>
      </c>
      <c r="C59" s="1908"/>
      <c r="D59" s="1919"/>
      <c r="E59" s="1908"/>
      <c r="F59" s="1919"/>
    </row>
    <row r="60" spans="1:7">
      <c r="A60" s="1900" t="s">
        <v>2721</v>
      </c>
      <c r="B60" s="1920" t="s">
        <v>2720</v>
      </c>
      <c r="C60" s="1904"/>
      <c r="D60" s="1920"/>
      <c r="E60" s="1904"/>
      <c r="F60" s="1920"/>
    </row>
    <row r="61" spans="1:7">
      <c r="A61" s="1906" t="s">
        <v>615</v>
      </c>
      <c r="B61" s="1901" t="s">
        <v>2719</v>
      </c>
      <c r="C61" s="2638">
        <f>F7+F50-F56-F57</f>
        <v>2642711000</v>
      </c>
      <c r="D61" s="2638"/>
      <c r="E61" s="1900" t="s">
        <v>1270</v>
      </c>
      <c r="F61" s="1931"/>
      <c r="G61" s="1921">
        <f>F7+F50</f>
        <v>2852711000</v>
      </c>
    </row>
    <row r="62" spans="1:7">
      <c r="A62" s="1906" t="s">
        <v>615</v>
      </c>
      <c r="B62" s="1901" t="s">
        <v>2718</v>
      </c>
      <c r="C62" s="2639">
        <v>1.2</v>
      </c>
      <c r="D62" s="2639"/>
      <c r="E62" s="2330" t="s">
        <v>2630</v>
      </c>
      <c r="F62" s="1922"/>
    </row>
    <row r="63" spans="1:7">
      <c r="A63" s="1906" t="s">
        <v>615</v>
      </c>
      <c r="B63" s="1901" t="s">
        <v>2717</v>
      </c>
      <c r="C63" s="2631">
        <f>C61/C62</f>
        <v>2202259166.666667</v>
      </c>
      <c r="D63" s="2631"/>
      <c r="E63" s="2330" t="s">
        <v>1270</v>
      </c>
      <c r="F63" s="1922"/>
    </row>
    <row r="64" spans="1:7" s="1932" customFormat="1">
      <c r="A64" s="1906" t="s">
        <v>615</v>
      </c>
      <c r="B64" s="1923" t="s">
        <v>3224</v>
      </c>
      <c r="C64" s="1924"/>
      <c r="D64" s="1924"/>
      <c r="E64" s="1906"/>
      <c r="F64" s="1922"/>
    </row>
    <row r="65" spans="1:6">
      <c r="A65" s="1906"/>
      <c r="B65" s="1925" t="s">
        <v>2716</v>
      </c>
      <c r="C65" s="2632">
        <f>C63-C66</f>
        <v>202259166.66666698</v>
      </c>
      <c r="D65" s="2632"/>
      <c r="E65" s="1900" t="s">
        <v>2715</v>
      </c>
      <c r="F65" s="1922"/>
    </row>
    <row r="66" spans="1:6">
      <c r="A66" s="1906"/>
      <c r="B66" s="1925" t="s">
        <v>2714</v>
      </c>
      <c r="C66" s="2633">
        <v>2000000000</v>
      </c>
      <c r="D66" s="2633"/>
      <c r="E66" s="1900" t="s">
        <v>1270</v>
      </c>
      <c r="F66" s="1922"/>
    </row>
    <row r="67" spans="1:6">
      <c r="A67" s="1906" t="s">
        <v>615</v>
      </c>
      <c r="B67" s="1901" t="s">
        <v>2713</v>
      </c>
      <c r="C67" s="2634">
        <f>C65/C63%</f>
        <v>9.1841673190901432</v>
      </c>
      <c r="D67" s="2634"/>
      <c r="E67" s="1900" t="s">
        <v>90</v>
      </c>
      <c r="F67" s="1922"/>
    </row>
    <row r="145" spans="1:6" s="1930" customFormat="1" ht="33">
      <c r="A145" s="1895"/>
      <c r="B145" s="1896"/>
      <c r="C145" s="1926">
        <v>1</v>
      </c>
      <c r="D145" s="1927" t="s">
        <v>2712</v>
      </c>
      <c r="E145" s="1928">
        <v>170</v>
      </c>
      <c r="F145" s="1928" t="s">
        <v>1012</v>
      </c>
    </row>
    <row r="146" spans="1:6" s="1930" customFormat="1" ht="33">
      <c r="A146" s="1895"/>
      <c r="B146" s="1896"/>
      <c r="C146" s="1926">
        <v>2</v>
      </c>
      <c r="D146" s="1927" t="s">
        <v>2711</v>
      </c>
      <c r="E146" s="1928">
        <v>150</v>
      </c>
      <c r="F146" s="1928" t="s">
        <v>1012</v>
      </c>
    </row>
    <row r="147" spans="1:6" s="1930" customFormat="1">
      <c r="A147" s="1895"/>
      <c r="B147" s="1896"/>
      <c r="C147" s="1926">
        <v>3</v>
      </c>
      <c r="D147" s="1927" t="s">
        <v>2710</v>
      </c>
      <c r="E147" s="1928">
        <v>160</v>
      </c>
      <c r="F147" s="1928" t="s">
        <v>1012</v>
      </c>
    </row>
    <row r="148" spans="1:6" s="1930" customFormat="1" ht="33">
      <c r="A148" s="1895"/>
      <c r="B148" s="1896"/>
      <c r="C148" s="1926">
        <v>4</v>
      </c>
      <c r="D148" s="1927" t="s">
        <v>2709</v>
      </c>
      <c r="E148" s="1928">
        <v>170</v>
      </c>
      <c r="F148" s="1928" t="s">
        <v>1012</v>
      </c>
    </row>
    <row r="149" spans="1:6" s="1930" customFormat="1">
      <c r="A149" s="1895"/>
      <c r="B149" s="1896"/>
      <c r="C149" s="1926">
        <v>5</v>
      </c>
      <c r="D149" s="1929" t="s">
        <v>2708</v>
      </c>
      <c r="E149" s="1928">
        <v>200</v>
      </c>
      <c r="F149" s="1928" t="s">
        <v>1012</v>
      </c>
    </row>
    <row r="150" spans="1:6" s="1930" customFormat="1">
      <c r="A150" s="1895"/>
      <c r="B150" s="1896"/>
      <c r="C150" s="1926">
        <v>6</v>
      </c>
      <c r="D150" s="1929" t="s">
        <v>2707</v>
      </c>
      <c r="E150" s="1928">
        <v>150</v>
      </c>
      <c r="F150" s="1928" t="s">
        <v>1012</v>
      </c>
    </row>
    <row r="151" spans="1:6" s="1930" customFormat="1">
      <c r="A151" s="1895"/>
      <c r="B151" s="1896"/>
      <c r="C151" s="1926">
        <v>7</v>
      </c>
      <c r="D151" s="1929" t="s">
        <v>2706</v>
      </c>
      <c r="E151" s="1928">
        <v>140</v>
      </c>
      <c r="F151" s="1928" t="s">
        <v>1012</v>
      </c>
    </row>
    <row r="152" spans="1:6" s="1930" customFormat="1">
      <c r="A152" s="1895"/>
      <c r="B152" s="1896"/>
      <c r="C152" s="1926">
        <v>8</v>
      </c>
      <c r="D152" s="1929" t="s">
        <v>2705</v>
      </c>
      <c r="E152" s="1928">
        <v>280</v>
      </c>
      <c r="F152" s="1928" t="s">
        <v>1012</v>
      </c>
    </row>
    <row r="153" spans="1:6" s="1930" customFormat="1">
      <c r="A153" s="1895"/>
      <c r="B153" s="1896"/>
      <c r="C153" s="1926">
        <v>9</v>
      </c>
      <c r="D153" s="1929" t="s">
        <v>2704</v>
      </c>
      <c r="E153" s="1928">
        <v>290</v>
      </c>
      <c r="F153" s="1928" t="s">
        <v>1012</v>
      </c>
    </row>
    <row r="154" spans="1:6" s="1930" customFormat="1">
      <c r="A154" s="1895"/>
      <c r="B154" s="1896"/>
      <c r="C154" s="1926">
        <v>10</v>
      </c>
      <c r="D154" s="1929" t="s">
        <v>2703</v>
      </c>
      <c r="E154" s="1928">
        <v>240</v>
      </c>
      <c r="F154" s="1928" t="s">
        <v>1012</v>
      </c>
    </row>
    <row r="155" spans="1:6" s="1930" customFormat="1">
      <c r="A155" s="1895"/>
      <c r="B155" s="1896"/>
      <c r="C155" s="1926">
        <v>11</v>
      </c>
      <c r="D155" s="1929" t="s">
        <v>2702</v>
      </c>
      <c r="E155" s="1928">
        <v>270</v>
      </c>
      <c r="F155" s="1928" t="s">
        <v>1012</v>
      </c>
    </row>
    <row r="156" spans="1:6" s="1930" customFormat="1">
      <c r="A156" s="1895"/>
      <c r="B156" s="1896"/>
      <c r="C156" s="1926">
        <v>12</v>
      </c>
      <c r="D156" s="1929" t="s">
        <v>2701</v>
      </c>
      <c r="E156" s="1928">
        <v>170</v>
      </c>
      <c r="F156" s="1928" t="s">
        <v>1012</v>
      </c>
    </row>
    <row r="157" spans="1:6" s="1930" customFormat="1">
      <c r="A157" s="1895"/>
      <c r="B157" s="1896"/>
      <c r="C157" s="1926">
        <v>13</v>
      </c>
      <c r="D157" s="1929" t="s">
        <v>2700</v>
      </c>
      <c r="E157" s="1928">
        <v>290</v>
      </c>
      <c r="F157" s="1928" t="s">
        <v>1012</v>
      </c>
    </row>
    <row r="158" spans="1:6" s="1930" customFormat="1">
      <c r="A158" s="1895"/>
      <c r="B158" s="1896"/>
      <c r="C158" s="1926">
        <v>14</v>
      </c>
      <c r="D158" s="1929" t="s">
        <v>2699</v>
      </c>
      <c r="E158" s="1928">
        <v>250</v>
      </c>
      <c r="F158" s="1928" t="s">
        <v>1012</v>
      </c>
    </row>
    <row r="159" spans="1:6" s="1930" customFormat="1">
      <c r="A159" s="1895"/>
      <c r="B159" s="1896"/>
      <c r="C159" s="1926">
        <v>15</v>
      </c>
      <c r="D159" s="1929" t="s">
        <v>2698</v>
      </c>
      <c r="E159" s="1928">
        <v>300</v>
      </c>
      <c r="F159" s="1928" t="s">
        <v>1012</v>
      </c>
    </row>
    <row r="160" spans="1:6" s="1930" customFormat="1">
      <c r="A160" s="1895"/>
      <c r="B160" s="1896"/>
      <c r="C160" s="1926">
        <v>16</v>
      </c>
      <c r="D160" s="1929" t="s">
        <v>2697</v>
      </c>
      <c r="E160" s="1928">
        <v>280</v>
      </c>
      <c r="F160" s="1928" t="s">
        <v>1012</v>
      </c>
    </row>
    <row r="161" spans="1:6" s="1930" customFormat="1">
      <c r="A161" s="1895"/>
      <c r="B161" s="1896"/>
      <c r="C161" s="1926">
        <v>17</v>
      </c>
      <c r="D161" s="1929" t="s">
        <v>2696</v>
      </c>
      <c r="E161" s="1928">
        <v>150</v>
      </c>
      <c r="F161" s="1928" t="s">
        <v>1012</v>
      </c>
    </row>
    <row r="162" spans="1:6" s="1930" customFormat="1">
      <c r="A162" s="1895"/>
      <c r="B162" s="1896"/>
      <c r="C162" s="1926">
        <v>18</v>
      </c>
      <c r="D162" s="1929" t="s">
        <v>2695</v>
      </c>
      <c r="E162" s="1928">
        <v>100</v>
      </c>
      <c r="F162" s="1928" t="s">
        <v>244</v>
      </c>
    </row>
    <row r="163" spans="1:6" s="1930" customFormat="1">
      <c r="A163" s="1895"/>
      <c r="B163" s="1896"/>
      <c r="C163" s="1926">
        <v>19</v>
      </c>
      <c r="D163" s="1929" t="s">
        <v>2694</v>
      </c>
      <c r="E163" s="1928">
        <v>150</v>
      </c>
      <c r="F163" s="1928" t="s">
        <v>1012</v>
      </c>
    </row>
    <row r="164" spans="1:6" s="1930" customFormat="1">
      <c r="A164" s="1895"/>
      <c r="B164" s="1896"/>
      <c r="C164" s="1926">
        <v>20</v>
      </c>
      <c r="D164" s="1929" t="s">
        <v>2693</v>
      </c>
      <c r="E164" s="1928"/>
      <c r="F164" s="1928"/>
    </row>
  </sheetData>
  <mergeCells count="16">
    <mergeCell ref="C54:E54"/>
    <mergeCell ref="C49:E49"/>
    <mergeCell ref="C50:E50"/>
    <mergeCell ref="C51:E51"/>
    <mergeCell ref="C52:E52"/>
    <mergeCell ref="C53:E53"/>
    <mergeCell ref="C63:D63"/>
    <mergeCell ref="C65:D65"/>
    <mergeCell ref="C66:D66"/>
    <mergeCell ref="C67:D67"/>
    <mergeCell ref="C55:E55"/>
    <mergeCell ref="C56:E56"/>
    <mergeCell ref="C57:E57"/>
    <mergeCell ref="C58:E58"/>
    <mergeCell ref="C61:D61"/>
    <mergeCell ref="C62:D62"/>
  </mergeCells>
  <pageMargins left="0.75" right="0.4" top="0.42" bottom="0.39" header="0.2" footer="0.2"/>
  <pageSetup orientation="portrait" r:id="rId1"/>
  <headerFooter alignWithMargins="0">
    <oddFooter>&amp;R&amp;P</oddFooter>
  </headerFooter>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G28"/>
  <sheetViews>
    <sheetView workbookViewId="0">
      <selection activeCell="C1" sqref="C1"/>
    </sheetView>
  </sheetViews>
  <sheetFormatPr defaultRowHeight="16.5"/>
  <cols>
    <col min="1" max="1" width="5" style="6" bestFit="1" customWidth="1"/>
    <col min="2" max="2" width="29.28515625" style="6" bestFit="1" customWidth="1"/>
    <col min="3" max="3" width="23" style="6" bestFit="1" customWidth="1"/>
    <col min="4" max="4" width="23.140625" style="6" bestFit="1" customWidth="1"/>
    <col min="5" max="16384" width="9.140625" style="6"/>
  </cols>
  <sheetData>
    <row r="1" spans="1:7">
      <c r="C1" s="6" t="s">
        <v>3217</v>
      </c>
      <c r="G1" s="308" t="s">
        <v>1020</v>
      </c>
    </row>
    <row r="3" spans="1:7">
      <c r="A3" s="75" t="s">
        <v>0</v>
      </c>
      <c r="B3" s="75" t="s">
        <v>103</v>
      </c>
      <c r="C3" s="75" t="s">
        <v>315</v>
      </c>
      <c r="D3" s="75" t="s">
        <v>316</v>
      </c>
    </row>
    <row r="4" spans="1:7">
      <c r="A4" s="5" t="s">
        <v>116</v>
      </c>
      <c r="B4" s="31" t="s">
        <v>110</v>
      </c>
      <c r="C4" s="40">
        <f>SUM(C5:C10)</f>
        <v>313000000</v>
      </c>
      <c r="D4" s="40">
        <f>SUM(D5:D10)</f>
        <v>626000000</v>
      </c>
    </row>
    <row r="5" spans="1:7">
      <c r="A5" s="4">
        <v>1</v>
      </c>
      <c r="B5" s="34" t="s">
        <v>317</v>
      </c>
      <c r="C5" s="41">
        <v>60000000</v>
      </c>
      <c r="D5" s="41">
        <f t="shared" ref="D5:D21" si="0">C5*2</f>
        <v>120000000</v>
      </c>
    </row>
    <row r="6" spans="1:7">
      <c r="A6" s="4">
        <v>2</v>
      </c>
      <c r="B6" s="34" t="s">
        <v>318</v>
      </c>
      <c r="C6" s="41">
        <f>C13*1.1</f>
        <v>88000000</v>
      </c>
      <c r="D6" s="41">
        <f t="shared" si="0"/>
        <v>176000000</v>
      </c>
    </row>
    <row r="7" spans="1:7">
      <c r="A7" s="4">
        <v>3</v>
      </c>
      <c r="B7" s="34" t="s">
        <v>319</v>
      </c>
      <c r="C7" s="41">
        <f>C14*1.1</f>
        <v>55000000.000000007</v>
      </c>
      <c r="D7" s="41">
        <f t="shared" si="0"/>
        <v>110000000.00000001</v>
      </c>
    </row>
    <row r="8" spans="1:7">
      <c r="A8" s="4">
        <v>4</v>
      </c>
      <c r="B8" s="34" t="s">
        <v>320</v>
      </c>
      <c r="C8" s="41">
        <f>C15*1.1</f>
        <v>33000000.000000004</v>
      </c>
      <c r="D8" s="41">
        <f t="shared" si="0"/>
        <v>66000000.000000007</v>
      </c>
    </row>
    <row r="9" spans="1:7">
      <c r="A9" s="4">
        <v>5</v>
      </c>
      <c r="B9" s="34" t="s">
        <v>321</v>
      </c>
      <c r="C9" s="41">
        <f>C16*1.1</f>
        <v>22000000</v>
      </c>
      <c r="D9" s="41">
        <f t="shared" si="0"/>
        <v>44000000</v>
      </c>
    </row>
    <row r="10" spans="1:7">
      <c r="A10" s="4">
        <v>6</v>
      </c>
      <c r="B10" s="34" t="s">
        <v>300</v>
      </c>
      <c r="C10" s="41">
        <f>C17*1.1</f>
        <v>55000000.000000007</v>
      </c>
      <c r="D10" s="41">
        <f t="shared" si="0"/>
        <v>110000000.00000001</v>
      </c>
    </row>
    <row r="11" spans="1:7">
      <c r="A11" s="5" t="s">
        <v>109</v>
      </c>
      <c r="B11" s="31" t="s">
        <v>211</v>
      </c>
      <c r="C11" s="40">
        <f>SUM(C18:C21)+C12</f>
        <v>267875000</v>
      </c>
      <c r="D11" s="40">
        <f>SUM(D18:D21)+D12</f>
        <v>535750000</v>
      </c>
    </row>
    <row r="12" spans="1:7">
      <c r="A12" s="4">
        <v>1</v>
      </c>
      <c r="B12" s="34" t="s">
        <v>322</v>
      </c>
      <c r="C12" s="41">
        <f>SUM(C13:C17)</f>
        <v>230000000</v>
      </c>
      <c r="D12" s="41">
        <f>SUM(D13:D17)</f>
        <v>460000000</v>
      </c>
    </row>
    <row r="13" spans="1:7">
      <c r="A13" s="4" t="s">
        <v>30</v>
      </c>
      <c r="B13" s="34" t="s">
        <v>318</v>
      </c>
      <c r="C13" s="41">
        <v>80000000</v>
      </c>
      <c r="D13" s="41">
        <f t="shared" si="0"/>
        <v>160000000</v>
      </c>
    </row>
    <row r="14" spans="1:7">
      <c r="A14" s="4" t="s">
        <v>30</v>
      </c>
      <c r="B14" s="34" t="s">
        <v>319</v>
      </c>
      <c r="C14" s="41">
        <v>50000000</v>
      </c>
      <c r="D14" s="41">
        <f t="shared" si="0"/>
        <v>100000000</v>
      </c>
    </row>
    <row r="15" spans="1:7">
      <c r="A15" s="4" t="s">
        <v>30</v>
      </c>
      <c r="B15" s="34" t="s">
        <v>320</v>
      </c>
      <c r="C15" s="41">
        <v>30000000</v>
      </c>
      <c r="D15" s="41">
        <f t="shared" si="0"/>
        <v>60000000</v>
      </c>
    </row>
    <row r="16" spans="1:7">
      <c r="A16" s="4" t="s">
        <v>30</v>
      </c>
      <c r="B16" s="34" t="s">
        <v>321</v>
      </c>
      <c r="C16" s="41">
        <v>20000000</v>
      </c>
      <c r="D16" s="41">
        <f t="shared" si="0"/>
        <v>40000000</v>
      </c>
    </row>
    <row r="17" spans="1:5">
      <c r="A17" s="4" t="s">
        <v>30</v>
      </c>
      <c r="B17" s="34" t="s">
        <v>300</v>
      </c>
      <c r="C17" s="41">
        <v>50000000</v>
      </c>
      <c r="D17" s="41">
        <f t="shared" si="0"/>
        <v>100000000</v>
      </c>
    </row>
    <row r="18" spans="1:5">
      <c r="A18" s="4">
        <v>2</v>
      </c>
      <c r="B18" s="34" t="s">
        <v>323</v>
      </c>
      <c r="C18" s="41">
        <v>18000000</v>
      </c>
      <c r="D18" s="41">
        <f t="shared" si="0"/>
        <v>36000000</v>
      </c>
    </row>
    <row r="19" spans="1:5">
      <c r="A19" s="4">
        <v>3</v>
      </c>
      <c r="B19" s="34" t="s">
        <v>213</v>
      </c>
      <c r="C19" s="41">
        <f>C26*C27/12*6</f>
        <v>7875000</v>
      </c>
      <c r="D19" s="41">
        <f t="shared" si="0"/>
        <v>15750000</v>
      </c>
    </row>
    <row r="20" spans="1:5">
      <c r="A20" s="4">
        <v>4</v>
      </c>
      <c r="B20" s="34" t="s">
        <v>324</v>
      </c>
      <c r="C20" s="41">
        <v>6000000</v>
      </c>
      <c r="D20" s="41">
        <f t="shared" si="0"/>
        <v>12000000</v>
      </c>
    </row>
    <row r="21" spans="1:5">
      <c r="A21" s="4">
        <v>5</v>
      </c>
      <c r="B21" s="34" t="s">
        <v>217</v>
      </c>
      <c r="C21" s="41">
        <v>6000000</v>
      </c>
      <c r="D21" s="41">
        <f t="shared" si="0"/>
        <v>12000000</v>
      </c>
    </row>
    <row r="22" spans="1:5">
      <c r="A22" s="5" t="s">
        <v>135</v>
      </c>
      <c r="B22" s="31" t="s">
        <v>136</v>
      </c>
      <c r="C22" s="40">
        <f>C4-C11</f>
        <v>45125000</v>
      </c>
      <c r="D22" s="40">
        <f>D4-D11</f>
        <v>90250000</v>
      </c>
    </row>
    <row r="23" spans="1:5">
      <c r="A23" s="31"/>
      <c r="B23" s="2641" t="s">
        <v>218</v>
      </c>
      <c r="C23" s="2641"/>
      <c r="D23" s="76">
        <f>D22/D4</f>
        <v>0.14416932907348243</v>
      </c>
    </row>
    <row r="25" spans="1:5">
      <c r="B25" s="6" t="s">
        <v>325</v>
      </c>
      <c r="C25" s="77">
        <f>C12</f>
        <v>230000000</v>
      </c>
    </row>
    <row r="26" spans="1:5">
      <c r="B26" s="6" t="s">
        <v>12</v>
      </c>
      <c r="C26" s="78">
        <v>150000000</v>
      </c>
      <c r="D26" s="56">
        <f>C25-C26</f>
        <v>80000000</v>
      </c>
      <c r="E26" s="46">
        <f>D26/C25</f>
        <v>0.34782608695652173</v>
      </c>
    </row>
    <row r="27" spans="1:5">
      <c r="B27" s="6" t="s">
        <v>305</v>
      </c>
      <c r="C27" s="79">
        <v>0.105</v>
      </c>
    </row>
    <row r="28" spans="1:5">
      <c r="B28" s="6" t="s">
        <v>25</v>
      </c>
    </row>
  </sheetData>
  <mergeCells count="1">
    <mergeCell ref="B23:C23"/>
  </mergeCells>
  <pageMargins left="0.75" right="0.75" top="1" bottom="1" header="0.5" footer="0.5"/>
  <pageSetup paperSize="9" orientation="portrait" verticalDpi="0" r:id="rId1"/>
  <headerFooter alignWithMargins="0"/>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dimension ref="A1:G53"/>
  <sheetViews>
    <sheetView workbookViewId="0">
      <selection activeCell="J13" sqref="J13"/>
    </sheetView>
  </sheetViews>
  <sheetFormatPr defaultRowHeight="16.5"/>
  <cols>
    <col min="1" max="1" width="5" style="1762" customWidth="1"/>
    <col min="2" max="2" width="57" style="1763" customWidth="1"/>
    <col min="3" max="3" width="17.85546875" style="1763" bestFit="1" customWidth="1"/>
    <col min="4" max="4" width="10.5703125" style="1763" bestFit="1" customWidth="1"/>
    <col min="5" max="5" width="12.7109375" style="1763" bestFit="1" customWidth="1"/>
    <col min="6" max="6" width="16" style="1763" bestFit="1" customWidth="1"/>
    <col min="7" max="7" width="3.5703125" style="1762" customWidth="1"/>
    <col min="8" max="10" width="9.140625" style="1762"/>
    <col min="11" max="11" width="16.140625" style="1762" bestFit="1" customWidth="1"/>
    <col min="12" max="256" width="9.140625" style="1762"/>
    <col min="257" max="257" width="5" style="1762" customWidth="1"/>
    <col min="258" max="258" width="57" style="1762" customWidth="1"/>
    <col min="259" max="259" width="17.85546875" style="1762" bestFit="1" customWidth="1"/>
    <col min="260" max="260" width="10.5703125" style="1762" bestFit="1" customWidth="1"/>
    <col min="261" max="261" width="12.7109375" style="1762" bestFit="1" customWidth="1"/>
    <col min="262" max="262" width="16" style="1762" bestFit="1" customWidth="1"/>
    <col min="263" max="263" width="3.5703125" style="1762" customWidth="1"/>
    <col min="264" max="266" width="9.140625" style="1762"/>
    <col min="267" max="267" width="16.140625" style="1762" bestFit="1" customWidth="1"/>
    <col min="268" max="512" width="9.140625" style="1762"/>
    <col min="513" max="513" width="5" style="1762" customWidth="1"/>
    <col min="514" max="514" width="57" style="1762" customWidth="1"/>
    <col min="515" max="515" width="17.85546875" style="1762" bestFit="1" customWidth="1"/>
    <col min="516" max="516" width="10.5703125" style="1762" bestFit="1" customWidth="1"/>
    <col min="517" max="517" width="12.7109375" style="1762" bestFit="1" customWidth="1"/>
    <col min="518" max="518" width="16" style="1762" bestFit="1" customWidth="1"/>
    <col min="519" max="519" width="3.5703125" style="1762" customWidth="1"/>
    <col min="520" max="522" width="9.140625" style="1762"/>
    <col min="523" max="523" width="16.140625" style="1762" bestFit="1" customWidth="1"/>
    <col min="524" max="768" width="9.140625" style="1762"/>
    <col min="769" max="769" width="5" style="1762" customWidth="1"/>
    <col min="770" max="770" width="57" style="1762" customWidth="1"/>
    <col min="771" max="771" width="17.85546875" style="1762" bestFit="1" customWidth="1"/>
    <col min="772" max="772" width="10.5703125" style="1762" bestFit="1" customWidth="1"/>
    <col min="773" max="773" width="12.7109375" style="1762" bestFit="1" customWidth="1"/>
    <col min="774" max="774" width="16" style="1762" bestFit="1" customWidth="1"/>
    <col min="775" max="775" width="3.5703125" style="1762" customWidth="1"/>
    <col min="776" max="778" width="9.140625" style="1762"/>
    <col min="779" max="779" width="16.140625" style="1762" bestFit="1" customWidth="1"/>
    <col min="780" max="1024" width="9.140625" style="1762"/>
    <col min="1025" max="1025" width="5" style="1762" customWidth="1"/>
    <col min="1026" max="1026" width="57" style="1762" customWidth="1"/>
    <col min="1027" max="1027" width="17.85546875" style="1762" bestFit="1" customWidth="1"/>
    <col min="1028" max="1028" width="10.5703125" style="1762" bestFit="1" customWidth="1"/>
    <col min="1029" max="1029" width="12.7109375" style="1762" bestFit="1" customWidth="1"/>
    <col min="1030" max="1030" width="16" style="1762" bestFit="1" customWidth="1"/>
    <col min="1031" max="1031" width="3.5703125" style="1762" customWidth="1"/>
    <col min="1032" max="1034" width="9.140625" style="1762"/>
    <col min="1035" max="1035" width="16.140625" style="1762" bestFit="1" customWidth="1"/>
    <col min="1036" max="1280" width="9.140625" style="1762"/>
    <col min="1281" max="1281" width="5" style="1762" customWidth="1"/>
    <col min="1282" max="1282" width="57" style="1762" customWidth="1"/>
    <col min="1283" max="1283" width="17.85546875" style="1762" bestFit="1" customWidth="1"/>
    <col min="1284" max="1284" width="10.5703125" style="1762" bestFit="1" customWidth="1"/>
    <col min="1285" max="1285" width="12.7109375" style="1762" bestFit="1" customWidth="1"/>
    <col min="1286" max="1286" width="16" style="1762" bestFit="1" customWidth="1"/>
    <col min="1287" max="1287" width="3.5703125" style="1762" customWidth="1"/>
    <col min="1288" max="1290" width="9.140625" style="1762"/>
    <col min="1291" max="1291" width="16.140625" style="1762" bestFit="1" customWidth="1"/>
    <col min="1292" max="1536" width="9.140625" style="1762"/>
    <col min="1537" max="1537" width="5" style="1762" customWidth="1"/>
    <col min="1538" max="1538" width="57" style="1762" customWidth="1"/>
    <col min="1539" max="1539" width="17.85546875" style="1762" bestFit="1" customWidth="1"/>
    <col min="1540" max="1540" width="10.5703125" style="1762" bestFit="1" customWidth="1"/>
    <col min="1541" max="1541" width="12.7109375" style="1762" bestFit="1" customWidth="1"/>
    <col min="1542" max="1542" width="16" style="1762" bestFit="1" customWidth="1"/>
    <col min="1543" max="1543" width="3.5703125" style="1762" customWidth="1"/>
    <col min="1544" max="1546" width="9.140625" style="1762"/>
    <col min="1547" max="1547" width="16.140625" style="1762" bestFit="1" customWidth="1"/>
    <col min="1548" max="1792" width="9.140625" style="1762"/>
    <col min="1793" max="1793" width="5" style="1762" customWidth="1"/>
    <col min="1794" max="1794" width="57" style="1762" customWidth="1"/>
    <col min="1795" max="1795" width="17.85546875" style="1762" bestFit="1" customWidth="1"/>
    <col min="1796" max="1796" width="10.5703125" style="1762" bestFit="1" customWidth="1"/>
    <col min="1797" max="1797" width="12.7109375" style="1762" bestFit="1" customWidth="1"/>
    <col min="1798" max="1798" width="16" style="1762" bestFit="1" customWidth="1"/>
    <col min="1799" max="1799" width="3.5703125" style="1762" customWidth="1"/>
    <col min="1800" max="1802" width="9.140625" style="1762"/>
    <col min="1803" max="1803" width="16.140625" style="1762" bestFit="1" customWidth="1"/>
    <col min="1804" max="2048" width="9.140625" style="1762"/>
    <col min="2049" max="2049" width="5" style="1762" customWidth="1"/>
    <col min="2050" max="2050" width="57" style="1762" customWidth="1"/>
    <col min="2051" max="2051" width="17.85546875" style="1762" bestFit="1" customWidth="1"/>
    <col min="2052" max="2052" width="10.5703125" style="1762" bestFit="1" customWidth="1"/>
    <col min="2053" max="2053" width="12.7109375" style="1762" bestFit="1" customWidth="1"/>
    <col min="2054" max="2054" width="16" style="1762" bestFit="1" customWidth="1"/>
    <col min="2055" max="2055" width="3.5703125" style="1762" customWidth="1"/>
    <col min="2056" max="2058" width="9.140625" style="1762"/>
    <col min="2059" max="2059" width="16.140625" style="1762" bestFit="1" customWidth="1"/>
    <col min="2060" max="2304" width="9.140625" style="1762"/>
    <col min="2305" max="2305" width="5" style="1762" customWidth="1"/>
    <col min="2306" max="2306" width="57" style="1762" customWidth="1"/>
    <col min="2307" max="2307" width="17.85546875" style="1762" bestFit="1" customWidth="1"/>
    <col min="2308" max="2308" width="10.5703125" style="1762" bestFit="1" customWidth="1"/>
    <col min="2309" max="2309" width="12.7109375" style="1762" bestFit="1" customWidth="1"/>
    <col min="2310" max="2310" width="16" style="1762" bestFit="1" customWidth="1"/>
    <col min="2311" max="2311" width="3.5703125" style="1762" customWidth="1"/>
    <col min="2312" max="2314" width="9.140625" style="1762"/>
    <col min="2315" max="2315" width="16.140625" style="1762" bestFit="1" customWidth="1"/>
    <col min="2316" max="2560" width="9.140625" style="1762"/>
    <col min="2561" max="2561" width="5" style="1762" customWidth="1"/>
    <col min="2562" max="2562" width="57" style="1762" customWidth="1"/>
    <col min="2563" max="2563" width="17.85546875" style="1762" bestFit="1" customWidth="1"/>
    <col min="2564" max="2564" width="10.5703125" style="1762" bestFit="1" customWidth="1"/>
    <col min="2565" max="2565" width="12.7109375" style="1762" bestFit="1" customWidth="1"/>
    <col min="2566" max="2566" width="16" style="1762" bestFit="1" customWidth="1"/>
    <col min="2567" max="2567" width="3.5703125" style="1762" customWidth="1"/>
    <col min="2568" max="2570" width="9.140625" style="1762"/>
    <col min="2571" max="2571" width="16.140625" style="1762" bestFit="1" customWidth="1"/>
    <col min="2572" max="2816" width="9.140625" style="1762"/>
    <col min="2817" max="2817" width="5" style="1762" customWidth="1"/>
    <col min="2818" max="2818" width="57" style="1762" customWidth="1"/>
    <col min="2819" max="2819" width="17.85546875" style="1762" bestFit="1" customWidth="1"/>
    <col min="2820" max="2820" width="10.5703125" style="1762" bestFit="1" customWidth="1"/>
    <col min="2821" max="2821" width="12.7109375" style="1762" bestFit="1" customWidth="1"/>
    <col min="2822" max="2822" width="16" style="1762" bestFit="1" customWidth="1"/>
    <col min="2823" max="2823" width="3.5703125" style="1762" customWidth="1"/>
    <col min="2824" max="2826" width="9.140625" style="1762"/>
    <col min="2827" max="2827" width="16.140625" style="1762" bestFit="1" customWidth="1"/>
    <col min="2828" max="3072" width="9.140625" style="1762"/>
    <col min="3073" max="3073" width="5" style="1762" customWidth="1"/>
    <col min="3074" max="3074" width="57" style="1762" customWidth="1"/>
    <col min="3075" max="3075" width="17.85546875" style="1762" bestFit="1" customWidth="1"/>
    <col min="3076" max="3076" width="10.5703125" style="1762" bestFit="1" customWidth="1"/>
    <col min="3077" max="3077" width="12.7109375" style="1762" bestFit="1" customWidth="1"/>
    <col min="3078" max="3078" width="16" style="1762" bestFit="1" customWidth="1"/>
    <col min="3079" max="3079" width="3.5703125" style="1762" customWidth="1"/>
    <col min="3080" max="3082" width="9.140625" style="1762"/>
    <col min="3083" max="3083" width="16.140625" style="1762" bestFit="1" customWidth="1"/>
    <col min="3084" max="3328" width="9.140625" style="1762"/>
    <col min="3329" max="3329" width="5" style="1762" customWidth="1"/>
    <col min="3330" max="3330" width="57" style="1762" customWidth="1"/>
    <col min="3331" max="3331" width="17.85546875" style="1762" bestFit="1" customWidth="1"/>
    <col min="3332" max="3332" width="10.5703125" style="1762" bestFit="1" customWidth="1"/>
    <col min="3333" max="3333" width="12.7109375" style="1762" bestFit="1" customWidth="1"/>
    <col min="3334" max="3334" width="16" style="1762" bestFit="1" customWidth="1"/>
    <col min="3335" max="3335" width="3.5703125" style="1762" customWidth="1"/>
    <col min="3336" max="3338" width="9.140625" style="1762"/>
    <col min="3339" max="3339" width="16.140625" style="1762" bestFit="1" customWidth="1"/>
    <col min="3340" max="3584" width="9.140625" style="1762"/>
    <col min="3585" max="3585" width="5" style="1762" customWidth="1"/>
    <col min="3586" max="3586" width="57" style="1762" customWidth="1"/>
    <col min="3587" max="3587" width="17.85546875" style="1762" bestFit="1" customWidth="1"/>
    <col min="3588" max="3588" width="10.5703125" style="1762" bestFit="1" customWidth="1"/>
    <col min="3589" max="3589" width="12.7109375" style="1762" bestFit="1" customWidth="1"/>
    <col min="3590" max="3590" width="16" style="1762" bestFit="1" customWidth="1"/>
    <col min="3591" max="3591" width="3.5703125" style="1762" customWidth="1"/>
    <col min="3592" max="3594" width="9.140625" style="1762"/>
    <col min="3595" max="3595" width="16.140625" style="1762" bestFit="1" customWidth="1"/>
    <col min="3596" max="3840" width="9.140625" style="1762"/>
    <col min="3841" max="3841" width="5" style="1762" customWidth="1"/>
    <col min="3842" max="3842" width="57" style="1762" customWidth="1"/>
    <col min="3843" max="3843" width="17.85546875" style="1762" bestFit="1" customWidth="1"/>
    <col min="3844" max="3844" width="10.5703125" style="1762" bestFit="1" customWidth="1"/>
    <col min="3845" max="3845" width="12.7109375" style="1762" bestFit="1" customWidth="1"/>
    <col min="3846" max="3846" width="16" style="1762" bestFit="1" customWidth="1"/>
    <col min="3847" max="3847" width="3.5703125" style="1762" customWidth="1"/>
    <col min="3848" max="3850" width="9.140625" style="1762"/>
    <col min="3851" max="3851" width="16.140625" style="1762" bestFit="1" customWidth="1"/>
    <col min="3852" max="4096" width="9.140625" style="1762"/>
    <col min="4097" max="4097" width="5" style="1762" customWidth="1"/>
    <col min="4098" max="4098" width="57" style="1762" customWidth="1"/>
    <col min="4099" max="4099" width="17.85546875" style="1762" bestFit="1" customWidth="1"/>
    <col min="4100" max="4100" width="10.5703125" style="1762" bestFit="1" customWidth="1"/>
    <col min="4101" max="4101" width="12.7109375" style="1762" bestFit="1" customWidth="1"/>
    <col min="4102" max="4102" width="16" style="1762" bestFit="1" customWidth="1"/>
    <col min="4103" max="4103" width="3.5703125" style="1762" customWidth="1"/>
    <col min="4104" max="4106" width="9.140625" style="1762"/>
    <col min="4107" max="4107" width="16.140625" style="1762" bestFit="1" customWidth="1"/>
    <col min="4108" max="4352" width="9.140625" style="1762"/>
    <col min="4353" max="4353" width="5" style="1762" customWidth="1"/>
    <col min="4354" max="4354" width="57" style="1762" customWidth="1"/>
    <col min="4355" max="4355" width="17.85546875" style="1762" bestFit="1" customWidth="1"/>
    <col min="4356" max="4356" width="10.5703125" style="1762" bestFit="1" customWidth="1"/>
    <col min="4357" max="4357" width="12.7109375" style="1762" bestFit="1" customWidth="1"/>
    <col min="4358" max="4358" width="16" style="1762" bestFit="1" customWidth="1"/>
    <col min="4359" max="4359" width="3.5703125" style="1762" customWidth="1"/>
    <col min="4360" max="4362" width="9.140625" style="1762"/>
    <col min="4363" max="4363" width="16.140625" style="1762" bestFit="1" customWidth="1"/>
    <col min="4364" max="4608" width="9.140625" style="1762"/>
    <col min="4609" max="4609" width="5" style="1762" customWidth="1"/>
    <col min="4610" max="4610" width="57" style="1762" customWidth="1"/>
    <col min="4611" max="4611" width="17.85546875" style="1762" bestFit="1" customWidth="1"/>
    <col min="4612" max="4612" width="10.5703125" style="1762" bestFit="1" customWidth="1"/>
    <col min="4613" max="4613" width="12.7109375" style="1762" bestFit="1" customWidth="1"/>
    <col min="4614" max="4614" width="16" style="1762" bestFit="1" customWidth="1"/>
    <col min="4615" max="4615" width="3.5703125" style="1762" customWidth="1"/>
    <col min="4616" max="4618" width="9.140625" style="1762"/>
    <col min="4619" max="4619" width="16.140625" style="1762" bestFit="1" customWidth="1"/>
    <col min="4620" max="4864" width="9.140625" style="1762"/>
    <col min="4865" max="4865" width="5" style="1762" customWidth="1"/>
    <col min="4866" max="4866" width="57" style="1762" customWidth="1"/>
    <col min="4867" max="4867" width="17.85546875" style="1762" bestFit="1" customWidth="1"/>
    <col min="4868" max="4868" width="10.5703125" style="1762" bestFit="1" customWidth="1"/>
    <col min="4869" max="4869" width="12.7109375" style="1762" bestFit="1" customWidth="1"/>
    <col min="4870" max="4870" width="16" style="1762" bestFit="1" customWidth="1"/>
    <col min="4871" max="4871" width="3.5703125" style="1762" customWidth="1"/>
    <col min="4872" max="4874" width="9.140625" style="1762"/>
    <col min="4875" max="4875" width="16.140625" style="1762" bestFit="1" customWidth="1"/>
    <col min="4876" max="5120" width="9.140625" style="1762"/>
    <col min="5121" max="5121" width="5" style="1762" customWidth="1"/>
    <col min="5122" max="5122" width="57" style="1762" customWidth="1"/>
    <col min="5123" max="5123" width="17.85546875" style="1762" bestFit="1" customWidth="1"/>
    <col min="5124" max="5124" width="10.5703125" style="1762" bestFit="1" customWidth="1"/>
    <col min="5125" max="5125" width="12.7109375" style="1762" bestFit="1" customWidth="1"/>
    <col min="5126" max="5126" width="16" style="1762" bestFit="1" customWidth="1"/>
    <col min="5127" max="5127" width="3.5703125" style="1762" customWidth="1"/>
    <col min="5128" max="5130" width="9.140625" style="1762"/>
    <col min="5131" max="5131" width="16.140625" style="1762" bestFit="1" customWidth="1"/>
    <col min="5132" max="5376" width="9.140625" style="1762"/>
    <col min="5377" max="5377" width="5" style="1762" customWidth="1"/>
    <col min="5378" max="5378" width="57" style="1762" customWidth="1"/>
    <col min="5379" max="5379" width="17.85546875" style="1762" bestFit="1" customWidth="1"/>
    <col min="5380" max="5380" width="10.5703125" style="1762" bestFit="1" customWidth="1"/>
    <col min="5381" max="5381" width="12.7109375" style="1762" bestFit="1" customWidth="1"/>
    <col min="5382" max="5382" width="16" style="1762" bestFit="1" customWidth="1"/>
    <col min="5383" max="5383" width="3.5703125" style="1762" customWidth="1"/>
    <col min="5384" max="5386" width="9.140625" style="1762"/>
    <col min="5387" max="5387" width="16.140625" style="1762" bestFit="1" customWidth="1"/>
    <col min="5388" max="5632" width="9.140625" style="1762"/>
    <col min="5633" max="5633" width="5" style="1762" customWidth="1"/>
    <col min="5634" max="5634" width="57" style="1762" customWidth="1"/>
    <col min="5635" max="5635" width="17.85546875" style="1762" bestFit="1" customWidth="1"/>
    <col min="5636" max="5636" width="10.5703125" style="1762" bestFit="1" customWidth="1"/>
    <col min="5637" max="5637" width="12.7109375" style="1762" bestFit="1" customWidth="1"/>
    <col min="5638" max="5638" width="16" style="1762" bestFit="1" customWidth="1"/>
    <col min="5639" max="5639" width="3.5703125" style="1762" customWidth="1"/>
    <col min="5640" max="5642" width="9.140625" style="1762"/>
    <col min="5643" max="5643" width="16.140625" style="1762" bestFit="1" customWidth="1"/>
    <col min="5644" max="5888" width="9.140625" style="1762"/>
    <col min="5889" max="5889" width="5" style="1762" customWidth="1"/>
    <col min="5890" max="5890" width="57" style="1762" customWidth="1"/>
    <col min="5891" max="5891" width="17.85546875" style="1762" bestFit="1" customWidth="1"/>
    <col min="5892" max="5892" width="10.5703125" style="1762" bestFit="1" customWidth="1"/>
    <col min="5893" max="5893" width="12.7109375" style="1762" bestFit="1" customWidth="1"/>
    <col min="5894" max="5894" width="16" style="1762" bestFit="1" customWidth="1"/>
    <col min="5895" max="5895" width="3.5703125" style="1762" customWidth="1"/>
    <col min="5896" max="5898" width="9.140625" style="1762"/>
    <col min="5899" max="5899" width="16.140625" style="1762" bestFit="1" customWidth="1"/>
    <col min="5900" max="6144" width="9.140625" style="1762"/>
    <col min="6145" max="6145" width="5" style="1762" customWidth="1"/>
    <col min="6146" max="6146" width="57" style="1762" customWidth="1"/>
    <col min="6147" max="6147" width="17.85546875" style="1762" bestFit="1" customWidth="1"/>
    <col min="6148" max="6148" width="10.5703125" style="1762" bestFit="1" customWidth="1"/>
    <col min="6149" max="6149" width="12.7109375" style="1762" bestFit="1" customWidth="1"/>
    <col min="6150" max="6150" width="16" style="1762" bestFit="1" customWidth="1"/>
    <col min="6151" max="6151" width="3.5703125" style="1762" customWidth="1"/>
    <col min="6152" max="6154" width="9.140625" style="1762"/>
    <col min="6155" max="6155" width="16.140625" style="1762" bestFit="1" customWidth="1"/>
    <col min="6156" max="6400" width="9.140625" style="1762"/>
    <col min="6401" max="6401" width="5" style="1762" customWidth="1"/>
    <col min="6402" max="6402" width="57" style="1762" customWidth="1"/>
    <col min="6403" max="6403" width="17.85546875" style="1762" bestFit="1" customWidth="1"/>
    <col min="6404" max="6404" width="10.5703125" style="1762" bestFit="1" customWidth="1"/>
    <col min="6405" max="6405" width="12.7109375" style="1762" bestFit="1" customWidth="1"/>
    <col min="6406" max="6406" width="16" style="1762" bestFit="1" customWidth="1"/>
    <col min="6407" max="6407" width="3.5703125" style="1762" customWidth="1"/>
    <col min="6408" max="6410" width="9.140625" style="1762"/>
    <col min="6411" max="6411" width="16.140625" style="1762" bestFit="1" customWidth="1"/>
    <col min="6412" max="6656" width="9.140625" style="1762"/>
    <col min="6657" max="6657" width="5" style="1762" customWidth="1"/>
    <col min="6658" max="6658" width="57" style="1762" customWidth="1"/>
    <col min="6659" max="6659" width="17.85546875" style="1762" bestFit="1" customWidth="1"/>
    <col min="6660" max="6660" width="10.5703125" style="1762" bestFit="1" customWidth="1"/>
    <col min="6661" max="6661" width="12.7109375" style="1762" bestFit="1" customWidth="1"/>
    <col min="6662" max="6662" width="16" style="1762" bestFit="1" customWidth="1"/>
    <col min="6663" max="6663" width="3.5703125" style="1762" customWidth="1"/>
    <col min="6664" max="6666" width="9.140625" style="1762"/>
    <col min="6667" max="6667" width="16.140625" style="1762" bestFit="1" customWidth="1"/>
    <col min="6668" max="6912" width="9.140625" style="1762"/>
    <col min="6913" max="6913" width="5" style="1762" customWidth="1"/>
    <col min="6914" max="6914" width="57" style="1762" customWidth="1"/>
    <col min="6915" max="6915" width="17.85546875" style="1762" bestFit="1" customWidth="1"/>
    <col min="6916" max="6916" width="10.5703125" style="1762" bestFit="1" customWidth="1"/>
    <col min="6917" max="6917" width="12.7109375" style="1762" bestFit="1" customWidth="1"/>
    <col min="6918" max="6918" width="16" style="1762" bestFit="1" customWidth="1"/>
    <col min="6919" max="6919" width="3.5703125" style="1762" customWidth="1"/>
    <col min="6920" max="6922" width="9.140625" style="1762"/>
    <col min="6923" max="6923" width="16.140625" style="1762" bestFit="1" customWidth="1"/>
    <col min="6924" max="7168" width="9.140625" style="1762"/>
    <col min="7169" max="7169" width="5" style="1762" customWidth="1"/>
    <col min="7170" max="7170" width="57" style="1762" customWidth="1"/>
    <col min="7171" max="7171" width="17.85546875" style="1762" bestFit="1" customWidth="1"/>
    <col min="7172" max="7172" width="10.5703125" style="1762" bestFit="1" customWidth="1"/>
    <col min="7173" max="7173" width="12.7109375" style="1762" bestFit="1" customWidth="1"/>
    <col min="7174" max="7174" width="16" style="1762" bestFit="1" customWidth="1"/>
    <col min="7175" max="7175" width="3.5703125" style="1762" customWidth="1"/>
    <col min="7176" max="7178" width="9.140625" style="1762"/>
    <col min="7179" max="7179" width="16.140625" style="1762" bestFit="1" customWidth="1"/>
    <col min="7180" max="7424" width="9.140625" style="1762"/>
    <col min="7425" max="7425" width="5" style="1762" customWidth="1"/>
    <col min="7426" max="7426" width="57" style="1762" customWidth="1"/>
    <col min="7427" max="7427" width="17.85546875" style="1762" bestFit="1" customWidth="1"/>
    <col min="7428" max="7428" width="10.5703125" style="1762" bestFit="1" customWidth="1"/>
    <col min="7429" max="7429" width="12.7109375" style="1762" bestFit="1" customWidth="1"/>
    <col min="7430" max="7430" width="16" style="1762" bestFit="1" customWidth="1"/>
    <col min="7431" max="7431" width="3.5703125" style="1762" customWidth="1"/>
    <col min="7432" max="7434" width="9.140625" style="1762"/>
    <col min="7435" max="7435" width="16.140625" style="1762" bestFit="1" customWidth="1"/>
    <col min="7436" max="7680" width="9.140625" style="1762"/>
    <col min="7681" max="7681" width="5" style="1762" customWidth="1"/>
    <col min="7682" max="7682" width="57" style="1762" customWidth="1"/>
    <col min="7683" max="7683" width="17.85546875" style="1762" bestFit="1" customWidth="1"/>
    <col min="7684" max="7684" width="10.5703125" style="1762" bestFit="1" customWidth="1"/>
    <col min="7685" max="7685" width="12.7109375" style="1762" bestFit="1" customWidth="1"/>
    <col min="7686" max="7686" width="16" style="1762" bestFit="1" customWidth="1"/>
    <col min="7687" max="7687" width="3.5703125" style="1762" customWidth="1"/>
    <col min="7688" max="7690" width="9.140625" style="1762"/>
    <col min="7691" max="7691" width="16.140625" style="1762" bestFit="1" customWidth="1"/>
    <col min="7692" max="7936" width="9.140625" style="1762"/>
    <col min="7937" max="7937" width="5" style="1762" customWidth="1"/>
    <col min="7938" max="7938" width="57" style="1762" customWidth="1"/>
    <col min="7939" max="7939" width="17.85546875" style="1762" bestFit="1" customWidth="1"/>
    <col min="7940" max="7940" width="10.5703125" style="1762" bestFit="1" customWidth="1"/>
    <col min="7941" max="7941" width="12.7109375" style="1762" bestFit="1" customWidth="1"/>
    <col min="7942" max="7942" width="16" style="1762" bestFit="1" customWidth="1"/>
    <col min="7943" max="7943" width="3.5703125" style="1762" customWidth="1"/>
    <col min="7944" max="7946" width="9.140625" style="1762"/>
    <col min="7947" max="7947" width="16.140625" style="1762" bestFit="1" customWidth="1"/>
    <col min="7948" max="8192" width="9.140625" style="1762"/>
    <col min="8193" max="8193" width="5" style="1762" customWidth="1"/>
    <col min="8194" max="8194" width="57" style="1762" customWidth="1"/>
    <col min="8195" max="8195" width="17.85546875" style="1762" bestFit="1" customWidth="1"/>
    <col min="8196" max="8196" width="10.5703125" style="1762" bestFit="1" customWidth="1"/>
    <col min="8197" max="8197" width="12.7109375" style="1762" bestFit="1" customWidth="1"/>
    <col min="8198" max="8198" width="16" style="1762" bestFit="1" customWidth="1"/>
    <col min="8199" max="8199" width="3.5703125" style="1762" customWidth="1"/>
    <col min="8200" max="8202" width="9.140625" style="1762"/>
    <col min="8203" max="8203" width="16.140625" style="1762" bestFit="1" customWidth="1"/>
    <col min="8204" max="8448" width="9.140625" style="1762"/>
    <col min="8449" max="8449" width="5" style="1762" customWidth="1"/>
    <col min="8450" max="8450" width="57" style="1762" customWidth="1"/>
    <col min="8451" max="8451" width="17.85546875" style="1762" bestFit="1" customWidth="1"/>
    <col min="8452" max="8452" width="10.5703125" style="1762" bestFit="1" customWidth="1"/>
    <col min="8453" max="8453" width="12.7109375" style="1762" bestFit="1" customWidth="1"/>
    <col min="8454" max="8454" width="16" style="1762" bestFit="1" customWidth="1"/>
    <col min="8455" max="8455" width="3.5703125" style="1762" customWidth="1"/>
    <col min="8456" max="8458" width="9.140625" style="1762"/>
    <col min="8459" max="8459" width="16.140625" style="1762" bestFit="1" customWidth="1"/>
    <col min="8460" max="8704" width="9.140625" style="1762"/>
    <col min="8705" max="8705" width="5" style="1762" customWidth="1"/>
    <col min="8706" max="8706" width="57" style="1762" customWidth="1"/>
    <col min="8707" max="8707" width="17.85546875" style="1762" bestFit="1" customWidth="1"/>
    <col min="8708" max="8708" width="10.5703125" style="1762" bestFit="1" customWidth="1"/>
    <col min="8709" max="8709" width="12.7109375" style="1762" bestFit="1" customWidth="1"/>
    <col min="8710" max="8710" width="16" style="1762" bestFit="1" customWidth="1"/>
    <col min="8711" max="8711" width="3.5703125" style="1762" customWidth="1"/>
    <col min="8712" max="8714" width="9.140625" style="1762"/>
    <col min="8715" max="8715" width="16.140625" style="1762" bestFit="1" customWidth="1"/>
    <col min="8716" max="8960" width="9.140625" style="1762"/>
    <col min="8961" max="8961" width="5" style="1762" customWidth="1"/>
    <col min="8962" max="8962" width="57" style="1762" customWidth="1"/>
    <col min="8963" max="8963" width="17.85546875" style="1762" bestFit="1" customWidth="1"/>
    <col min="8964" max="8964" width="10.5703125" style="1762" bestFit="1" customWidth="1"/>
    <col min="8965" max="8965" width="12.7109375" style="1762" bestFit="1" customWidth="1"/>
    <col min="8966" max="8966" width="16" style="1762" bestFit="1" customWidth="1"/>
    <col min="8967" max="8967" width="3.5703125" style="1762" customWidth="1"/>
    <col min="8968" max="8970" width="9.140625" style="1762"/>
    <col min="8971" max="8971" width="16.140625" style="1762" bestFit="1" customWidth="1"/>
    <col min="8972" max="9216" width="9.140625" style="1762"/>
    <col min="9217" max="9217" width="5" style="1762" customWidth="1"/>
    <col min="9218" max="9218" width="57" style="1762" customWidth="1"/>
    <col min="9219" max="9219" width="17.85546875" style="1762" bestFit="1" customWidth="1"/>
    <col min="9220" max="9220" width="10.5703125" style="1762" bestFit="1" customWidth="1"/>
    <col min="9221" max="9221" width="12.7109375" style="1762" bestFit="1" customWidth="1"/>
    <col min="9222" max="9222" width="16" style="1762" bestFit="1" customWidth="1"/>
    <col min="9223" max="9223" width="3.5703125" style="1762" customWidth="1"/>
    <col min="9224" max="9226" width="9.140625" style="1762"/>
    <col min="9227" max="9227" width="16.140625" style="1762" bestFit="1" customWidth="1"/>
    <col min="9228" max="9472" width="9.140625" style="1762"/>
    <col min="9473" max="9473" width="5" style="1762" customWidth="1"/>
    <col min="9474" max="9474" width="57" style="1762" customWidth="1"/>
    <col min="9475" max="9475" width="17.85546875" style="1762" bestFit="1" customWidth="1"/>
    <col min="9476" max="9476" width="10.5703125" style="1762" bestFit="1" customWidth="1"/>
    <col min="9477" max="9477" width="12.7109375" style="1762" bestFit="1" customWidth="1"/>
    <col min="9478" max="9478" width="16" style="1762" bestFit="1" customWidth="1"/>
    <col min="9479" max="9479" width="3.5703125" style="1762" customWidth="1"/>
    <col min="9480" max="9482" width="9.140625" style="1762"/>
    <col min="9483" max="9483" width="16.140625" style="1762" bestFit="1" customWidth="1"/>
    <col min="9484" max="9728" width="9.140625" style="1762"/>
    <col min="9729" max="9729" width="5" style="1762" customWidth="1"/>
    <col min="9730" max="9730" width="57" style="1762" customWidth="1"/>
    <col min="9731" max="9731" width="17.85546875" style="1762" bestFit="1" customWidth="1"/>
    <col min="9732" max="9732" width="10.5703125" style="1762" bestFit="1" customWidth="1"/>
    <col min="9733" max="9733" width="12.7109375" style="1762" bestFit="1" customWidth="1"/>
    <col min="9734" max="9734" width="16" style="1762" bestFit="1" customWidth="1"/>
    <col min="9735" max="9735" width="3.5703125" style="1762" customWidth="1"/>
    <col min="9736" max="9738" width="9.140625" style="1762"/>
    <col min="9739" max="9739" width="16.140625" style="1762" bestFit="1" customWidth="1"/>
    <col min="9740" max="9984" width="9.140625" style="1762"/>
    <col min="9985" max="9985" width="5" style="1762" customWidth="1"/>
    <col min="9986" max="9986" width="57" style="1762" customWidth="1"/>
    <col min="9987" max="9987" width="17.85546875" style="1762" bestFit="1" customWidth="1"/>
    <col min="9988" max="9988" width="10.5703125" style="1762" bestFit="1" customWidth="1"/>
    <col min="9989" max="9989" width="12.7109375" style="1762" bestFit="1" customWidth="1"/>
    <col min="9990" max="9990" width="16" style="1762" bestFit="1" customWidth="1"/>
    <col min="9991" max="9991" width="3.5703125" style="1762" customWidth="1"/>
    <col min="9992" max="9994" width="9.140625" style="1762"/>
    <col min="9995" max="9995" width="16.140625" style="1762" bestFit="1" customWidth="1"/>
    <col min="9996" max="10240" width="9.140625" style="1762"/>
    <col min="10241" max="10241" width="5" style="1762" customWidth="1"/>
    <col min="10242" max="10242" width="57" style="1762" customWidth="1"/>
    <col min="10243" max="10243" width="17.85546875" style="1762" bestFit="1" customWidth="1"/>
    <col min="10244" max="10244" width="10.5703125" style="1762" bestFit="1" customWidth="1"/>
    <col min="10245" max="10245" width="12.7109375" style="1762" bestFit="1" customWidth="1"/>
    <col min="10246" max="10246" width="16" style="1762" bestFit="1" customWidth="1"/>
    <col min="10247" max="10247" width="3.5703125" style="1762" customWidth="1"/>
    <col min="10248" max="10250" width="9.140625" style="1762"/>
    <col min="10251" max="10251" width="16.140625" style="1762" bestFit="1" customWidth="1"/>
    <col min="10252" max="10496" width="9.140625" style="1762"/>
    <col min="10497" max="10497" width="5" style="1762" customWidth="1"/>
    <col min="10498" max="10498" width="57" style="1762" customWidth="1"/>
    <col min="10499" max="10499" width="17.85546875" style="1762" bestFit="1" customWidth="1"/>
    <col min="10500" max="10500" width="10.5703125" style="1762" bestFit="1" customWidth="1"/>
    <col min="10501" max="10501" width="12.7109375" style="1762" bestFit="1" customWidth="1"/>
    <col min="10502" max="10502" width="16" style="1762" bestFit="1" customWidth="1"/>
    <col min="10503" max="10503" width="3.5703125" style="1762" customWidth="1"/>
    <col min="10504" max="10506" width="9.140625" style="1762"/>
    <col min="10507" max="10507" width="16.140625" style="1762" bestFit="1" customWidth="1"/>
    <col min="10508" max="10752" width="9.140625" style="1762"/>
    <col min="10753" max="10753" width="5" style="1762" customWidth="1"/>
    <col min="10754" max="10754" width="57" style="1762" customWidth="1"/>
    <col min="10755" max="10755" width="17.85546875" style="1762" bestFit="1" customWidth="1"/>
    <col min="10756" max="10756" width="10.5703125" style="1762" bestFit="1" customWidth="1"/>
    <col min="10757" max="10757" width="12.7109375" style="1762" bestFit="1" customWidth="1"/>
    <col min="10758" max="10758" width="16" style="1762" bestFit="1" customWidth="1"/>
    <col min="10759" max="10759" width="3.5703125" style="1762" customWidth="1"/>
    <col min="10760" max="10762" width="9.140625" style="1762"/>
    <col min="10763" max="10763" width="16.140625" style="1762" bestFit="1" customWidth="1"/>
    <col min="10764" max="11008" width="9.140625" style="1762"/>
    <col min="11009" max="11009" width="5" style="1762" customWidth="1"/>
    <col min="11010" max="11010" width="57" style="1762" customWidth="1"/>
    <col min="11011" max="11011" width="17.85546875" style="1762" bestFit="1" customWidth="1"/>
    <col min="11012" max="11012" width="10.5703125" style="1762" bestFit="1" customWidth="1"/>
    <col min="11013" max="11013" width="12.7109375" style="1762" bestFit="1" customWidth="1"/>
    <col min="11014" max="11014" width="16" style="1762" bestFit="1" customWidth="1"/>
    <col min="11015" max="11015" width="3.5703125" style="1762" customWidth="1"/>
    <col min="11016" max="11018" width="9.140625" style="1762"/>
    <col min="11019" max="11019" width="16.140625" style="1762" bestFit="1" customWidth="1"/>
    <col min="11020" max="11264" width="9.140625" style="1762"/>
    <col min="11265" max="11265" width="5" style="1762" customWidth="1"/>
    <col min="11266" max="11266" width="57" style="1762" customWidth="1"/>
    <col min="11267" max="11267" width="17.85546875" style="1762" bestFit="1" customWidth="1"/>
    <col min="11268" max="11268" width="10.5703125" style="1762" bestFit="1" customWidth="1"/>
    <col min="11269" max="11269" width="12.7109375" style="1762" bestFit="1" customWidth="1"/>
    <col min="11270" max="11270" width="16" style="1762" bestFit="1" customWidth="1"/>
    <col min="11271" max="11271" width="3.5703125" style="1762" customWidth="1"/>
    <col min="11272" max="11274" width="9.140625" style="1762"/>
    <col min="11275" max="11275" width="16.140625" style="1762" bestFit="1" customWidth="1"/>
    <col min="11276" max="11520" width="9.140625" style="1762"/>
    <col min="11521" max="11521" width="5" style="1762" customWidth="1"/>
    <col min="11522" max="11522" width="57" style="1762" customWidth="1"/>
    <col min="11523" max="11523" width="17.85546875" style="1762" bestFit="1" customWidth="1"/>
    <col min="11524" max="11524" width="10.5703125" style="1762" bestFit="1" customWidth="1"/>
    <col min="11525" max="11525" width="12.7109375" style="1762" bestFit="1" customWidth="1"/>
    <col min="11526" max="11526" width="16" style="1762" bestFit="1" customWidth="1"/>
    <col min="11527" max="11527" width="3.5703125" style="1762" customWidth="1"/>
    <col min="11528" max="11530" width="9.140625" style="1762"/>
    <col min="11531" max="11531" width="16.140625" style="1762" bestFit="1" customWidth="1"/>
    <col min="11532" max="11776" width="9.140625" style="1762"/>
    <col min="11777" max="11777" width="5" style="1762" customWidth="1"/>
    <col min="11778" max="11778" width="57" style="1762" customWidth="1"/>
    <col min="11779" max="11779" width="17.85546875" style="1762" bestFit="1" customWidth="1"/>
    <col min="11780" max="11780" width="10.5703125" style="1762" bestFit="1" customWidth="1"/>
    <col min="11781" max="11781" width="12.7109375" style="1762" bestFit="1" customWidth="1"/>
    <col min="11782" max="11782" width="16" style="1762" bestFit="1" customWidth="1"/>
    <col min="11783" max="11783" width="3.5703125" style="1762" customWidth="1"/>
    <col min="11784" max="11786" width="9.140625" style="1762"/>
    <col min="11787" max="11787" width="16.140625" style="1762" bestFit="1" customWidth="1"/>
    <col min="11788" max="12032" width="9.140625" style="1762"/>
    <col min="12033" max="12033" width="5" style="1762" customWidth="1"/>
    <col min="12034" max="12034" width="57" style="1762" customWidth="1"/>
    <col min="12035" max="12035" width="17.85546875" style="1762" bestFit="1" customWidth="1"/>
    <col min="12036" max="12036" width="10.5703125" style="1762" bestFit="1" customWidth="1"/>
    <col min="12037" max="12037" width="12.7109375" style="1762" bestFit="1" customWidth="1"/>
    <col min="12038" max="12038" width="16" style="1762" bestFit="1" customWidth="1"/>
    <col min="12039" max="12039" width="3.5703125" style="1762" customWidth="1"/>
    <col min="12040" max="12042" width="9.140625" style="1762"/>
    <col min="12043" max="12043" width="16.140625" style="1762" bestFit="1" customWidth="1"/>
    <col min="12044" max="12288" width="9.140625" style="1762"/>
    <col min="12289" max="12289" width="5" style="1762" customWidth="1"/>
    <col min="12290" max="12290" width="57" style="1762" customWidth="1"/>
    <col min="12291" max="12291" width="17.85546875" style="1762" bestFit="1" customWidth="1"/>
    <col min="12292" max="12292" width="10.5703125" style="1762" bestFit="1" customWidth="1"/>
    <col min="12293" max="12293" width="12.7109375" style="1762" bestFit="1" customWidth="1"/>
    <col min="12294" max="12294" width="16" style="1762" bestFit="1" customWidth="1"/>
    <col min="12295" max="12295" width="3.5703125" style="1762" customWidth="1"/>
    <col min="12296" max="12298" width="9.140625" style="1762"/>
    <col min="12299" max="12299" width="16.140625" style="1762" bestFit="1" customWidth="1"/>
    <col min="12300" max="12544" width="9.140625" style="1762"/>
    <col min="12545" max="12545" width="5" style="1762" customWidth="1"/>
    <col min="12546" max="12546" width="57" style="1762" customWidth="1"/>
    <col min="12547" max="12547" width="17.85546875" style="1762" bestFit="1" customWidth="1"/>
    <col min="12548" max="12548" width="10.5703125" style="1762" bestFit="1" customWidth="1"/>
    <col min="12549" max="12549" width="12.7109375" style="1762" bestFit="1" customWidth="1"/>
    <col min="12550" max="12550" width="16" style="1762" bestFit="1" customWidth="1"/>
    <col min="12551" max="12551" width="3.5703125" style="1762" customWidth="1"/>
    <col min="12552" max="12554" width="9.140625" style="1762"/>
    <col min="12555" max="12555" width="16.140625" style="1762" bestFit="1" customWidth="1"/>
    <col min="12556" max="12800" width="9.140625" style="1762"/>
    <col min="12801" max="12801" width="5" style="1762" customWidth="1"/>
    <col min="12802" max="12802" width="57" style="1762" customWidth="1"/>
    <col min="12803" max="12803" width="17.85546875" style="1762" bestFit="1" customWidth="1"/>
    <col min="12804" max="12804" width="10.5703125" style="1762" bestFit="1" customWidth="1"/>
    <col min="12805" max="12805" width="12.7109375" style="1762" bestFit="1" customWidth="1"/>
    <col min="12806" max="12806" width="16" style="1762" bestFit="1" customWidth="1"/>
    <col min="12807" max="12807" width="3.5703125" style="1762" customWidth="1"/>
    <col min="12808" max="12810" width="9.140625" style="1762"/>
    <col min="12811" max="12811" width="16.140625" style="1762" bestFit="1" customWidth="1"/>
    <col min="12812" max="13056" width="9.140625" style="1762"/>
    <col min="13057" max="13057" width="5" style="1762" customWidth="1"/>
    <col min="13058" max="13058" width="57" style="1762" customWidth="1"/>
    <col min="13059" max="13059" width="17.85546875" style="1762" bestFit="1" customWidth="1"/>
    <col min="13060" max="13060" width="10.5703125" style="1762" bestFit="1" customWidth="1"/>
    <col min="13061" max="13061" width="12.7109375" style="1762" bestFit="1" customWidth="1"/>
    <col min="13062" max="13062" width="16" style="1762" bestFit="1" customWidth="1"/>
    <col min="13063" max="13063" width="3.5703125" style="1762" customWidth="1"/>
    <col min="13064" max="13066" width="9.140625" style="1762"/>
    <col min="13067" max="13067" width="16.140625" style="1762" bestFit="1" customWidth="1"/>
    <col min="13068" max="13312" width="9.140625" style="1762"/>
    <col min="13313" max="13313" width="5" style="1762" customWidth="1"/>
    <col min="13314" max="13314" width="57" style="1762" customWidth="1"/>
    <col min="13315" max="13315" width="17.85546875" style="1762" bestFit="1" customWidth="1"/>
    <col min="13316" max="13316" width="10.5703125" style="1762" bestFit="1" customWidth="1"/>
    <col min="13317" max="13317" width="12.7109375" style="1762" bestFit="1" customWidth="1"/>
    <col min="13318" max="13318" width="16" style="1762" bestFit="1" customWidth="1"/>
    <col min="13319" max="13319" width="3.5703125" style="1762" customWidth="1"/>
    <col min="13320" max="13322" width="9.140625" style="1762"/>
    <col min="13323" max="13323" width="16.140625" style="1762" bestFit="1" customWidth="1"/>
    <col min="13324" max="13568" width="9.140625" style="1762"/>
    <col min="13569" max="13569" width="5" style="1762" customWidth="1"/>
    <col min="13570" max="13570" width="57" style="1762" customWidth="1"/>
    <col min="13571" max="13571" width="17.85546875" style="1762" bestFit="1" customWidth="1"/>
    <col min="13572" max="13572" width="10.5703125" style="1762" bestFit="1" customWidth="1"/>
    <col min="13573" max="13573" width="12.7109375" style="1762" bestFit="1" customWidth="1"/>
    <col min="13574" max="13574" width="16" style="1762" bestFit="1" customWidth="1"/>
    <col min="13575" max="13575" width="3.5703125" style="1762" customWidth="1"/>
    <col min="13576" max="13578" width="9.140625" style="1762"/>
    <col min="13579" max="13579" width="16.140625" style="1762" bestFit="1" customWidth="1"/>
    <col min="13580" max="13824" width="9.140625" style="1762"/>
    <col min="13825" max="13825" width="5" style="1762" customWidth="1"/>
    <col min="13826" max="13826" width="57" style="1762" customWidth="1"/>
    <col min="13827" max="13827" width="17.85546875" style="1762" bestFit="1" customWidth="1"/>
    <col min="13828" max="13828" width="10.5703125" style="1762" bestFit="1" customWidth="1"/>
    <col min="13829" max="13829" width="12.7109375" style="1762" bestFit="1" customWidth="1"/>
    <col min="13830" max="13830" width="16" style="1762" bestFit="1" customWidth="1"/>
    <col min="13831" max="13831" width="3.5703125" style="1762" customWidth="1"/>
    <col min="13832" max="13834" width="9.140625" style="1762"/>
    <col min="13835" max="13835" width="16.140625" style="1762" bestFit="1" customWidth="1"/>
    <col min="13836" max="14080" width="9.140625" style="1762"/>
    <col min="14081" max="14081" width="5" style="1762" customWidth="1"/>
    <col min="14082" max="14082" width="57" style="1762" customWidth="1"/>
    <col min="14083" max="14083" width="17.85546875" style="1762" bestFit="1" customWidth="1"/>
    <col min="14084" max="14084" width="10.5703125" style="1762" bestFit="1" customWidth="1"/>
    <col min="14085" max="14085" width="12.7109375" style="1762" bestFit="1" customWidth="1"/>
    <col min="14086" max="14086" width="16" style="1762" bestFit="1" customWidth="1"/>
    <col min="14087" max="14087" width="3.5703125" style="1762" customWidth="1"/>
    <col min="14088" max="14090" width="9.140625" style="1762"/>
    <col min="14091" max="14091" width="16.140625" style="1762" bestFit="1" customWidth="1"/>
    <col min="14092" max="14336" width="9.140625" style="1762"/>
    <col min="14337" max="14337" width="5" style="1762" customWidth="1"/>
    <col min="14338" max="14338" width="57" style="1762" customWidth="1"/>
    <col min="14339" max="14339" width="17.85546875" style="1762" bestFit="1" customWidth="1"/>
    <col min="14340" max="14340" width="10.5703125" style="1762" bestFit="1" customWidth="1"/>
    <col min="14341" max="14341" width="12.7109375" style="1762" bestFit="1" customWidth="1"/>
    <col min="14342" max="14342" width="16" style="1762" bestFit="1" customWidth="1"/>
    <col min="14343" max="14343" width="3.5703125" style="1762" customWidth="1"/>
    <col min="14344" max="14346" width="9.140625" style="1762"/>
    <col min="14347" max="14347" width="16.140625" style="1762" bestFit="1" customWidth="1"/>
    <col min="14348" max="14592" width="9.140625" style="1762"/>
    <col min="14593" max="14593" width="5" style="1762" customWidth="1"/>
    <col min="14594" max="14594" width="57" style="1762" customWidth="1"/>
    <col min="14595" max="14595" width="17.85546875" style="1762" bestFit="1" customWidth="1"/>
    <col min="14596" max="14596" width="10.5703125" style="1762" bestFit="1" customWidth="1"/>
    <col min="14597" max="14597" width="12.7109375" style="1762" bestFit="1" customWidth="1"/>
    <col min="14598" max="14598" width="16" style="1762" bestFit="1" customWidth="1"/>
    <col min="14599" max="14599" width="3.5703125" style="1762" customWidth="1"/>
    <col min="14600" max="14602" width="9.140625" style="1762"/>
    <col min="14603" max="14603" width="16.140625" style="1762" bestFit="1" customWidth="1"/>
    <col min="14604" max="14848" width="9.140625" style="1762"/>
    <col min="14849" max="14849" width="5" style="1762" customWidth="1"/>
    <col min="14850" max="14850" width="57" style="1762" customWidth="1"/>
    <col min="14851" max="14851" width="17.85546875" style="1762" bestFit="1" customWidth="1"/>
    <col min="14852" max="14852" width="10.5703125" style="1762" bestFit="1" customWidth="1"/>
    <col min="14853" max="14853" width="12.7109375" style="1762" bestFit="1" customWidth="1"/>
    <col min="14854" max="14854" width="16" style="1762" bestFit="1" customWidth="1"/>
    <col min="14855" max="14855" width="3.5703125" style="1762" customWidth="1"/>
    <col min="14856" max="14858" width="9.140625" style="1762"/>
    <col min="14859" max="14859" width="16.140625" style="1762" bestFit="1" customWidth="1"/>
    <col min="14860" max="15104" width="9.140625" style="1762"/>
    <col min="15105" max="15105" width="5" style="1762" customWidth="1"/>
    <col min="15106" max="15106" width="57" style="1762" customWidth="1"/>
    <col min="15107" max="15107" width="17.85546875" style="1762" bestFit="1" customWidth="1"/>
    <col min="15108" max="15108" width="10.5703125" style="1762" bestFit="1" customWidth="1"/>
    <col min="15109" max="15109" width="12.7109375" style="1762" bestFit="1" customWidth="1"/>
    <col min="15110" max="15110" width="16" style="1762" bestFit="1" customWidth="1"/>
    <col min="15111" max="15111" width="3.5703125" style="1762" customWidth="1"/>
    <col min="15112" max="15114" width="9.140625" style="1762"/>
    <col min="15115" max="15115" width="16.140625" style="1762" bestFit="1" customWidth="1"/>
    <col min="15116" max="15360" width="9.140625" style="1762"/>
    <col min="15361" max="15361" width="5" style="1762" customWidth="1"/>
    <col min="15362" max="15362" width="57" style="1762" customWidth="1"/>
    <col min="15363" max="15363" width="17.85546875" style="1762" bestFit="1" customWidth="1"/>
    <col min="15364" max="15364" width="10.5703125" style="1762" bestFit="1" customWidth="1"/>
    <col min="15365" max="15365" width="12.7109375" style="1762" bestFit="1" customWidth="1"/>
    <col min="15366" max="15366" width="16" style="1762" bestFit="1" customWidth="1"/>
    <col min="15367" max="15367" width="3.5703125" style="1762" customWidth="1"/>
    <col min="15368" max="15370" width="9.140625" style="1762"/>
    <col min="15371" max="15371" width="16.140625" style="1762" bestFit="1" customWidth="1"/>
    <col min="15372" max="15616" width="9.140625" style="1762"/>
    <col min="15617" max="15617" width="5" style="1762" customWidth="1"/>
    <col min="15618" max="15618" width="57" style="1762" customWidth="1"/>
    <col min="15619" max="15619" width="17.85546875" style="1762" bestFit="1" customWidth="1"/>
    <col min="15620" max="15620" width="10.5703125" style="1762" bestFit="1" customWidth="1"/>
    <col min="15621" max="15621" width="12.7109375" style="1762" bestFit="1" customWidth="1"/>
    <col min="15622" max="15622" width="16" style="1762" bestFit="1" customWidth="1"/>
    <col min="15623" max="15623" width="3.5703125" style="1762" customWidth="1"/>
    <col min="15624" max="15626" width="9.140625" style="1762"/>
    <col min="15627" max="15627" width="16.140625" style="1762" bestFit="1" customWidth="1"/>
    <col min="15628" max="15872" width="9.140625" style="1762"/>
    <col min="15873" max="15873" width="5" style="1762" customWidth="1"/>
    <col min="15874" max="15874" width="57" style="1762" customWidth="1"/>
    <col min="15875" max="15875" width="17.85546875" style="1762" bestFit="1" customWidth="1"/>
    <col min="15876" max="15876" width="10.5703125" style="1762" bestFit="1" customWidth="1"/>
    <col min="15877" max="15877" width="12.7109375" style="1762" bestFit="1" customWidth="1"/>
    <col min="15878" max="15878" width="16" style="1762" bestFit="1" customWidth="1"/>
    <col min="15879" max="15879" width="3.5703125" style="1762" customWidth="1"/>
    <col min="15880" max="15882" width="9.140625" style="1762"/>
    <col min="15883" max="15883" width="16.140625" style="1762" bestFit="1" customWidth="1"/>
    <col min="15884" max="16128" width="9.140625" style="1762"/>
    <col min="16129" max="16129" width="5" style="1762" customWidth="1"/>
    <col min="16130" max="16130" width="57" style="1762" customWidth="1"/>
    <col min="16131" max="16131" width="17.85546875" style="1762" bestFit="1" customWidth="1"/>
    <col min="16132" max="16132" width="10.5703125" style="1762" bestFit="1" customWidth="1"/>
    <col min="16133" max="16133" width="12.7109375" style="1762" bestFit="1" customWidth="1"/>
    <col min="16134" max="16134" width="16" style="1762" bestFit="1" customWidth="1"/>
    <col min="16135" max="16135" width="3.5703125" style="1762" customWidth="1"/>
    <col min="16136" max="16138" width="9.140625" style="1762"/>
    <col min="16139" max="16139" width="16.140625" style="1762" bestFit="1" customWidth="1"/>
    <col min="16140" max="16384" width="9.140625" style="1762"/>
  </cols>
  <sheetData>
    <row r="1" spans="1:7">
      <c r="C1" s="1763" t="s">
        <v>3218</v>
      </c>
      <c r="G1" s="1764" t="s">
        <v>1020</v>
      </c>
    </row>
    <row r="6" spans="1:7" ht="33">
      <c r="A6" s="1765" t="s">
        <v>0</v>
      </c>
      <c r="B6" s="1765" t="s">
        <v>1105</v>
      </c>
      <c r="C6" s="1765" t="s">
        <v>235</v>
      </c>
      <c r="D6" s="1765" t="s">
        <v>1</v>
      </c>
      <c r="E6" s="1795" t="s">
        <v>2622</v>
      </c>
      <c r="F6" s="1796" t="s">
        <v>4</v>
      </c>
    </row>
    <row r="7" spans="1:7">
      <c r="A7" s="1765" t="s">
        <v>480</v>
      </c>
      <c r="B7" s="2523" t="s">
        <v>2255</v>
      </c>
      <c r="C7" s="2524"/>
      <c r="D7" s="2524"/>
      <c r="E7" s="2525"/>
      <c r="F7" s="1766">
        <f>SUM(F8:F19)</f>
        <v>2459049000</v>
      </c>
    </row>
    <row r="8" spans="1:7">
      <c r="A8" s="1767">
        <v>1</v>
      </c>
      <c r="B8" s="1800" t="s">
        <v>2688</v>
      </c>
      <c r="C8" s="1767" t="s">
        <v>108</v>
      </c>
      <c r="D8" s="1767">
        <v>90</v>
      </c>
      <c r="E8" s="1803">
        <v>3000000</v>
      </c>
      <c r="F8" s="1768">
        <f>E8*D8</f>
        <v>270000000</v>
      </c>
    </row>
    <row r="9" spans="1:7">
      <c r="A9" s="1767">
        <v>2</v>
      </c>
      <c r="B9" s="1800" t="s">
        <v>2687</v>
      </c>
      <c r="C9" s="1767" t="s">
        <v>108</v>
      </c>
      <c r="D9" s="1767">
        <v>90</v>
      </c>
      <c r="E9" s="1803">
        <v>4885000</v>
      </c>
      <c r="F9" s="1768">
        <f>E9*D9</f>
        <v>439650000</v>
      </c>
    </row>
    <row r="10" spans="1:7">
      <c r="A10" s="1767">
        <v>3</v>
      </c>
      <c r="B10" s="1800" t="s">
        <v>2692</v>
      </c>
      <c r="C10" s="1767" t="s">
        <v>108</v>
      </c>
      <c r="D10" s="1767">
        <v>90</v>
      </c>
      <c r="E10" s="1803">
        <v>5510000</v>
      </c>
      <c r="F10" s="1768">
        <f>E10*D10</f>
        <v>495900000</v>
      </c>
    </row>
    <row r="11" spans="1:7">
      <c r="A11" s="1767">
        <v>4</v>
      </c>
      <c r="B11" s="1800" t="s">
        <v>2691</v>
      </c>
      <c r="C11" s="1767" t="s">
        <v>108</v>
      </c>
      <c r="D11" s="1767">
        <v>100</v>
      </c>
      <c r="E11" s="1803">
        <v>3502000</v>
      </c>
      <c r="F11" s="1768">
        <f>E11*D11</f>
        <v>350200000</v>
      </c>
    </row>
    <row r="12" spans="1:7">
      <c r="A12" s="1767">
        <v>5</v>
      </c>
      <c r="B12" s="1800" t="s">
        <v>2690</v>
      </c>
      <c r="C12" s="1767" t="s">
        <v>108</v>
      </c>
      <c r="D12" s="1767">
        <v>100</v>
      </c>
      <c r="E12" s="1803">
        <v>1221000</v>
      </c>
      <c r="F12" s="1768">
        <f t="shared" ref="F12:F18" si="0">D12*E12</f>
        <v>122100000</v>
      </c>
    </row>
    <row r="13" spans="1:7">
      <c r="A13" s="1767">
        <v>6</v>
      </c>
      <c r="B13" s="1797" t="s">
        <v>2683</v>
      </c>
      <c r="C13" s="1933" t="s">
        <v>963</v>
      </c>
      <c r="D13" s="1767">
        <v>100</v>
      </c>
      <c r="E13" s="1803">
        <v>1040000</v>
      </c>
      <c r="F13" s="1768">
        <f t="shared" si="0"/>
        <v>104000000</v>
      </c>
    </row>
    <row r="14" spans="1:7">
      <c r="A14" s="1767">
        <v>7</v>
      </c>
      <c r="B14" s="1797" t="s">
        <v>2682</v>
      </c>
      <c r="C14" s="1933" t="s">
        <v>963</v>
      </c>
      <c r="D14" s="1767">
        <v>100</v>
      </c>
      <c r="E14" s="1803">
        <v>1040000</v>
      </c>
      <c r="F14" s="1768">
        <f t="shared" si="0"/>
        <v>104000000</v>
      </c>
    </row>
    <row r="15" spans="1:7">
      <c r="A15" s="1767">
        <v>8</v>
      </c>
      <c r="B15" s="1797" t="s">
        <v>2681</v>
      </c>
      <c r="C15" s="1933" t="s">
        <v>963</v>
      </c>
      <c r="D15" s="1767">
        <v>100</v>
      </c>
      <c r="E15" s="1803">
        <v>1000000</v>
      </c>
      <c r="F15" s="1768">
        <f t="shared" si="0"/>
        <v>100000000</v>
      </c>
    </row>
    <row r="16" spans="1:7">
      <c r="A16" s="1767">
        <v>9</v>
      </c>
      <c r="B16" s="1797" t="s">
        <v>2680</v>
      </c>
      <c r="C16" s="1933" t="s">
        <v>963</v>
      </c>
      <c r="D16" s="1767">
        <v>100</v>
      </c>
      <c r="E16" s="1803">
        <v>1080000</v>
      </c>
      <c r="F16" s="1768">
        <f t="shared" si="0"/>
        <v>108000000</v>
      </c>
    </row>
    <row r="17" spans="1:6">
      <c r="A17" s="1767">
        <v>10</v>
      </c>
      <c r="B17" s="1797" t="s">
        <v>2679</v>
      </c>
      <c r="C17" s="1933" t="s">
        <v>963</v>
      </c>
      <c r="D17" s="1767">
        <v>110</v>
      </c>
      <c r="E17" s="1803">
        <v>1185000</v>
      </c>
      <c r="F17" s="1768">
        <f t="shared" si="0"/>
        <v>130350000</v>
      </c>
    </row>
    <row r="18" spans="1:6">
      <c r="A18" s="1767">
        <v>11</v>
      </c>
      <c r="B18" s="1797" t="s">
        <v>2678</v>
      </c>
      <c r="C18" s="1933" t="s">
        <v>963</v>
      </c>
      <c r="D18" s="1767">
        <v>110</v>
      </c>
      <c r="E18" s="1803">
        <v>1225900</v>
      </c>
      <c r="F18" s="1768">
        <f t="shared" si="0"/>
        <v>134849000</v>
      </c>
    </row>
    <row r="19" spans="1:6">
      <c r="A19" s="1767">
        <v>12</v>
      </c>
      <c r="B19" s="1800" t="s">
        <v>868</v>
      </c>
      <c r="C19" s="1767"/>
      <c r="D19" s="1767"/>
      <c r="E19" s="1803"/>
      <c r="F19" s="1768">
        <v>100000000</v>
      </c>
    </row>
    <row r="20" spans="1:6" s="1770" customFormat="1">
      <c r="A20" s="1769" t="s">
        <v>485</v>
      </c>
      <c r="B20" s="2523" t="s">
        <v>2689</v>
      </c>
      <c r="C20" s="2524"/>
      <c r="D20" s="2524"/>
      <c r="E20" s="2525"/>
      <c r="F20" s="1766">
        <f>SUM(F21:F32)</f>
        <v>3205049000</v>
      </c>
    </row>
    <row r="21" spans="1:6">
      <c r="A21" s="1767">
        <v>1</v>
      </c>
      <c r="B21" s="1800" t="s">
        <v>2688</v>
      </c>
      <c r="C21" s="1767" t="s">
        <v>108</v>
      </c>
      <c r="D21" s="1767">
        <f t="shared" ref="D21:D31" si="1">D8</f>
        <v>90</v>
      </c>
      <c r="E21" s="1803">
        <v>3800000</v>
      </c>
      <c r="F21" s="1768">
        <f t="shared" ref="F21:F31" si="2">E21*D21</f>
        <v>342000000</v>
      </c>
    </row>
    <row r="22" spans="1:6">
      <c r="A22" s="1767">
        <v>2</v>
      </c>
      <c r="B22" s="1800" t="s">
        <v>2687</v>
      </c>
      <c r="C22" s="1767" t="s">
        <v>108</v>
      </c>
      <c r="D22" s="1767">
        <f t="shared" si="1"/>
        <v>90</v>
      </c>
      <c r="E22" s="1803">
        <v>5885000</v>
      </c>
      <c r="F22" s="1768">
        <f t="shared" si="2"/>
        <v>529650000</v>
      </c>
    </row>
    <row r="23" spans="1:6">
      <c r="A23" s="1767">
        <v>3</v>
      </c>
      <c r="B23" s="1800" t="s">
        <v>2686</v>
      </c>
      <c r="C23" s="1767" t="s">
        <v>108</v>
      </c>
      <c r="D23" s="1767">
        <f t="shared" si="1"/>
        <v>90</v>
      </c>
      <c r="E23" s="1803">
        <v>6610000</v>
      </c>
      <c r="F23" s="1768">
        <f t="shared" si="2"/>
        <v>594900000</v>
      </c>
    </row>
    <row r="24" spans="1:6">
      <c r="A24" s="1767">
        <v>4</v>
      </c>
      <c r="B24" s="1800" t="s">
        <v>2685</v>
      </c>
      <c r="C24" s="1767" t="s">
        <v>108</v>
      </c>
      <c r="D24" s="1767">
        <f t="shared" si="1"/>
        <v>100</v>
      </c>
      <c r="E24" s="1803">
        <v>4402000</v>
      </c>
      <c r="F24" s="1768">
        <f t="shared" si="2"/>
        <v>440200000</v>
      </c>
    </row>
    <row r="25" spans="1:6">
      <c r="A25" s="1767">
        <v>5</v>
      </c>
      <c r="B25" s="1800" t="s">
        <v>2684</v>
      </c>
      <c r="C25" s="1767" t="s">
        <v>108</v>
      </c>
      <c r="D25" s="1767">
        <f t="shared" si="1"/>
        <v>100</v>
      </c>
      <c r="E25" s="1803">
        <v>2121000</v>
      </c>
      <c r="F25" s="1768">
        <f t="shared" si="2"/>
        <v>212100000</v>
      </c>
    </row>
    <row r="26" spans="1:6">
      <c r="A26" s="1767">
        <v>6</v>
      </c>
      <c r="B26" s="1797" t="s">
        <v>2683</v>
      </c>
      <c r="C26" s="1933" t="s">
        <v>963</v>
      </c>
      <c r="D26" s="1767">
        <f t="shared" si="1"/>
        <v>100</v>
      </c>
      <c r="E26" s="1803">
        <v>1640000</v>
      </c>
      <c r="F26" s="1768">
        <f t="shared" si="2"/>
        <v>164000000</v>
      </c>
    </row>
    <row r="27" spans="1:6">
      <c r="A27" s="1767">
        <v>7</v>
      </c>
      <c r="B27" s="1797" t="s">
        <v>2682</v>
      </c>
      <c r="C27" s="1933" t="s">
        <v>963</v>
      </c>
      <c r="D27" s="1767">
        <f t="shared" si="1"/>
        <v>100</v>
      </c>
      <c r="E27" s="1803">
        <v>1740000</v>
      </c>
      <c r="F27" s="1768">
        <f t="shared" si="2"/>
        <v>174000000</v>
      </c>
    </row>
    <row r="28" spans="1:6">
      <c r="A28" s="1767">
        <v>8</v>
      </c>
      <c r="B28" s="1797" t="s">
        <v>2681</v>
      </c>
      <c r="C28" s="1933" t="s">
        <v>963</v>
      </c>
      <c r="D28" s="1767">
        <f t="shared" si="1"/>
        <v>100</v>
      </c>
      <c r="E28" s="1803">
        <v>1400000</v>
      </c>
      <c r="F28" s="1768">
        <f t="shared" si="2"/>
        <v>140000000</v>
      </c>
    </row>
    <row r="29" spans="1:6">
      <c r="A29" s="1767">
        <v>9</v>
      </c>
      <c r="B29" s="1797" t="s">
        <v>2680</v>
      </c>
      <c r="C29" s="1933" t="s">
        <v>963</v>
      </c>
      <c r="D29" s="1767">
        <f t="shared" si="1"/>
        <v>100</v>
      </c>
      <c r="E29" s="1803">
        <v>1180000</v>
      </c>
      <c r="F29" s="1768">
        <f t="shared" si="2"/>
        <v>118000000</v>
      </c>
    </row>
    <row r="30" spans="1:6">
      <c r="A30" s="1767">
        <v>10</v>
      </c>
      <c r="B30" s="1797" t="s">
        <v>2679</v>
      </c>
      <c r="C30" s="1933" t="s">
        <v>963</v>
      </c>
      <c r="D30" s="1767">
        <f t="shared" si="1"/>
        <v>110</v>
      </c>
      <c r="E30" s="1803">
        <v>1685000</v>
      </c>
      <c r="F30" s="1768">
        <f t="shared" si="2"/>
        <v>185350000</v>
      </c>
    </row>
    <row r="31" spans="1:6">
      <c r="A31" s="1767">
        <v>11</v>
      </c>
      <c r="B31" s="1797" t="s">
        <v>2678</v>
      </c>
      <c r="C31" s="1933" t="s">
        <v>963</v>
      </c>
      <c r="D31" s="1767">
        <f t="shared" si="1"/>
        <v>110</v>
      </c>
      <c r="E31" s="1803">
        <v>1725900</v>
      </c>
      <c r="F31" s="1768">
        <f t="shared" si="2"/>
        <v>189849000</v>
      </c>
    </row>
    <row r="32" spans="1:6">
      <c r="A32" s="1767">
        <v>12</v>
      </c>
      <c r="B32" s="1800" t="s">
        <v>868</v>
      </c>
      <c r="C32" s="1798"/>
      <c r="D32" s="1767"/>
      <c r="E32" s="1799"/>
      <c r="F32" s="1768">
        <v>115000000</v>
      </c>
    </row>
    <row r="33" spans="1:6" s="1770" customFormat="1">
      <c r="A33" s="1765" t="s">
        <v>489</v>
      </c>
      <c r="B33" s="2523" t="s">
        <v>2677</v>
      </c>
      <c r="C33" s="2524"/>
      <c r="D33" s="2524"/>
      <c r="E33" s="2525"/>
      <c r="F33" s="1766">
        <f>F20-F7</f>
        <v>746000000</v>
      </c>
    </row>
    <row r="34" spans="1:6" s="1770" customFormat="1">
      <c r="A34" s="1765" t="s">
        <v>547</v>
      </c>
      <c r="B34" s="2523" t="s">
        <v>2676</v>
      </c>
      <c r="C34" s="2524"/>
      <c r="D34" s="2524"/>
      <c r="E34" s="2525"/>
      <c r="F34" s="1766">
        <f>SUM(F35:F39)</f>
        <v>393000000</v>
      </c>
    </row>
    <row r="35" spans="1:6">
      <c r="A35" s="1771" t="s">
        <v>615</v>
      </c>
      <c r="B35" s="2526" t="s">
        <v>2675</v>
      </c>
      <c r="C35" s="2527"/>
      <c r="D35" s="2527"/>
      <c r="E35" s="2528"/>
      <c r="F35" s="1768">
        <f>7000000*12*2</f>
        <v>168000000</v>
      </c>
    </row>
    <row r="36" spans="1:6">
      <c r="A36" s="1771" t="s">
        <v>615</v>
      </c>
      <c r="B36" s="2529" t="s">
        <v>2674</v>
      </c>
      <c r="C36" s="2530"/>
      <c r="D36" s="2530"/>
      <c r="E36" s="2531"/>
      <c r="F36" s="1772">
        <f>C46*C48/100</f>
        <v>190000000</v>
      </c>
    </row>
    <row r="37" spans="1:6">
      <c r="A37" s="1771" t="s">
        <v>615</v>
      </c>
      <c r="B37" s="2526" t="s">
        <v>2673</v>
      </c>
      <c r="C37" s="2527"/>
      <c r="D37" s="2527"/>
      <c r="E37" s="2528"/>
      <c r="F37" s="1768">
        <v>10000000</v>
      </c>
    </row>
    <row r="38" spans="1:6">
      <c r="A38" s="1771" t="s">
        <v>615</v>
      </c>
      <c r="B38" s="2526" t="s">
        <v>1930</v>
      </c>
      <c r="C38" s="2527"/>
      <c r="D38" s="2527"/>
      <c r="E38" s="2528"/>
      <c r="F38" s="1768">
        <v>15000000</v>
      </c>
    </row>
    <row r="39" spans="1:6">
      <c r="A39" s="1771" t="s">
        <v>615</v>
      </c>
      <c r="B39" s="2526" t="s">
        <v>2672</v>
      </c>
      <c r="C39" s="2527"/>
      <c r="D39" s="2527"/>
      <c r="E39" s="2528"/>
      <c r="F39" s="1768">
        <v>10000000</v>
      </c>
    </row>
    <row r="40" spans="1:6" s="1770" customFormat="1">
      <c r="A40" s="1769" t="s">
        <v>582</v>
      </c>
      <c r="B40" s="2523" t="s">
        <v>2242</v>
      </c>
      <c r="C40" s="2524"/>
      <c r="D40" s="2524"/>
      <c r="E40" s="2525"/>
      <c r="F40" s="1766">
        <f>F33-F34</f>
        <v>353000000</v>
      </c>
    </row>
    <row r="41" spans="1:6">
      <c r="A41" s="1774" t="s">
        <v>2598</v>
      </c>
      <c r="B41" s="1775"/>
      <c r="C41" s="1775"/>
      <c r="D41" s="1775"/>
      <c r="F41" s="1934">
        <f>F34+F7</f>
        <v>2852049000</v>
      </c>
    </row>
    <row r="42" spans="1:6">
      <c r="A42" s="1762" t="s">
        <v>2597</v>
      </c>
      <c r="C42" s="1763">
        <f>F7+F34-F36-F37</f>
        <v>2652049000</v>
      </c>
      <c r="D42" s="1776" t="s">
        <v>202</v>
      </c>
    </row>
    <row r="43" spans="1:6">
      <c r="A43" s="1762" t="s">
        <v>2596</v>
      </c>
      <c r="C43" s="1777">
        <v>1.2</v>
      </c>
      <c r="D43" s="1776" t="s">
        <v>2411</v>
      </c>
    </row>
    <row r="44" spans="1:6">
      <c r="A44" s="1762" t="s">
        <v>2595</v>
      </c>
      <c r="C44" s="1763">
        <f>C42/C43</f>
        <v>2210040833.3333335</v>
      </c>
      <c r="D44" s="1776" t="s">
        <v>202</v>
      </c>
      <c r="E44" s="1935">
        <v>9</v>
      </c>
      <c r="F44" s="1778"/>
    </row>
    <row r="45" spans="1:6">
      <c r="A45" s="1762" t="s">
        <v>2594</v>
      </c>
      <c r="C45" s="1763">
        <f>C44-C46</f>
        <v>210040833.33333349</v>
      </c>
      <c r="D45" s="1776" t="s">
        <v>202</v>
      </c>
      <c r="E45" s="1936"/>
    </row>
    <row r="46" spans="1:6">
      <c r="A46" s="1762" t="s">
        <v>2593</v>
      </c>
      <c r="C46" s="1763">
        <v>2000000000</v>
      </c>
      <c r="D46" s="1776" t="s">
        <v>202</v>
      </c>
    </row>
    <row r="47" spans="1:6">
      <c r="A47" s="1762" t="s">
        <v>2592</v>
      </c>
      <c r="C47" s="1780" t="s">
        <v>1159</v>
      </c>
    </row>
    <row r="48" spans="1:6">
      <c r="A48" s="1762" t="s">
        <v>13</v>
      </c>
      <c r="C48" s="1937">
        <v>9.5</v>
      </c>
    </row>
    <row r="53" spans="3:3">
      <c r="C53" s="1762"/>
    </row>
  </sheetData>
  <mergeCells count="10">
    <mergeCell ref="B37:E37"/>
    <mergeCell ref="B38:E38"/>
    <mergeCell ref="B39:E39"/>
    <mergeCell ref="B40:E40"/>
    <mergeCell ref="B7:E7"/>
    <mergeCell ref="B20:E20"/>
    <mergeCell ref="B33:E33"/>
    <mergeCell ref="B34:E34"/>
    <mergeCell ref="B35:E35"/>
    <mergeCell ref="B36:E36"/>
  </mergeCells>
  <pageMargins left="0.7" right="0.7" top="0.75" bottom="0.75" header="0.3" footer="0.3"/>
  <pageSetup paperSize="9" orientation="portrait" verticalDpi="0"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L98"/>
  <sheetViews>
    <sheetView showRuler="0" zoomScaleNormal="100" workbookViewId="0">
      <selection activeCell="J13" sqref="J13"/>
    </sheetView>
  </sheetViews>
  <sheetFormatPr defaultRowHeight="16.5"/>
  <cols>
    <col min="1" max="1" width="5" style="963" customWidth="1"/>
    <col min="2" max="2" width="44.140625" style="963" customWidth="1"/>
    <col min="3" max="3" width="7" style="1228" customWidth="1"/>
    <col min="4" max="4" width="8.28515625" style="963" bestFit="1" customWidth="1"/>
    <col min="5" max="5" width="16" style="963" bestFit="1" customWidth="1"/>
    <col min="6" max="10" width="17.85546875" style="963" bestFit="1" customWidth="1"/>
    <col min="11" max="11" width="19.140625" style="963" bestFit="1" customWidth="1"/>
    <col min="12" max="12" width="9.140625" style="1227"/>
    <col min="13" max="256" width="9.140625" style="963"/>
    <col min="257" max="257" width="5" style="963" customWidth="1"/>
    <col min="258" max="258" width="44.140625" style="963" customWidth="1"/>
    <col min="259" max="259" width="7" style="963" customWidth="1"/>
    <col min="260" max="260" width="8.140625" style="963" bestFit="1" customWidth="1"/>
    <col min="261" max="261" width="14" style="963" bestFit="1" customWidth="1"/>
    <col min="262" max="262" width="15.5703125" style="963" bestFit="1" customWidth="1"/>
    <col min="263" max="266" width="14.5703125" style="963" bestFit="1" customWidth="1"/>
    <col min="267" max="267" width="16" style="963" bestFit="1" customWidth="1"/>
    <col min="268" max="512" width="9.140625" style="963"/>
    <col min="513" max="513" width="5" style="963" customWidth="1"/>
    <col min="514" max="514" width="44.140625" style="963" customWidth="1"/>
    <col min="515" max="515" width="7" style="963" customWidth="1"/>
    <col min="516" max="516" width="8.140625" style="963" bestFit="1" customWidth="1"/>
    <col min="517" max="517" width="14" style="963" bestFit="1" customWidth="1"/>
    <col min="518" max="518" width="15.5703125" style="963" bestFit="1" customWidth="1"/>
    <col min="519" max="522" width="14.5703125" style="963" bestFit="1" customWidth="1"/>
    <col min="523" max="523" width="16" style="963" bestFit="1" customWidth="1"/>
    <col min="524" max="768" width="9.140625" style="963"/>
    <col min="769" max="769" width="5" style="963" customWidth="1"/>
    <col min="770" max="770" width="44.140625" style="963" customWidth="1"/>
    <col min="771" max="771" width="7" style="963" customWidth="1"/>
    <col min="772" max="772" width="8.140625" style="963" bestFit="1" customWidth="1"/>
    <col min="773" max="773" width="14" style="963" bestFit="1" customWidth="1"/>
    <col min="774" max="774" width="15.5703125" style="963" bestFit="1" customWidth="1"/>
    <col min="775" max="778" width="14.5703125" style="963" bestFit="1" customWidth="1"/>
    <col min="779" max="779" width="16" style="963" bestFit="1" customWidth="1"/>
    <col min="780" max="1024" width="9.140625" style="963"/>
    <col min="1025" max="1025" width="5" style="963" customWidth="1"/>
    <col min="1026" max="1026" width="44.140625" style="963" customWidth="1"/>
    <col min="1027" max="1027" width="7" style="963" customWidth="1"/>
    <col min="1028" max="1028" width="8.140625" style="963" bestFit="1" customWidth="1"/>
    <col min="1029" max="1029" width="14" style="963" bestFit="1" customWidth="1"/>
    <col min="1030" max="1030" width="15.5703125" style="963" bestFit="1" customWidth="1"/>
    <col min="1031" max="1034" width="14.5703125" style="963" bestFit="1" customWidth="1"/>
    <col min="1035" max="1035" width="16" style="963" bestFit="1" customWidth="1"/>
    <col min="1036" max="1280" width="9.140625" style="963"/>
    <col min="1281" max="1281" width="5" style="963" customWidth="1"/>
    <col min="1282" max="1282" width="44.140625" style="963" customWidth="1"/>
    <col min="1283" max="1283" width="7" style="963" customWidth="1"/>
    <col min="1284" max="1284" width="8.140625" style="963" bestFit="1" customWidth="1"/>
    <col min="1285" max="1285" width="14" style="963" bestFit="1" customWidth="1"/>
    <col min="1286" max="1286" width="15.5703125" style="963" bestFit="1" customWidth="1"/>
    <col min="1287" max="1290" width="14.5703125" style="963" bestFit="1" customWidth="1"/>
    <col min="1291" max="1291" width="16" style="963" bestFit="1" customWidth="1"/>
    <col min="1292" max="1536" width="9.140625" style="963"/>
    <col min="1537" max="1537" width="5" style="963" customWidth="1"/>
    <col min="1538" max="1538" width="44.140625" style="963" customWidth="1"/>
    <col min="1539" max="1539" width="7" style="963" customWidth="1"/>
    <col min="1540" max="1540" width="8.140625" style="963" bestFit="1" customWidth="1"/>
    <col min="1541" max="1541" width="14" style="963" bestFit="1" customWidth="1"/>
    <col min="1542" max="1542" width="15.5703125" style="963" bestFit="1" customWidth="1"/>
    <col min="1543" max="1546" width="14.5703125" style="963" bestFit="1" customWidth="1"/>
    <col min="1547" max="1547" width="16" style="963" bestFit="1" customWidth="1"/>
    <col min="1548" max="1792" width="9.140625" style="963"/>
    <col min="1793" max="1793" width="5" style="963" customWidth="1"/>
    <col min="1794" max="1794" width="44.140625" style="963" customWidth="1"/>
    <col min="1795" max="1795" width="7" style="963" customWidth="1"/>
    <col min="1796" max="1796" width="8.140625" style="963" bestFit="1" customWidth="1"/>
    <col min="1797" max="1797" width="14" style="963" bestFit="1" customWidth="1"/>
    <col min="1798" max="1798" width="15.5703125" style="963" bestFit="1" customWidth="1"/>
    <col min="1799" max="1802" width="14.5703125" style="963" bestFit="1" customWidth="1"/>
    <col min="1803" max="1803" width="16" style="963" bestFit="1" customWidth="1"/>
    <col min="1804" max="2048" width="9.140625" style="963"/>
    <col min="2049" max="2049" width="5" style="963" customWidth="1"/>
    <col min="2050" max="2050" width="44.140625" style="963" customWidth="1"/>
    <col min="2051" max="2051" width="7" style="963" customWidth="1"/>
    <col min="2052" max="2052" width="8.140625" style="963" bestFit="1" customWidth="1"/>
    <col min="2053" max="2053" width="14" style="963" bestFit="1" customWidth="1"/>
    <col min="2054" max="2054" width="15.5703125" style="963" bestFit="1" customWidth="1"/>
    <col min="2055" max="2058" width="14.5703125" style="963" bestFit="1" customWidth="1"/>
    <col min="2059" max="2059" width="16" style="963" bestFit="1" customWidth="1"/>
    <col min="2060" max="2304" width="9.140625" style="963"/>
    <col min="2305" max="2305" width="5" style="963" customWidth="1"/>
    <col min="2306" max="2306" width="44.140625" style="963" customWidth="1"/>
    <col min="2307" max="2307" width="7" style="963" customWidth="1"/>
    <col min="2308" max="2308" width="8.140625" style="963" bestFit="1" customWidth="1"/>
    <col min="2309" max="2309" width="14" style="963" bestFit="1" customWidth="1"/>
    <col min="2310" max="2310" width="15.5703125" style="963" bestFit="1" customWidth="1"/>
    <col min="2311" max="2314" width="14.5703125" style="963" bestFit="1" customWidth="1"/>
    <col min="2315" max="2315" width="16" style="963" bestFit="1" customWidth="1"/>
    <col min="2316" max="2560" width="9.140625" style="963"/>
    <col min="2561" max="2561" width="5" style="963" customWidth="1"/>
    <col min="2562" max="2562" width="44.140625" style="963" customWidth="1"/>
    <col min="2563" max="2563" width="7" style="963" customWidth="1"/>
    <col min="2564" max="2564" width="8.140625" style="963" bestFit="1" customWidth="1"/>
    <col min="2565" max="2565" width="14" style="963" bestFit="1" customWidth="1"/>
    <col min="2566" max="2566" width="15.5703125" style="963" bestFit="1" customWidth="1"/>
    <col min="2567" max="2570" width="14.5703125" style="963" bestFit="1" customWidth="1"/>
    <col min="2571" max="2571" width="16" style="963" bestFit="1" customWidth="1"/>
    <col min="2572" max="2816" width="9.140625" style="963"/>
    <col min="2817" max="2817" width="5" style="963" customWidth="1"/>
    <col min="2818" max="2818" width="44.140625" style="963" customWidth="1"/>
    <col min="2819" max="2819" width="7" style="963" customWidth="1"/>
    <col min="2820" max="2820" width="8.140625" style="963" bestFit="1" customWidth="1"/>
    <col min="2821" max="2821" width="14" style="963" bestFit="1" customWidth="1"/>
    <col min="2822" max="2822" width="15.5703125" style="963" bestFit="1" customWidth="1"/>
    <col min="2823" max="2826" width="14.5703125" style="963" bestFit="1" customWidth="1"/>
    <col min="2827" max="2827" width="16" style="963" bestFit="1" customWidth="1"/>
    <col min="2828" max="3072" width="9.140625" style="963"/>
    <col min="3073" max="3073" width="5" style="963" customWidth="1"/>
    <col min="3074" max="3074" width="44.140625" style="963" customWidth="1"/>
    <col min="3075" max="3075" width="7" style="963" customWidth="1"/>
    <col min="3076" max="3076" width="8.140625" style="963" bestFit="1" customWidth="1"/>
    <col min="3077" max="3077" width="14" style="963" bestFit="1" customWidth="1"/>
    <col min="3078" max="3078" width="15.5703125" style="963" bestFit="1" customWidth="1"/>
    <col min="3079" max="3082" width="14.5703125" style="963" bestFit="1" customWidth="1"/>
    <col min="3083" max="3083" width="16" style="963" bestFit="1" customWidth="1"/>
    <col min="3084" max="3328" width="9.140625" style="963"/>
    <col min="3329" max="3329" width="5" style="963" customWidth="1"/>
    <col min="3330" max="3330" width="44.140625" style="963" customWidth="1"/>
    <col min="3331" max="3331" width="7" style="963" customWidth="1"/>
    <col min="3332" max="3332" width="8.140625" style="963" bestFit="1" customWidth="1"/>
    <col min="3333" max="3333" width="14" style="963" bestFit="1" customWidth="1"/>
    <col min="3334" max="3334" width="15.5703125" style="963" bestFit="1" customWidth="1"/>
    <col min="3335" max="3338" width="14.5703125" style="963" bestFit="1" customWidth="1"/>
    <col min="3339" max="3339" width="16" style="963" bestFit="1" customWidth="1"/>
    <col min="3340" max="3584" width="9.140625" style="963"/>
    <col min="3585" max="3585" width="5" style="963" customWidth="1"/>
    <col min="3586" max="3586" width="44.140625" style="963" customWidth="1"/>
    <col min="3587" max="3587" width="7" style="963" customWidth="1"/>
    <col min="3588" max="3588" width="8.140625" style="963" bestFit="1" customWidth="1"/>
    <col min="3589" max="3589" width="14" style="963" bestFit="1" customWidth="1"/>
    <col min="3590" max="3590" width="15.5703125" style="963" bestFit="1" customWidth="1"/>
    <col min="3591" max="3594" width="14.5703125" style="963" bestFit="1" customWidth="1"/>
    <col min="3595" max="3595" width="16" style="963" bestFit="1" customWidth="1"/>
    <col min="3596" max="3840" width="9.140625" style="963"/>
    <col min="3841" max="3841" width="5" style="963" customWidth="1"/>
    <col min="3842" max="3842" width="44.140625" style="963" customWidth="1"/>
    <col min="3843" max="3843" width="7" style="963" customWidth="1"/>
    <col min="3844" max="3844" width="8.140625" style="963" bestFit="1" customWidth="1"/>
    <col min="3845" max="3845" width="14" style="963" bestFit="1" customWidth="1"/>
    <col min="3846" max="3846" width="15.5703125" style="963" bestFit="1" customWidth="1"/>
    <col min="3847" max="3850" width="14.5703125" style="963" bestFit="1" customWidth="1"/>
    <col min="3851" max="3851" width="16" style="963" bestFit="1" customWidth="1"/>
    <col min="3852" max="4096" width="9.140625" style="963"/>
    <col min="4097" max="4097" width="5" style="963" customWidth="1"/>
    <col min="4098" max="4098" width="44.140625" style="963" customWidth="1"/>
    <col min="4099" max="4099" width="7" style="963" customWidth="1"/>
    <col min="4100" max="4100" width="8.140625" style="963" bestFit="1" customWidth="1"/>
    <col min="4101" max="4101" width="14" style="963" bestFit="1" customWidth="1"/>
    <col min="4102" max="4102" width="15.5703125" style="963" bestFit="1" customWidth="1"/>
    <col min="4103" max="4106" width="14.5703125" style="963" bestFit="1" customWidth="1"/>
    <col min="4107" max="4107" width="16" style="963" bestFit="1" customWidth="1"/>
    <col min="4108" max="4352" width="9.140625" style="963"/>
    <col min="4353" max="4353" width="5" style="963" customWidth="1"/>
    <col min="4354" max="4354" width="44.140625" style="963" customWidth="1"/>
    <col min="4355" max="4355" width="7" style="963" customWidth="1"/>
    <col min="4356" max="4356" width="8.140625" style="963" bestFit="1" customWidth="1"/>
    <col min="4357" max="4357" width="14" style="963" bestFit="1" customWidth="1"/>
    <col min="4358" max="4358" width="15.5703125" style="963" bestFit="1" customWidth="1"/>
    <col min="4359" max="4362" width="14.5703125" style="963" bestFit="1" customWidth="1"/>
    <col min="4363" max="4363" width="16" style="963" bestFit="1" customWidth="1"/>
    <col min="4364" max="4608" width="9.140625" style="963"/>
    <col min="4609" max="4609" width="5" style="963" customWidth="1"/>
    <col min="4610" max="4610" width="44.140625" style="963" customWidth="1"/>
    <col min="4611" max="4611" width="7" style="963" customWidth="1"/>
    <col min="4612" max="4612" width="8.140625" style="963" bestFit="1" customWidth="1"/>
    <col min="4613" max="4613" width="14" style="963" bestFit="1" customWidth="1"/>
    <col min="4614" max="4614" width="15.5703125" style="963" bestFit="1" customWidth="1"/>
    <col min="4615" max="4618" width="14.5703125" style="963" bestFit="1" customWidth="1"/>
    <col min="4619" max="4619" width="16" style="963" bestFit="1" customWidth="1"/>
    <col min="4620" max="4864" width="9.140625" style="963"/>
    <col min="4865" max="4865" width="5" style="963" customWidth="1"/>
    <col min="4866" max="4866" width="44.140625" style="963" customWidth="1"/>
    <col min="4867" max="4867" width="7" style="963" customWidth="1"/>
    <col min="4868" max="4868" width="8.140625" style="963" bestFit="1" customWidth="1"/>
    <col min="4869" max="4869" width="14" style="963" bestFit="1" customWidth="1"/>
    <col min="4870" max="4870" width="15.5703125" style="963" bestFit="1" customWidth="1"/>
    <col min="4871" max="4874" width="14.5703125" style="963" bestFit="1" customWidth="1"/>
    <col min="4875" max="4875" width="16" style="963" bestFit="1" customWidth="1"/>
    <col min="4876" max="5120" width="9.140625" style="963"/>
    <col min="5121" max="5121" width="5" style="963" customWidth="1"/>
    <col min="5122" max="5122" width="44.140625" style="963" customWidth="1"/>
    <col min="5123" max="5123" width="7" style="963" customWidth="1"/>
    <col min="5124" max="5124" width="8.140625" style="963" bestFit="1" customWidth="1"/>
    <col min="5125" max="5125" width="14" style="963" bestFit="1" customWidth="1"/>
    <col min="5126" max="5126" width="15.5703125" style="963" bestFit="1" customWidth="1"/>
    <col min="5127" max="5130" width="14.5703125" style="963" bestFit="1" customWidth="1"/>
    <col min="5131" max="5131" width="16" style="963" bestFit="1" customWidth="1"/>
    <col min="5132" max="5376" width="9.140625" style="963"/>
    <col min="5377" max="5377" width="5" style="963" customWidth="1"/>
    <col min="5378" max="5378" width="44.140625" style="963" customWidth="1"/>
    <col min="5379" max="5379" width="7" style="963" customWidth="1"/>
    <col min="5380" max="5380" width="8.140625" style="963" bestFit="1" customWidth="1"/>
    <col min="5381" max="5381" width="14" style="963" bestFit="1" customWidth="1"/>
    <col min="5382" max="5382" width="15.5703125" style="963" bestFit="1" customWidth="1"/>
    <col min="5383" max="5386" width="14.5703125" style="963" bestFit="1" customWidth="1"/>
    <col min="5387" max="5387" width="16" style="963" bestFit="1" customWidth="1"/>
    <col min="5388" max="5632" width="9.140625" style="963"/>
    <col min="5633" max="5633" width="5" style="963" customWidth="1"/>
    <col min="5634" max="5634" width="44.140625" style="963" customWidth="1"/>
    <col min="5635" max="5635" width="7" style="963" customWidth="1"/>
    <col min="5636" max="5636" width="8.140625" style="963" bestFit="1" customWidth="1"/>
    <col min="5637" max="5637" width="14" style="963" bestFit="1" customWidth="1"/>
    <col min="5638" max="5638" width="15.5703125" style="963" bestFit="1" customWidth="1"/>
    <col min="5639" max="5642" width="14.5703125" style="963" bestFit="1" customWidth="1"/>
    <col min="5643" max="5643" width="16" style="963" bestFit="1" customWidth="1"/>
    <col min="5644" max="5888" width="9.140625" style="963"/>
    <col min="5889" max="5889" width="5" style="963" customWidth="1"/>
    <col min="5890" max="5890" width="44.140625" style="963" customWidth="1"/>
    <col min="5891" max="5891" width="7" style="963" customWidth="1"/>
    <col min="5892" max="5892" width="8.140625" style="963" bestFit="1" customWidth="1"/>
    <col min="5893" max="5893" width="14" style="963" bestFit="1" customWidth="1"/>
    <col min="5894" max="5894" width="15.5703125" style="963" bestFit="1" customWidth="1"/>
    <col min="5895" max="5898" width="14.5703125" style="963" bestFit="1" customWidth="1"/>
    <col min="5899" max="5899" width="16" style="963" bestFit="1" customWidth="1"/>
    <col min="5900" max="6144" width="9.140625" style="963"/>
    <col min="6145" max="6145" width="5" style="963" customWidth="1"/>
    <col min="6146" max="6146" width="44.140625" style="963" customWidth="1"/>
    <col min="6147" max="6147" width="7" style="963" customWidth="1"/>
    <col min="6148" max="6148" width="8.140625" style="963" bestFit="1" customWidth="1"/>
    <col min="6149" max="6149" width="14" style="963" bestFit="1" customWidth="1"/>
    <col min="6150" max="6150" width="15.5703125" style="963" bestFit="1" customWidth="1"/>
    <col min="6151" max="6154" width="14.5703125" style="963" bestFit="1" customWidth="1"/>
    <col min="6155" max="6155" width="16" style="963" bestFit="1" customWidth="1"/>
    <col min="6156" max="6400" width="9.140625" style="963"/>
    <col min="6401" max="6401" width="5" style="963" customWidth="1"/>
    <col min="6402" max="6402" width="44.140625" style="963" customWidth="1"/>
    <col min="6403" max="6403" width="7" style="963" customWidth="1"/>
    <col min="6404" max="6404" width="8.140625" style="963" bestFit="1" customWidth="1"/>
    <col min="6405" max="6405" width="14" style="963" bestFit="1" customWidth="1"/>
    <col min="6406" max="6406" width="15.5703125" style="963" bestFit="1" customWidth="1"/>
    <col min="6407" max="6410" width="14.5703125" style="963" bestFit="1" customWidth="1"/>
    <col min="6411" max="6411" width="16" style="963" bestFit="1" customWidth="1"/>
    <col min="6412" max="6656" width="9.140625" style="963"/>
    <col min="6657" max="6657" width="5" style="963" customWidth="1"/>
    <col min="6658" max="6658" width="44.140625" style="963" customWidth="1"/>
    <col min="6659" max="6659" width="7" style="963" customWidth="1"/>
    <col min="6660" max="6660" width="8.140625" style="963" bestFit="1" customWidth="1"/>
    <col min="6661" max="6661" width="14" style="963" bestFit="1" customWidth="1"/>
    <col min="6662" max="6662" width="15.5703125" style="963" bestFit="1" customWidth="1"/>
    <col min="6663" max="6666" width="14.5703125" style="963" bestFit="1" customWidth="1"/>
    <col min="6667" max="6667" width="16" style="963" bestFit="1" customWidth="1"/>
    <col min="6668" max="6912" width="9.140625" style="963"/>
    <col min="6913" max="6913" width="5" style="963" customWidth="1"/>
    <col min="6914" max="6914" width="44.140625" style="963" customWidth="1"/>
    <col min="6915" max="6915" width="7" style="963" customWidth="1"/>
    <col min="6916" max="6916" width="8.140625" style="963" bestFit="1" customWidth="1"/>
    <col min="6917" max="6917" width="14" style="963" bestFit="1" customWidth="1"/>
    <col min="6918" max="6918" width="15.5703125" style="963" bestFit="1" customWidth="1"/>
    <col min="6919" max="6922" width="14.5703125" style="963" bestFit="1" customWidth="1"/>
    <col min="6923" max="6923" width="16" style="963" bestFit="1" customWidth="1"/>
    <col min="6924" max="7168" width="9.140625" style="963"/>
    <col min="7169" max="7169" width="5" style="963" customWidth="1"/>
    <col min="7170" max="7170" width="44.140625" style="963" customWidth="1"/>
    <col min="7171" max="7171" width="7" style="963" customWidth="1"/>
    <col min="7172" max="7172" width="8.140625" style="963" bestFit="1" customWidth="1"/>
    <col min="7173" max="7173" width="14" style="963" bestFit="1" customWidth="1"/>
    <col min="7174" max="7174" width="15.5703125" style="963" bestFit="1" customWidth="1"/>
    <col min="7175" max="7178" width="14.5703125" style="963" bestFit="1" customWidth="1"/>
    <col min="7179" max="7179" width="16" style="963" bestFit="1" customWidth="1"/>
    <col min="7180" max="7424" width="9.140625" style="963"/>
    <col min="7425" max="7425" width="5" style="963" customWidth="1"/>
    <col min="7426" max="7426" width="44.140625" style="963" customWidth="1"/>
    <col min="7427" max="7427" width="7" style="963" customWidth="1"/>
    <col min="7428" max="7428" width="8.140625" style="963" bestFit="1" customWidth="1"/>
    <col min="7429" max="7429" width="14" style="963" bestFit="1" customWidth="1"/>
    <col min="7430" max="7430" width="15.5703125" style="963" bestFit="1" customWidth="1"/>
    <col min="7431" max="7434" width="14.5703125" style="963" bestFit="1" customWidth="1"/>
    <col min="7435" max="7435" width="16" style="963" bestFit="1" customWidth="1"/>
    <col min="7436" max="7680" width="9.140625" style="963"/>
    <col min="7681" max="7681" width="5" style="963" customWidth="1"/>
    <col min="7682" max="7682" width="44.140625" style="963" customWidth="1"/>
    <col min="7683" max="7683" width="7" style="963" customWidth="1"/>
    <col min="7684" max="7684" width="8.140625" style="963" bestFit="1" customWidth="1"/>
    <col min="7685" max="7685" width="14" style="963" bestFit="1" customWidth="1"/>
    <col min="7686" max="7686" width="15.5703125" style="963" bestFit="1" customWidth="1"/>
    <col min="7687" max="7690" width="14.5703125" style="963" bestFit="1" customWidth="1"/>
    <col min="7691" max="7691" width="16" style="963" bestFit="1" customWidth="1"/>
    <col min="7692" max="7936" width="9.140625" style="963"/>
    <col min="7937" max="7937" width="5" style="963" customWidth="1"/>
    <col min="7938" max="7938" width="44.140625" style="963" customWidth="1"/>
    <col min="7939" max="7939" width="7" style="963" customWidth="1"/>
    <col min="7940" max="7940" width="8.140625" style="963" bestFit="1" customWidth="1"/>
    <col min="7941" max="7941" width="14" style="963" bestFit="1" customWidth="1"/>
    <col min="7942" max="7942" width="15.5703125" style="963" bestFit="1" customWidth="1"/>
    <col min="7943" max="7946" width="14.5703125" style="963" bestFit="1" customWidth="1"/>
    <col min="7947" max="7947" width="16" style="963" bestFit="1" customWidth="1"/>
    <col min="7948" max="8192" width="9.140625" style="963"/>
    <col min="8193" max="8193" width="5" style="963" customWidth="1"/>
    <col min="8194" max="8194" width="44.140625" style="963" customWidth="1"/>
    <col min="8195" max="8195" width="7" style="963" customWidth="1"/>
    <col min="8196" max="8196" width="8.140625" style="963" bestFit="1" customWidth="1"/>
    <col min="8197" max="8197" width="14" style="963" bestFit="1" customWidth="1"/>
    <col min="8198" max="8198" width="15.5703125" style="963" bestFit="1" customWidth="1"/>
    <col min="8199" max="8202" width="14.5703125" style="963" bestFit="1" customWidth="1"/>
    <col min="8203" max="8203" width="16" style="963" bestFit="1" customWidth="1"/>
    <col min="8204" max="8448" width="9.140625" style="963"/>
    <col min="8449" max="8449" width="5" style="963" customWidth="1"/>
    <col min="8450" max="8450" width="44.140625" style="963" customWidth="1"/>
    <col min="8451" max="8451" width="7" style="963" customWidth="1"/>
    <col min="8452" max="8452" width="8.140625" style="963" bestFit="1" customWidth="1"/>
    <col min="8453" max="8453" width="14" style="963" bestFit="1" customWidth="1"/>
    <col min="8454" max="8454" width="15.5703125" style="963" bestFit="1" customWidth="1"/>
    <col min="8455" max="8458" width="14.5703125" style="963" bestFit="1" customWidth="1"/>
    <col min="8459" max="8459" width="16" style="963" bestFit="1" customWidth="1"/>
    <col min="8460" max="8704" width="9.140625" style="963"/>
    <col min="8705" max="8705" width="5" style="963" customWidth="1"/>
    <col min="8706" max="8706" width="44.140625" style="963" customWidth="1"/>
    <col min="8707" max="8707" width="7" style="963" customWidth="1"/>
    <col min="8708" max="8708" width="8.140625" style="963" bestFit="1" customWidth="1"/>
    <col min="8709" max="8709" width="14" style="963" bestFit="1" customWidth="1"/>
    <col min="8710" max="8710" width="15.5703125" style="963" bestFit="1" customWidth="1"/>
    <col min="8711" max="8714" width="14.5703125" style="963" bestFit="1" customWidth="1"/>
    <col min="8715" max="8715" width="16" style="963" bestFit="1" customWidth="1"/>
    <col min="8716" max="8960" width="9.140625" style="963"/>
    <col min="8961" max="8961" width="5" style="963" customWidth="1"/>
    <col min="8962" max="8962" width="44.140625" style="963" customWidth="1"/>
    <col min="8963" max="8963" width="7" style="963" customWidth="1"/>
    <col min="8964" max="8964" width="8.140625" style="963" bestFit="1" customWidth="1"/>
    <col min="8965" max="8965" width="14" style="963" bestFit="1" customWidth="1"/>
    <col min="8966" max="8966" width="15.5703125" style="963" bestFit="1" customWidth="1"/>
    <col min="8967" max="8970" width="14.5703125" style="963" bestFit="1" customWidth="1"/>
    <col min="8971" max="8971" width="16" style="963" bestFit="1" customWidth="1"/>
    <col min="8972" max="9216" width="9.140625" style="963"/>
    <col min="9217" max="9217" width="5" style="963" customWidth="1"/>
    <col min="9218" max="9218" width="44.140625" style="963" customWidth="1"/>
    <col min="9219" max="9219" width="7" style="963" customWidth="1"/>
    <col min="9220" max="9220" width="8.140625" style="963" bestFit="1" customWidth="1"/>
    <col min="9221" max="9221" width="14" style="963" bestFit="1" customWidth="1"/>
    <col min="9222" max="9222" width="15.5703125" style="963" bestFit="1" customWidth="1"/>
    <col min="9223" max="9226" width="14.5703125" style="963" bestFit="1" customWidth="1"/>
    <col min="9227" max="9227" width="16" style="963" bestFit="1" customWidth="1"/>
    <col min="9228" max="9472" width="9.140625" style="963"/>
    <col min="9473" max="9473" width="5" style="963" customWidth="1"/>
    <col min="9474" max="9474" width="44.140625" style="963" customWidth="1"/>
    <col min="9475" max="9475" width="7" style="963" customWidth="1"/>
    <col min="9476" max="9476" width="8.140625" style="963" bestFit="1" customWidth="1"/>
    <col min="9477" max="9477" width="14" style="963" bestFit="1" customWidth="1"/>
    <col min="9478" max="9478" width="15.5703125" style="963" bestFit="1" customWidth="1"/>
    <col min="9479" max="9482" width="14.5703125" style="963" bestFit="1" customWidth="1"/>
    <col min="9483" max="9483" width="16" style="963" bestFit="1" customWidth="1"/>
    <col min="9484" max="9728" width="9.140625" style="963"/>
    <col min="9729" max="9729" width="5" style="963" customWidth="1"/>
    <col min="9730" max="9730" width="44.140625" style="963" customWidth="1"/>
    <col min="9731" max="9731" width="7" style="963" customWidth="1"/>
    <col min="9732" max="9732" width="8.140625" style="963" bestFit="1" customWidth="1"/>
    <col min="9733" max="9733" width="14" style="963" bestFit="1" customWidth="1"/>
    <col min="9734" max="9734" width="15.5703125" style="963" bestFit="1" customWidth="1"/>
    <col min="9735" max="9738" width="14.5703125" style="963" bestFit="1" customWidth="1"/>
    <col min="9739" max="9739" width="16" style="963" bestFit="1" customWidth="1"/>
    <col min="9740" max="9984" width="9.140625" style="963"/>
    <col min="9985" max="9985" width="5" style="963" customWidth="1"/>
    <col min="9986" max="9986" width="44.140625" style="963" customWidth="1"/>
    <col min="9987" max="9987" width="7" style="963" customWidth="1"/>
    <col min="9988" max="9988" width="8.140625" style="963" bestFit="1" customWidth="1"/>
    <col min="9989" max="9989" width="14" style="963" bestFit="1" customWidth="1"/>
    <col min="9990" max="9990" width="15.5703125" style="963" bestFit="1" customWidth="1"/>
    <col min="9991" max="9994" width="14.5703125" style="963" bestFit="1" customWidth="1"/>
    <col min="9995" max="9995" width="16" style="963" bestFit="1" customWidth="1"/>
    <col min="9996" max="10240" width="9.140625" style="963"/>
    <col min="10241" max="10241" width="5" style="963" customWidth="1"/>
    <col min="10242" max="10242" width="44.140625" style="963" customWidth="1"/>
    <col min="10243" max="10243" width="7" style="963" customWidth="1"/>
    <col min="10244" max="10244" width="8.140625" style="963" bestFit="1" customWidth="1"/>
    <col min="10245" max="10245" width="14" style="963" bestFit="1" customWidth="1"/>
    <col min="10246" max="10246" width="15.5703125" style="963" bestFit="1" customWidth="1"/>
    <col min="10247" max="10250" width="14.5703125" style="963" bestFit="1" customWidth="1"/>
    <col min="10251" max="10251" width="16" style="963" bestFit="1" customWidth="1"/>
    <col min="10252" max="10496" width="9.140625" style="963"/>
    <col min="10497" max="10497" width="5" style="963" customWidth="1"/>
    <col min="10498" max="10498" width="44.140625" style="963" customWidth="1"/>
    <col min="10499" max="10499" width="7" style="963" customWidth="1"/>
    <col min="10500" max="10500" width="8.140625" style="963" bestFit="1" customWidth="1"/>
    <col min="10501" max="10501" width="14" style="963" bestFit="1" customWidth="1"/>
    <col min="10502" max="10502" width="15.5703125" style="963" bestFit="1" customWidth="1"/>
    <col min="10503" max="10506" width="14.5703125" style="963" bestFit="1" customWidth="1"/>
    <col min="10507" max="10507" width="16" style="963" bestFit="1" customWidth="1"/>
    <col min="10508" max="10752" width="9.140625" style="963"/>
    <col min="10753" max="10753" width="5" style="963" customWidth="1"/>
    <col min="10754" max="10754" width="44.140625" style="963" customWidth="1"/>
    <col min="10755" max="10755" width="7" style="963" customWidth="1"/>
    <col min="10756" max="10756" width="8.140625" style="963" bestFit="1" customWidth="1"/>
    <col min="10757" max="10757" width="14" style="963" bestFit="1" customWidth="1"/>
    <col min="10758" max="10758" width="15.5703125" style="963" bestFit="1" customWidth="1"/>
    <col min="10759" max="10762" width="14.5703125" style="963" bestFit="1" customWidth="1"/>
    <col min="10763" max="10763" width="16" style="963" bestFit="1" customWidth="1"/>
    <col min="10764" max="11008" width="9.140625" style="963"/>
    <col min="11009" max="11009" width="5" style="963" customWidth="1"/>
    <col min="11010" max="11010" width="44.140625" style="963" customWidth="1"/>
    <col min="11011" max="11011" width="7" style="963" customWidth="1"/>
    <col min="11012" max="11012" width="8.140625" style="963" bestFit="1" customWidth="1"/>
    <col min="11013" max="11013" width="14" style="963" bestFit="1" customWidth="1"/>
    <col min="11014" max="11014" width="15.5703125" style="963" bestFit="1" customWidth="1"/>
    <col min="11015" max="11018" width="14.5703125" style="963" bestFit="1" customWidth="1"/>
    <col min="11019" max="11019" width="16" style="963" bestFit="1" customWidth="1"/>
    <col min="11020" max="11264" width="9.140625" style="963"/>
    <col min="11265" max="11265" width="5" style="963" customWidth="1"/>
    <col min="11266" max="11266" width="44.140625" style="963" customWidth="1"/>
    <col min="11267" max="11267" width="7" style="963" customWidth="1"/>
    <col min="11268" max="11268" width="8.140625" style="963" bestFit="1" customWidth="1"/>
    <col min="11269" max="11269" width="14" style="963" bestFit="1" customWidth="1"/>
    <col min="11270" max="11270" width="15.5703125" style="963" bestFit="1" customWidth="1"/>
    <col min="11271" max="11274" width="14.5703125" style="963" bestFit="1" customWidth="1"/>
    <col min="11275" max="11275" width="16" style="963" bestFit="1" customWidth="1"/>
    <col min="11276" max="11520" width="9.140625" style="963"/>
    <col min="11521" max="11521" width="5" style="963" customWidth="1"/>
    <col min="11522" max="11522" width="44.140625" style="963" customWidth="1"/>
    <col min="11523" max="11523" width="7" style="963" customWidth="1"/>
    <col min="11524" max="11524" width="8.140625" style="963" bestFit="1" customWidth="1"/>
    <col min="11525" max="11525" width="14" style="963" bestFit="1" customWidth="1"/>
    <col min="11526" max="11526" width="15.5703125" style="963" bestFit="1" customWidth="1"/>
    <col min="11527" max="11530" width="14.5703125" style="963" bestFit="1" customWidth="1"/>
    <col min="11531" max="11531" width="16" style="963" bestFit="1" customWidth="1"/>
    <col min="11532" max="11776" width="9.140625" style="963"/>
    <col min="11777" max="11777" width="5" style="963" customWidth="1"/>
    <col min="11778" max="11778" width="44.140625" style="963" customWidth="1"/>
    <col min="11779" max="11779" width="7" style="963" customWidth="1"/>
    <col min="11780" max="11780" width="8.140625" style="963" bestFit="1" customWidth="1"/>
    <col min="11781" max="11781" width="14" style="963" bestFit="1" customWidth="1"/>
    <col min="11782" max="11782" width="15.5703125" style="963" bestFit="1" customWidth="1"/>
    <col min="11783" max="11786" width="14.5703125" style="963" bestFit="1" customWidth="1"/>
    <col min="11787" max="11787" width="16" style="963" bestFit="1" customWidth="1"/>
    <col min="11788" max="12032" width="9.140625" style="963"/>
    <col min="12033" max="12033" width="5" style="963" customWidth="1"/>
    <col min="12034" max="12034" width="44.140625" style="963" customWidth="1"/>
    <col min="12035" max="12035" width="7" style="963" customWidth="1"/>
    <col min="12036" max="12036" width="8.140625" style="963" bestFit="1" customWidth="1"/>
    <col min="12037" max="12037" width="14" style="963" bestFit="1" customWidth="1"/>
    <col min="12038" max="12038" width="15.5703125" style="963" bestFit="1" customWidth="1"/>
    <col min="12039" max="12042" width="14.5703125" style="963" bestFit="1" customWidth="1"/>
    <col min="12043" max="12043" width="16" style="963" bestFit="1" customWidth="1"/>
    <col min="12044" max="12288" width="9.140625" style="963"/>
    <col min="12289" max="12289" width="5" style="963" customWidth="1"/>
    <col min="12290" max="12290" width="44.140625" style="963" customWidth="1"/>
    <col min="12291" max="12291" width="7" style="963" customWidth="1"/>
    <col min="12292" max="12292" width="8.140625" style="963" bestFit="1" customWidth="1"/>
    <col min="12293" max="12293" width="14" style="963" bestFit="1" customWidth="1"/>
    <col min="12294" max="12294" width="15.5703125" style="963" bestFit="1" customWidth="1"/>
    <col min="12295" max="12298" width="14.5703125" style="963" bestFit="1" customWidth="1"/>
    <col min="12299" max="12299" width="16" style="963" bestFit="1" customWidth="1"/>
    <col min="12300" max="12544" width="9.140625" style="963"/>
    <col min="12545" max="12545" width="5" style="963" customWidth="1"/>
    <col min="12546" max="12546" width="44.140625" style="963" customWidth="1"/>
    <col min="12547" max="12547" width="7" style="963" customWidth="1"/>
    <col min="12548" max="12548" width="8.140625" style="963" bestFit="1" customWidth="1"/>
    <col min="12549" max="12549" width="14" style="963" bestFit="1" customWidth="1"/>
    <col min="12550" max="12550" width="15.5703125" style="963" bestFit="1" customWidth="1"/>
    <col min="12551" max="12554" width="14.5703125" style="963" bestFit="1" customWidth="1"/>
    <col min="12555" max="12555" width="16" style="963" bestFit="1" customWidth="1"/>
    <col min="12556" max="12800" width="9.140625" style="963"/>
    <col min="12801" max="12801" width="5" style="963" customWidth="1"/>
    <col min="12802" max="12802" width="44.140625" style="963" customWidth="1"/>
    <col min="12803" max="12803" width="7" style="963" customWidth="1"/>
    <col min="12804" max="12804" width="8.140625" style="963" bestFit="1" customWidth="1"/>
    <col min="12805" max="12805" width="14" style="963" bestFit="1" customWidth="1"/>
    <col min="12806" max="12806" width="15.5703125" style="963" bestFit="1" customWidth="1"/>
    <col min="12807" max="12810" width="14.5703125" style="963" bestFit="1" customWidth="1"/>
    <col min="12811" max="12811" width="16" style="963" bestFit="1" customWidth="1"/>
    <col min="12812" max="13056" width="9.140625" style="963"/>
    <col min="13057" max="13057" width="5" style="963" customWidth="1"/>
    <col min="13058" max="13058" width="44.140625" style="963" customWidth="1"/>
    <col min="13059" max="13059" width="7" style="963" customWidth="1"/>
    <col min="13060" max="13060" width="8.140625" style="963" bestFit="1" customWidth="1"/>
    <col min="13061" max="13061" width="14" style="963" bestFit="1" customWidth="1"/>
    <col min="13062" max="13062" width="15.5703125" style="963" bestFit="1" customWidth="1"/>
    <col min="13063" max="13066" width="14.5703125" style="963" bestFit="1" customWidth="1"/>
    <col min="13067" max="13067" width="16" style="963" bestFit="1" customWidth="1"/>
    <col min="13068" max="13312" width="9.140625" style="963"/>
    <col min="13313" max="13313" width="5" style="963" customWidth="1"/>
    <col min="13314" max="13314" width="44.140625" style="963" customWidth="1"/>
    <col min="13315" max="13315" width="7" style="963" customWidth="1"/>
    <col min="13316" max="13316" width="8.140625" style="963" bestFit="1" customWidth="1"/>
    <col min="13317" max="13317" width="14" style="963" bestFit="1" customWidth="1"/>
    <col min="13318" max="13318" width="15.5703125" style="963" bestFit="1" customWidth="1"/>
    <col min="13319" max="13322" width="14.5703125" style="963" bestFit="1" customWidth="1"/>
    <col min="13323" max="13323" width="16" style="963" bestFit="1" customWidth="1"/>
    <col min="13324" max="13568" width="9.140625" style="963"/>
    <col min="13569" max="13569" width="5" style="963" customWidth="1"/>
    <col min="13570" max="13570" width="44.140625" style="963" customWidth="1"/>
    <col min="13571" max="13571" width="7" style="963" customWidth="1"/>
    <col min="13572" max="13572" width="8.140625" style="963" bestFit="1" customWidth="1"/>
    <col min="13573" max="13573" width="14" style="963" bestFit="1" customWidth="1"/>
    <col min="13574" max="13574" width="15.5703125" style="963" bestFit="1" customWidth="1"/>
    <col min="13575" max="13578" width="14.5703125" style="963" bestFit="1" customWidth="1"/>
    <col min="13579" max="13579" width="16" style="963" bestFit="1" customWidth="1"/>
    <col min="13580" max="13824" width="9.140625" style="963"/>
    <col min="13825" max="13825" width="5" style="963" customWidth="1"/>
    <col min="13826" max="13826" width="44.140625" style="963" customWidth="1"/>
    <col min="13827" max="13827" width="7" style="963" customWidth="1"/>
    <col min="13828" max="13828" width="8.140625" style="963" bestFit="1" customWidth="1"/>
    <col min="13829" max="13829" width="14" style="963" bestFit="1" customWidth="1"/>
    <col min="13830" max="13830" width="15.5703125" style="963" bestFit="1" customWidth="1"/>
    <col min="13831" max="13834" width="14.5703125" style="963" bestFit="1" customWidth="1"/>
    <col min="13835" max="13835" width="16" style="963" bestFit="1" customWidth="1"/>
    <col min="13836" max="14080" width="9.140625" style="963"/>
    <col min="14081" max="14081" width="5" style="963" customWidth="1"/>
    <col min="14082" max="14082" width="44.140625" style="963" customWidth="1"/>
    <col min="14083" max="14083" width="7" style="963" customWidth="1"/>
    <col min="14084" max="14084" width="8.140625" style="963" bestFit="1" customWidth="1"/>
    <col min="14085" max="14085" width="14" style="963" bestFit="1" customWidth="1"/>
    <col min="14086" max="14086" width="15.5703125" style="963" bestFit="1" customWidth="1"/>
    <col min="14087" max="14090" width="14.5703125" style="963" bestFit="1" customWidth="1"/>
    <col min="14091" max="14091" width="16" style="963" bestFit="1" customWidth="1"/>
    <col min="14092" max="14336" width="9.140625" style="963"/>
    <col min="14337" max="14337" width="5" style="963" customWidth="1"/>
    <col min="14338" max="14338" width="44.140625" style="963" customWidth="1"/>
    <col min="14339" max="14339" width="7" style="963" customWidth="1"/>
    <col min="14340" max="14340" width="8.140625" style="963" bestFit="1" customWidth="1"/>
    <col min="14341" max="14341" width="14" style="963" bestFit="1" customWidth="1"/>
    <col min="14342" max="14342" width="15.5703125" style="963" bestFit="1" customWidth="1"/>
    <col min="14343" max="14346" width="14.5703125" style="963" bestFit="1" customWidth="1"/>
    <col min="14347" max="14347" width="16" style="963" bestFit="1" customWidth="1"/>
    <col min="14348" max="14592" width="9.140625" style="963"/>
    <col min="14593" max="14593" width="5" style="963" customWidth="1"/>
    <col min="14594" max="14594" width="44.140625" style="963" customWidth="1"/>
    <col min="14595" max="14595" width="7" style="963" customWidth="1"/>
    <col min="14596" max="14596" width="8.140625" style="963" bestFit="1" customWidth="1"/>
    <col min="14597" max="14597" width="14" style="963" bestFit="1" customWidth="1"/>
    <col min="14598" max="14598" width="15.5703125" style="963" bestFit="1" customWidth="1"/>
    <col min="14599" max="14602" width="14.5703125" style="963" bestFit="1" customWidth="1"/>
    <col min="14603" max="14603" width="16" style="963" bestFit="1" customWidth="1"/>
    <col min="14604" max="14848" width="9.140625" style="963"/>
    <col min="14849" max="14849" width="5" style="963" customWidth="1"/>
    <col min="14850" max="14850" width="44.140625" style="963" customWidth="1"/>
    <col min="14851" max="14851" width="7" style="963" customWidth="1"/>
    <col min="14852" max="14852" width="8.140625" style="963" bestFit="1" customWidth="1"/>
    <col min="14853" max="14853" width="14" style="963" bestFit="1" customWidth="1"/>
    <col min="14854" max="14854" width="15.5703125" style="963" bestFit="1" customWidth="1"/>
    <col min="14855" max="14858" width="14.5703125" style="963" bestFit="1" customWidth="1"/>
    <col min="14859" max="14859" width="16" style="963" bestFit="1" customWidth="1"/>
    <col min="14860" max="15104" width="9.140625" style="963"/>
    <col min="15105" max="15105" width="5" style="963" customWidth="1"/>
    <col min="15106" max="15106" width="44.140625" style="963" customWidth="1"/>
    <col min="15107" max="15107" width="7" style="963" customWidth="1"/>
    <col min="15108" max="15108" width="8.140625" style="963" bestFit="1" customWidth="1"/>
    <col min="15109" max="15109" width="14" style="963" bestFit="1" customWidth="1"/>
    <col min="15110" max="15110" width="15.5703125" style="963" bestFit="1" customWidth="1"/>
    <col min="15111" max="15114" width="14.5703125" style="963" bestFit="1" customWidth="1"/>
    <col min="15115" max="15115" width="16" style="963" bestFit="1" customWidth="1"/>
    <col min="15116" max="15360" width="9.140625" style="963"/>
    <col min="15361" max="15361" width="5" style="963" customWidth="1"/>
    <col min="15362" max="15362" width="44.140625" style="963" customWidth="1"/>
    <col min="15363" max="15363" width="7" style="963" customWidth="1"/>
    <col min="15364" max="15364" width="8.140625" style="963" bestFit="1" customWidth="1"/>
    <col min="15365" max="15365" width="14" style="963" bestFit="1" customWidth="1"/>
    <col min="15366" max="15366" width="15.5703125" style="963" bestFit="1" customWidth="1"/>
    <col min="15367" max="15370" width="14.5703125" style="963" bestFit="1" customWidth="1"/>
    <col min="15371" max="15371" width="16" style="963" bestFit="1" customWidth="1"/>
    <col min="15372" max="15616" width="9.140625" style="963"/>
    <col min="15617" max="15617" width="5" style="963" customWidth="1"/>
    <col min="15618" max="15618" width="44.140625" style="963" customWidth="1"/>
    <col min="15619" max="15619" width="7" style="963" customWidth="1"/>
    <col min="15620" max="15620" width="8.140625" style="963" bestFit="1" customWidth="1"/>
    <col min="15621" max="15621" width="14" style="963" bestFit="1" customWidth="1"/>
    <col min="15622" max="15622" width="15.5703125" style="963" bestFit="1" customWidth="1"/>
    <col min="15623" max="15626" width="14.5703125" style="963" bestFit="1" customWidth="1"/>
    <col min="15627" max="15627" width="16" style="963" bestFit="1" customWidth="1"/>
    <col min="15628" max="15872" width="9.140625" style="963"/>
    <col min="15873" max="15873" width="5" style="963" customWidth="1"/>
    <col min="15874" max="15874" width="44.140625" style="963" customWidth="1"/>
    <col min="15875" max="15875" width="7" style="963" customWidth="1"/>
    <col min="15876" max="15876" width="8.140625" style="963" bestFit="1" customWidth="1"/>
    <col min="15877" max="15877" width="14" style="963" bestFit="1" customWidth="1"/>
    <col min="15878" max="15878" width="15.5703125" style="963" bestFit="1" customWidth="1"/>
    <col min="15879" max="15882" width="14.5703125" style="963" bestFit="1" customWidth="1"/>
    <col min="15883" max="15883" width="16" style="963" bestFit="1" customWidth="1"/>
    <col min="15884" max="16128" width="9.140625" style="963"/>
    <col min="16129" max="16129" width="5" style="963" customWidth="1"/>
    <col min="16130" max="16130" width="44.140625" style="963" customWidth="1"/>
    <col min="16131" max="16131" width="7" style="963" customWidth="1"/>
    <col min="16132" max="16132" width="8.140625" style="963" bestFit="1" customWidth="1"/>
    <col min="16133" max="16133" width="14" style="963" bestFit="1" customWidth="1"/>
    <col min="16134" max="16134" width="15.5703125" style="963" bestFit="1" customWidth="1"/>
    <col min="16135" max="16138" width="14.5703125" style="963" bestFit="1" customWidth="1"/>
    <col min="16139" max="16139" width="16" style="963" bestFit="1" customWidth="1"/>
    <col min="16140" max="16384" width="9.140625" style="963"/>
  </cols>
  <sheetData>
    <row r="1" spans="1:12">
      <c r="C1" s="1271" t="s">
        <v>2180</v>
      </c>
      <c r="G1" s="1382" t="s">
        <v>1020</v>
      </c>
    </row>
    <row r="4" spans="1:12">
      <c r="B4" s="1229"/>
      <c r="C4" s="1232"/>
      <c r="D4" s="1232"/>
    </row>
    <row r="5" spans="1:12">
      <c r="A5" s="2332"/>
      <c r="B5" s="2332" t="s">
        <v>2179</v>
      </c>
      <c r="C5" s="2332" t="s">
        <v>1056</v>
      </c>
      <c r="D5" s="2646" t="s">
        <v>2178</v>
      </c>
      <c r="E5" s="2646"/>
      <c r="F5" s="1236"/>
      <c r="G5" s="1236"/>
      <c r="H5" s="1236"/>
      <c r="I5" s="1236"/>
      <c r="J5" s="1236"/>
      <c r="K5" s="2332" t="s">
        <v>253</v>
      </c>
    </row>
    <row r="6" spans="1:12" ht="49.5">
      <c r="A6" s="2332"/>
      <c r="B6" s="1238" t="s">
        <v>2177</v>
      </c>
      <c r="C6" s="1103"/>
      <c r="D6" s="2642"/>
      <c r="E6" s="2642"/>
      <c r="F6" s="1103"/>
      <c r="G6" s="1236"/>
      <c r="H6" s="1236"/>
      <c r="I6" s="1236"/>
      <c r="J6" s="1236"/>
      <c r="K6" s="1236"/>
    </row>
    <row r="7" spans="1:12">
      <c r="A7" s="1270"/>
      <c r="B7" s="1269" t="s">
        <v>25</v>
      </c>
      <c r="C7" s="1103" t="s">
        <v>1539</v>
      </c>
      <c r="D7" s="2642">
        <v>3146117661</v>
      </c>
      <c r="E7" s="2642"/>
      <c r="F7" s="1103"/>
      <c r="G7" s="1236"/>
      <c r="H7" s="1236"/>
      <c r="I7" s="1236"/>
      <c r="J7" s="1236"/>
      <c r="K7" s="1267">
        <v>3146117661</v>
      </c>
      <c r="L7" s="1266"/>
    </row>
    <row r="8" spans="1:12">
      <c r="A8" s="2332"/>
      <c r="B8" s="1268" t="s">
        <v>559</v>
      </c>
      <c r="C8" s="1103" t="s">
        <v>1539</v>
      </c>
      <c r="D8" s="2642">
        <v>1146117661</v>
      </c>
      <c r="E8" s="2642">
        <v>1146117661</v>
      </c>
      <c r="F8" s="1103"/>
      <c r="G8" s="1236"/>
      <c r="H8" s="1236"/>
      <c r="I8" s="1236"/>
      <c r="J8" s="1236"/>
      <c r="K8" s="1267">
        <v>1146117661</v>
      </c>
      <c r="L8" s="1266"/>
    </row>
    <row r="9" spans="1:12">
      <c r="A9" s="2332"/>
      <c r="B9" s="1268" t="s">
        <v>357</v>
      </c>
      <c r="C9" s="1103" t="s">
        <v>1539</v>
      </c>
      <c r="D9" s="2642">
        <v>2000000000</v>
      </c>
      <c r="E9" s="2642">
        <v>2000000000</v>
      </c>
      <c r="F9" s="1103"/>
      <c r="G9" s="1236"/>
      <c r="H9" s="1236"/>
      <c r="I9" s="1236"/>
      <c r="J9" s="1236"/>
      <c r="K9" s="1267">
        <v>2000000000</v>
      </c>
      <c r="L9" s="1266"/>
    </row>
    <row r="10" spans="1:12">
      <c r="A10" s="2332" t="s">
        <v>1058</v>
      </c>
      <c r="B10" s="2332" t="s">
        <v>14</v>
      </c>
      <c r="C10" s="2332" t="s">
        <v>1056</v>
      </c>
      <c r="D10" s="2332" t="s">
        <v>1</v>
      </c>
      <c r="E10" s="2332" t="s">
        <v>3</v>
      </c>
      <c r="F10" s="2332" t="s">
        <v>1035</v>
      </c>
      <c r="G10" s="2332" t="s">
        <v>1034</v>
      </c>
      <c r="H10" s="2332" t="s">
        <v>1033</v>
      </c>
      <c r="I10" s="2332" t="s">
        <v>1508</v>
      </c>
      <c r="J10" s="2332" t="s">
        <v>1677</v>
      </c>
      <c r="K10" s="2332" t="s">
        <v>253</v>
      </c>
    </row>
    <row r="11" spans="1:12" s="1261" customFormat="1">
      <c r="A11" s="1264" t="s">
        <v>109</v>
      </c>
      <c r="B11" s="1265" t="s">
        <v>2176</v>
      </c>
      <c r="C11" s="1264"/>
      <c r="D11" s="1264"/>
      <c r="E11" s="1264"/>
      <c r="F11" s="1264"/>
      <c r="G11" s="1263"/>
      <c r="H11" s="1263"/>
      <c r="I11" s="1263"/>
      <c r="J11" s="1263"/>
      <c r="K11" s="1263"/>
      <c r="L11" s="1262"/>
    </row>
    <row r="12" spans="1:12" s="1254" customFormat="1">
      <c r="A12" s="1258" t="s">
        <v>480</v>
      </c>
      <c r="B12" s="1260" t="s">
        <v>2175</v>
      </c>
      <c r="C12" s="1246"/>
      <c r="D12" s="1259"/>
      <c r="E12" s="1244"/>
      <c r="F12" s="1244">
        <f>F13+F53+F57</f>
        <v>7040000000</v>
      </c>
      <c r="G12" s="1244">
        <f t="shared" ref="G12:J31" si="0">F12</f>
        <v>7040000000</v>
      </c>
      <c r="H12" s="1244">
        <f t="shared" si="0"/>
        <v>7040000000</v>
      </c>
      <c r="I12" s="1244">
        <f t="shared" si="0"/>
        <v>7040000000</v>
      </c>
      <c r="J12" s="1244">
        <f t="shared" si="0"/>
        <v>7040000000</v>
      </c>
      <c r="K12" s="1244">
        <f t="shared" ref="K12:K43" si="1">SUM(F12:J12)</f>
        <v>35200000000</v>
      </c>
      <c r="L12" s="1255"/>
    </row>
    <row r="13" spans="1:12" s="1232" customFormat="1">
      <c r="A13" s="1251" t="s">
        <v>2174</v>
      </c>
      <c r="B13" s="1250" t="s">
        <v>2173</v>
      </c>
      <c r="C13" s="1251" t="s">
        <v>190</v>
      </c>
      <c r="D13" s="1251"/>
      <c r="E13" s="1250"/>
      <c r="F13" s="1250">
        <f>F14+F27+F40</f>
        <v>6838800000</v>
      </c>
      <c r="G13" s="1244">
        <f t="shared" si="0"/>
        <v>6838800000</v>
      </c>
      <c r="H13" s="1244">
        <f t="shared" si="0"/>
        <v>6838800000</v>
      </c>
      <c r="I13" s="1244">
        <f t="shared" si="0"/>
        <v>6838800000</v>
      </c>
      <c r="J13" s="1244">
        <f t="shared" si="0"/>
        <v>6838800000</v>
      </c>
      <c r="K13" s="1244">
        <f t="shared" si="1"/>
        <v>34194000000</v>
      </c>
      <c r="L13" s="1233"/>
    </row>
    <row r="14" spans="1:12">
      <c r="A14" s="1237" t="s">
        <v>30</v>
      </c>
      <c r="B14" s="1250" t="s">
        <v>2172</v>
      </c>
      <c r="C14" s="1251"/>
      <c r="D14" s="1251"/>
      <c r="E14" s="1250"/>
      <c r="F14" s="1250">
        <f>SUM(F15:F26)</f>
        <v>2200200000</v>
      </c>
      <c r="G14" s="1244">
        <f t="shared" si="0"/>
        <v>2200200000</v>
      </c>
      <c r="H14" s="1244">
        <f t="shared" si="0"/>
        <v>2200200000</v>
      </c>
      <c r="I14" s="1244">
        <f t="shared" si="0"/>
        <v>2200200000</v>
      </c>
      <c r="J14" s="1244">
        <f t="shared" si="0"/>
        <v>2200200000</v>
      </c>
      <c r="K14" s="1244">
        <f t="shared" si="1"/>
        <v>11001000000</v>
      </c>
    </row>
    <row r="15" spans="1:12">
      <c r="A15" s="1237">
        <v>1</v>
      </c>
      <c r="B15" s="1248" t="s">
        <v>2167</v>
      </c>
      <c r="C15" s="1237" t="s">
        <v>829</v>
      </c>
      <c r="D15" s="1237">
        <f>220*12</f>
        <v>2640</v>
      </c>
      <c r="E15" s="1248">
        <v>120000</v>
      </c>
      <c r="F15" s="1248">
        <f t="shared" ref="F15:F26" si="2">D15*E15</f>
        <v>316800000</v>
      </c>
      <c r="G15" s="1247">
        <f t="shared" si="0"/>
        <v>316800000</v>
      </c>
      <c r="H15" s="1247">
        <f t="shared" si="0"/>
        <v>316800000</v>
      </c>
      <c r="I15" s="1247">
        <f t="shared" si="0"/>
        <v>316800000</v>
      </c>
      <c r="J15" s="1247">
        <f t="shared" si="0"/>
        <v>316800000</v>
      </c>
      <c r="K15" s="1247">
        <f t="shared" si="1"/>
        <v>1584000000</v>
      </c>
    </row>
    <row r="16" spans="1:12">
      <c r="A16" s="1237">
        <v>2</v>
      </c>
      <c r="B16" s="1248" t="s">
        <v>2166</v>
      </c>
      <c r="C16" s="1237" t="s">
        <v>829</v>
      </c>
      <c r="D16" s="1237">
        <f>120*12</f>
        <v>1440</v>
      </c>
      <c r="E16" s="1248">
        <v>195000</v>
      </c>
      <c r="F16" s="1248">
        <f t="shared" si="2"/>
        <v>280800000</v>
      </c>
      <c r="G16" s="1247">
        <f t="shared" si="0"/>
        <v>280800000</v>
      </c>
      <c r="H16" s="1247">
        <f t="shared" si="0"/>
        <v>280800000</v>
      </c>
      <c r="I16" s="1247">
        <f t="shared" si="0"/>
        <v>280800000</v>
      </c>
      <c r="J16" s="1247">
        <f t="shared" si="0"/>
        <v>280800000</v>
      </c>
      <c r="K16" s="1247">
        <f t="shared" si="1"/>
        <v>1404000000</v>
      </c>
    </row>
    <row r="17" spans="1:11">
      <c r="A17" s="1237">
        <v>3</v>
      </c>
      <c r="B17" s="1248" t="s">
        <v>2134</v>
      </c>
      <c r="C17" s="1237" t="s">
        <v>418</v>
      </c>
      <c r="D17" s="1237">
        <v>500</v>
      </c>
      <c r="E17" s="1248">
        <v>144000</v>
      </c>
      <c r="F17" s="1248">
        <f t="shared" si="2"/>
        <v>72000000</v>
      </c>
      <c r="G17" s="1247">
        <f t="shared" si="0"/>
        <v>72000000</v>
      </c>
      <c r="H17" s="1247">
        <f t="shared" si="0"/>
        <v>72000000</v>
      </c>
      <c r="I17" s="1247">
        <f t="shared" si="0"/>
        <v>72000000</v>
      </c>
      <c r="J17" s="1247">
        <f t="shared" si="0"/>
        <v>72000000</v>
      </c>
      <c r="K17" s="1247">
        <f t="shared" si="1"/>
        <v>360000000</v>
      </c>
    </row>
    <row r="18" spans="1:11">
      <c r="A18" s="1237">
        <v>4</v>
      </c>
      <c r="B18" s="1248" t="s">
        <v>2133</v>
      </c>
      <c r="C18" s="1237" t="s">
        <v>2129</v>
      </c>
      <c r="D18" s="1237">
        <f>80*12</f>
        <v>960</v>
      </c>
      <c r="E18" s="1248">
        <v>190000</v>
      </c>
      <c r="F18" s="1248">
        <f t="shared" si="2"/>
        <v>182400000</v>
      </c>
      <c r="G18" s="1247">
        <f t="shared" si="0"/>
        <v>182400000</v>
      </c>
      <c r="H18" s="1247">
        <f t="shared" si="0"/>
        <v>182400000</v>
      </c>
      <c r="I18" s="1247">
        <f t="shared" si="0"/>
        <v>182400000</v>
      </c>
      <c r="J18" s="1247">
        <f t="shared" si="0"/>
        <v>182400000</v>
      </c>
      <c r="K18" s="1247">
        <f t="shared" si="1"/>
        <v>912000000</v>
      </c>
    </row>
    <row r="19" spans="1:11">
      <c r="A19" s="1237">
        <v>5</v>
      </c>
      <c r="B19" s="1248" t="s">
        <v>2132</v>
      </c>
      <c r="C19" s="1237" t="s">
        <v>2129</v>
      </c>
      <c r="D19" s="1237">
        <f>40*12</f>
        <v>480</v>
      </c>
      <c r="E19" s="1248">
        <v>300000</v>
      </c>
      <c r="F19" s="1248">
        <f t="shared" si="2"/>
        <v>144000000</v>
      </c>
      <c r="G19" s="1247">
        <f t="shared" si="0"/>
        <v>144000000</v>
      </c>
      <c r="H19" s="1247">
        <f t="shared" si="0"/>
        <v>144000000</v>
      </c>
      <c r="I19" s="1247">
        <f t="shared" si="0"/>
        <v>144000000</v>
      </c>
      <c r="J19" s="1247">
        <f t="shared" si="0"/>
        <v>144000000</v>
      </c>
      <c r="K19" s="1247">
        <f t="shared" si="1"/>
        <v>720000000</v>
      </c>
    </row>
    <row r="20" spans="1:11">
      <c r="A20" s="1237">
        <v>6</v>
      </c>
      <c r="B20" s="1248" t="s">
        <v>2140</v>
      </c>
      <c r="C20" s="1237" t="s">
        <v>2129</v>
      </c>
      <c r="D20" s="1237">
        <f>50*12</f>
        <v>600</v>
      </c>
      <c r="E20" s="1248">
        <v>185000</v>
      </c>
      <c r="F20" s="1248">
        <f t="shared" si="2"/>
        <v>111000000</v>
      </c>
      <c r="G20" s="1247">
        <f t="shared" si="0"/>
        <v>111000000</v>
      </c>
      <c r="H20" s="1247">
        <f t="shared" si="0"/>
        <v>111000000</v>
      </c>
      <c r="I20" s="1247">
        <f t="shared" si="0"/>
        <v>111000000</v>
      </c>
      <c r="J20" s="1247">
        <f t="shared" si="0"/>
        <v>111000000</v>
      </c>
      <c r="K20" s="1247">
        <f t="shared" si="1"/>
        <v>555000000</v>
      </c>
    </row>
    <row r="21" spans="1:11">
      <c r="A21" s="1237">
        <v>7</v>
      </c>
      <c r="B21" s="1248" t="s">
        <v>2130</v>
      </c>
      <c r="C21" s="1237" t="s">
        <v>2129</v>
      </c>
      <c r="D21" s="1237">
        <f>10*12</f>
        <v>120</v>
      </c>
      <c r="E21" s="1248">
        <v>310000</v>
      </c>
      <c r="F21" s="1248">
        <f t="shared" si="2"/>
        <v>37200000</v>
      </c>
      <c r="G21" s="1247">
        <f t="shared" si="0"/>
        <v>37200000</v>
      </c>
      <c r="H21" s="1247">
        <f t="shared" si="0"/>
        <v>37200000</v>
      </c>
      <c r="I21" s="1247">
        <f t="shared" si="0"/>
        <v>37200000</v>
      </c>
      <c r="J21" s="1247">
        <f t="shared" si="0"/>
        <v>37200000</v>
      </c>
      <c r="K21" s="1247">
        <f t="shared" si="1"/>
        <v>186000000</v>
      </c>
    </row>
    <row r="22" spans="1:11">
      <c r="A22" s="1237">
        <v>8</v>
      </c>
      <c r="B22" s="1248" t="s">
        <v>2171</v>
      </c>
      <c r="C22" s="1237" t="s">
        <v>190</v>
      </c>
      <c r="D22" s="1237">
        <v>1</v>
      </c>
      <c r="E22" s="1248">
        <f>40000000*12</f>
        <v>480000000</v>
      </c>
      <c r="F22" s="1248">
        <f t="shared" si="2"/>
        <v>480000000</v>
      </c>
      <c r="G22" s="1247">
        <f t="shared" si="0"/>
        <v>480000000</v>
      </c>
      <c r="H22" s="1247">
        <f t="shared" si="0"/>
        <v>480000000</v>
      </c>
      <c r="I22" s="1247">
        <f t="shared" si="0"/>
        <v>480000000</v>
      </c>
      <c r="J22" s="1247">
        <f t="shared" si="0"/>
        <v>480000000</v>
      </c>
      <c r="K22" s="1247">
        <f t="shared" si="1"/>
        <v>2400000000</v>
      </c>
    </row>
    <row r="23" spans="1:11">
      <c r="A23" s="1237">
        <v>9</v>
      </c>
      <c r="B23" s="1248" t="s">
        <v>2170</v>
      </c>
      <c r="C23" s="1237" t="s">
        <v>190</v>
      </c>
      <c r="D23" s="1237">
        <v>1</v>
      </c>
      <c r="E23" s="1248">
        <f>15000000*12</f>
        <v>180000000</v>
      </c>
      <c r="F23" s="1248">
        <f t="shared" si="2"/>
        <v>180000000</v>
      </c>
      <c r="G23" s="1247">
        <f t="shared" si="0"/>
        <v>180000000</v>
      </c>
      <c r="H23" s="1247">
        <f t="shared" si="0"/>
        <v>180000000</v>
      </c>
      <c r="I23" s="1247">
        <f t="shared" si="0"/>
        <v>180000000</v>
      </c>
      <c r="J23" s="1247">
        <f t="shared" si="0"/>
        <v>180000000</v>
      </c>
      <c r="K23" s="1247">
        <f t="shared" si="1"/>
        <v>900000000</v>
      </c>
    </row>
    <row r="24" spans="1:11">
      <c r="A24" s="1237">
        <v>10</v>
      </c>
      <c r="B24" s="1248" t="s">
        <v>2169</v>
      </c>
      <c r="C24" s="1237" t="s">
        <v>190</v>
      </c>
      <c r="D24" s="1237">
        <v>1</v>
      </c>
      <c r="E24" s="1248">
        <v>24000000</v>
      </c>
      <c r="F24" s="1248">
        <f t="shared" si="2"/>
        <v>24000000</v>
      </c>
      <c r="G24" s="1247">
        <f t="shared" si="0"/>
        <v>24000000</v>
      </c>
      <c r="H24" s="1247">
        <f t="shared" si="0"/>
        <v>24000000</v>
      </c>
      <c r="I24" s="1247">
        <f t="shared" si="0"/>
        <v>24000000</v>
      </c>
      <c r="J24" s="1247">
        <f t="shared" si="0"/>
        <v>24000000</v>
      </c>
      <c r="K24" s="1247">
        <f t="shared" si="1"/>
        <v>120000000</v>
      </c>
    </row>
    <row r="25" spans="1:11">
      <c r="A25" s="1237">
        <v>11</v>
      </c>
      <c r="B25" s="1248" t="s">
        <v>2157</v>
      </c>
      <c r="C25" s="1237" t="s">
        <v>190</v>
      </c>
      <c r="D25" s="1237">
        <v>1</v>
      </c>
      <c r="E25" s="1248">
        <f>4*4000000*12</f>
        <v>192000000</v>
      </c>
      <c r="F25" s="1248">
        <f t="shared" si="2"/>
        <v>192000000</v>
      </c>
      <c r="G25" s="1247">
        <f t="shared" si="0"/>
        <v>192000000</v>
      </c>
      <c r="H25" s="1247">
        <f t="shared" si="0"/>
        <v>192000000</v>
      </c>
      <c r="I25" s="1247">
        <f t="shared" si="0"/>
        <v>192000000</v>
      </c>
      <c r="J25" s="1247">
        <f t="shared" si="0"/>
        <v>192000000</v>
      </c>
      <c r="K25" s="1247">
        <f t="shared" si="1"/>
        <v>960000000</v>
      </c>
    </row>
    <row r="26" spans="1:11">
      <c r="A26" s="1237">
        <v>12</v>
      </c>
      <c r="B26" s="1248" t="s">
        <v>2164</v>
      </c>
      <c r="C26" s="1237" t="s">
        <v>190</v>
      </c>
      <c r="D26" s="1237">
        <v>1</v>
      </c>
      <c r="E26" s="1248">
        <f>15000000*12</f>
        <v>180000000</v>
      </c>
      <c r="F26" s="1248">
        <f t="shared" si="2"/>
        <v>180000000</v>
      </c>
      <c r="G26" s="1247">
        <f t="shared" si="0"/>
        <v>180000000</v>
      </c>
      <c r="H26" s="1247">
        <f t="shared" si="0"/>
        <v>180000000</v>
      </c>
      <c r="I26" s="1247">
        <f t="shared" si="0"/>
        <v>180000000</v>
      </c>
      <c r="J26" s="1247">
        <f t="shared" si="0"/>
        <v>180000000</v>
      </c>
      <c r="K26" s="1247">
        <f t="shared" si="1"/>
        <v>900000000</v>
      </c>
    </row>
    <row r="27" spans="1:11">
      <c r="A27" s="1237" t="s">
        <v>30</v>
      </c>
      <c r="B27" s="1250" t="s">
        <v>2168</v>
      </c>
      <c r="C27" s="1251"/>
      <c r="D27" s="1251"/>
      <c r="E27" s="1250"/>
      <c r="F27" s="1250">
        <f>SUM(F28:F39)</f>
        <v>2272200000</v>
      </c>
      <c r="G27" s="1244">
        <f t="shared" si="0"/>
        <v>2272200000</v>
      </c>
      <c r="H27" s="1244">
        <f t="shared" si="0"/>
        <v>2272200000</v>
      </c>
      <c r="I27" s="1244">
        <f t="shared" si="0"/>
        <v>2272200000</v>
      </c>
      <c r="J27" s="1244">
        <f t="shared" si="0"/>
        <v>2272200000</v>
      </c>
      <c r="K27" s="1244">
        <f t="shared" si="1"/>
        <v>11361000000</v>
      </c>
    </row>
    <row r="28" spans="1:11">
      <c r="A28" s="1237">
        <v>1</v>
      </c>
      <c r="B28" s="1248" t="s">
        <v>2167</v>
      </c>
      <c r="C28" s="1237" t="s">
        <v>829</v>
      </c>
      <c r="D28" s="1237">
        <f>220*12</f>
        <v>2640</v>
      </c>
      <c r="E28" s="1248">
        <v>120000</v>
      </c>
      <c r="F28" s="1248">
        <f t="shared" ref="F28:F39" si="3">D28*E28</f>
        <v>316800000</v>
      </c>
      <c r="G28" s="1247">
        <f t="shared" si="0"/>
        <v>316800000</v>
      </c>
      <c r="H28" s="1247">
        <f t="shared" si="0"/>
        <v>316800000</v>
      </c>
      <c r="I28" s="1247">
        <f t="shared" si="0"/>
        <v>316800000</v>
      </c>
      <c r="J28" s="1247">
        <f t="shared" si="0"/>
        <v>316800000</v>
      </c>
      <c r="K28" s="1247">
        <f t="shared" si="1"/>
        <v>1584000000</v>
      </c>
    </row>
    <row r="29" spans="1:11">
      <c r="A29" s="1237">
        <v>2</v>
      </c>
      <c r="B29" s="1248" t="s">
        <v>2166</v>
      </c>
      <c r="C29" s="1237" t="s">
        <v>829</v>
      </c>
      <c r="D29" s="1237">
        <f>120*12</f>
        <v>1440</v>
      </c>
      <c r="E29" s="1248">
        <v>195000</v>
      </c>
      <c r="F29" s="1248">
        <f t="shared" si="3"/>
        <v>280800000</v>
      </c>
      <c r="G29" s="1247">
        <f t="shared" si="0"/>
        <v>280800000</v>
      </c>
      <c r="H29" s="1247">
        <f t="shared" si="0"/>
        <v>280800000</v>
      </c>
      <c r="I29" s="1247">
        <f t="shared" si="0"/>
        <v>280800000</v>
      </c>
      <c r="J29" s="1247">
        <f t="shared" si="0"/>
        <v>280800000</v>
      </c>
      <c r="K29" s="1247">
        <f t="shared" si="1"/>
        <v>1404000000</v>
      </c>
    </row>
    <row r="30" spans="1:11">
      <c r="A30" s="1237">
        <v>3</v>
      </c>
      <c r="B30" s="1248" t="s">
        <v>2134</v>
      </c>
      <c r="C30" s="1237" t="s">
        <v>418</v>
      </c>
      <c r="D30" s="1237">
        <v>500</v>
      </c>
      <c r="E30" s="1248">
        <v>144000</v>
      </c>
      <c r="F30" s="1248">
        <f t="shared" si="3"/>
        <v>72000000</v>
      </c>
      <c r="G30" s="1247">
        <f t="shared" si="0"/>
        <v>72000000</v>
      </c>
      <c r="H30" s="1247">
        <f t="shared" si="0"/>
        <v>72000000</v>
      </c>
      <c r="I30" s="1247">
        <f t="shared" si="0"/>
        <v>72000000</v>
      </c>
      <c r="J30" s="1247">
        <f t="shared" si="0"/>
        <v>72000000</v>
      </c>
      <c r="K30" s="1247">
        <f t="shared" si="1"/>
        <v>360000000</v>
      </c>
    </row>
    <row r="31" spans="1:11">
      <c r="A31" s="1237">
        <v>4</v>
      </c>
      <c r="B31" s="1248" t="s">
        <v>2133</v>
      </c>
      <c r="C31" s="1237" t="s">
        <v>2129</v>
      </c>
      <c r="D31" s="1237">
        <f>80*12</f>
        <v>960</v>
      </c>
      <c r="E31" s="1248">
        <v>190000</v>
      </c>
      <c r="F31" s="1248">
        <f t="shared" si="3"/>
        <v>182400000</v>
      </c>
      <c r="G31" s="1247">
        <f t="shared" si="0"/>
        <v>182400000</v>
      </c>
      <c r="H31" s="1247">
        <f t="shared" si="0"/>
        <v>182400000</v>
      </c>
      <c r="I31" s="1247">
        <f t="shared" si="0"/>
        <v>182400000</v>
      </c>
      <c r="J31" s="1247">
        <f t="shared" si="0"/>
        <v>182400000</v>
      </c>
      <c r="K31" s="1247">
        <f t="shared" si="1"/>
        <v>912000000</v>
      </c>
    </row>
    <row r="32" spans="1:11">
      <c r="A32" s="1237">
        <v>5</v>
      </c>
      <c r="B32" s="1248" t="s">
        <v>2132</v>
      </c>
      <c r="C32" s="1237" t="s">
        <v>2129</v>
      </c>
      <c r="D32" s="1237">
        <f>40*12</f>
        <v>480</v>
      </c>
      <c r="E32" s="1248">
        <v>300000</v>
      </c>
      <c r="F32" s="1248">
        <f t="shared" si="3"/>
        <v>144000000</v>
      </c>
      <c r="G32" s="1247">
        <f t="shared" ref="G32:J51" si="4">F32</f>
        <v>144000000</v>
      </c>
      <c r="H32" s="1247">
        <f t="shared" si="4"/>
        <v>144000000</v>
      </c>
      <c r="I32" s="1247">
        <f t="shared" si="4"/>
        <v>144000000</v>
      </c>
      <c r="J32" s="1247">
        <f t="shared" si="4"/>
        <v>144000000</v>
      </c>
      <c r="K32" s="1247">
        <f t="shared" si="1"/>
        <v>720000000</v>
      </c>
    </row>
    <row r="33" spans="1:12">
      <c r="A33" s="1237">
        <v>6</v>
      </c>
      <c r="B33" s="1248" t="s">
        <v>2140</v>
      </c>
      <c r="C33" s="1237" t="s">
        <v>2129</v>
      </c>
      <c r="D33" s="1237">
        <f>50*12</f>
        <v>600</v>
      </c>
      <c r="E33" s="1248">
        <v>185000</v>
      </c>
      <c r="F33" s="1248">
        <f t="shared" si="3"/>
        <v>111000000</v>
      </c>
      <c r="G33" s="1247">
        <f t="shared" si="4"/>
        <v>111000000</v>
      </c>
      <c r="H33" s="1247">
        <f t="shared" si="4"/>
        <v>111000000</v>
      </c>
      <c r="I33" s="1247">
        <f t="shared" si="4"/>
        <v>111000000</v>
      </c>
      <c r="J33" s="1247">
        <f t="shared" si="4"/>
        <v>111000000</v>
      </c>
      <c r="K33" s="1247">
        <f t="shared" si="1"/>
        <v>555000000</v>
      </c>
    </row>
    <row r="34" spans="1:12">
      <c r="A34" s="1237">
        <v>7</v>
      </c>
      <c r="B34" s="1248" t="s">
        <v>2130</v>
      </c>
      <c r="C34" s="1237" t="s">
        <v>2129</v>
      </c>
      <c r="D34" s="1237">
        <f>10*12</f>
        <v>120</v>
      </c>
      <c r="E34" s="1248">
        <v>310000</v>
      </c>
      <c r="F34" s="1248">
        <f t="shared" si="3"/>
        <v>37200000</v>
      </c>
      <c r="G34" s="1247">
        <f t="shared" si="4"/>
        <v>37200000</v>
      </c>
      <c r="H34" s="1247">
        <f t="shared" si="4"/>
        <v>37200000</v>
      </c>
      <c r="I34" s="1247">
        <f t="shared" si="4"/>
        <v>37200000</v>
      </c>
      <c r="J34" s="1247">
        <f t="shared" si="4"/>
        <v>37200000</v>
      </c>
      <c r="K34" s="1247">
        <f t="shared" si="1"/>
        <v>186000000</v>
      </c>
    </row>
    <row r="35" spans="1:12">
      <c r="A35" s="1237">
        <v>8</v>
      </c>
      <c r="B35" s="1248" t="s">
        <v>2165</v>
      </c>
      <c r="C35" s="1237" t="s">
        <v>190</v>
      </c>
      <c r="D35" s="1237">
        <v>1</v>
      </c>
      <c r="E35" s="1248">
        <f>50000000*12</f>
        <v>600000000</v>
      </c>
      <c r="F35" s="1248">
        <f t="shared" si="3"/>
        <v>600000000</v>
      </c>
      <c r="G35" s="1247">
        <f t="shared" si="4"/>
        <v>600000000</v>
      </c>
      <c r="H35" s="1247">
        <f t="shared" si="4"/>
        <v>600000000</v>
      </c>
      <c r="I35" s="1247">
        <f t="shared" si="4"/>
        <v>600000000</v>
      </c>
      <c r="J35" s="1247">
        <f t="shared" si="4"/>
        <v>600000000</v>
      </c>
      <c r="K35" s="1247">
        <f t="shared" si="1"/>
        <v>3000000000</v>
      </c>
    </row>
    <row r="36" spans="1:12">
      <c r="A36" s="1237">
        <v>9</v>
      </c>
      <c r="B36" s="1248" t="s">
        <v>2159</v>
      </c>
      <c r="C36" s="1237" t="s">
        <v>190</v>
      </c>
      <c r="D36" s="1237">
        <v>1</v>
      </c>
      <c r="E36" s="1248">
        <f>10000000*12</f>
        <v>120000000</v>
      </c>
      <c r="F36" s="1248">
        <f t="shared" si="3"/>
        <v>120000000</v>
      </c>
      <c r="G36" s="1247">
        <f t="shared" si="4"/>
        <v>120000000</v>
      </c>
      <c r="H36" s="1247">
        <f t="shared" si="4"/>
        <v>120000000</v>
      </c>
      <c r="I36" s="1247">
        <f t="shared" si="4"/>
        <v>120000000</v>
      </c>
      <c r="J36" s="1247">
        <f t="shared" si="4"/>
        <v>120000000</v>
      </c>
      <c r="K36" s="1247">
        <f t="shared" si="1"/>
        <v>600000000</v>
      </c>
    </row>
    <row r="37" spans="1:12">
      <c r="A37" s="1237">
        <v>10</v>
      </c>
      <c r="B37" s="1248" t="s">
        <v>2158</v>
      </c>
      <c r="C37" s="1237" t="s">
        <v>190</v>
      </c>
      <c r="D37" s="1237">
        <v>1</v>
      </c>
      <c r="E37" s="1248">
        <v>36000000</v>
      </c>
      <c r="F37" s="1248">
        <f t="shared" si="3"/>
        <v>36000000</v>
      </c>
      <c r="G37" s="1247">
        <f t="shared" si="4"/>
        <v>36000000</v>
      </c>
      <c r="H37" s="1247">
        <f t="shared" si="4"/>
        <v>36000000</v>
      </c>
      <c r="I37" s="1247">
        <f t="shared" si="4"/>
        <v>36000000</v>
      </c>
      <c r="J37" s="1247">
        <f t="shared" si="4"/>
        <v>36000000</v>
      </c>
      <c r="K37" s="1247">
        <f t="shared" si="1"/>
        <v>180000000</v>
      </c>
    </row>
    <row r="38" spans="1:12">
      <c r="A38" s="1237">
        <v>11</v>
      </c>
      <c r="B38" s="1248" t="s">
        <v>2157</v>
      </c>
      <c r="C38" s="1237" t="s">
        <v>190</v>
      </c>
      <c r="D38" s="1237">
        <v>1</v>
      </c>
      <c r="E38" s="1248">
        <v>192000000</v>
      </c>
      <c r="F38" s="1248">
        <f t="shared" si="3"/>
        <v>192000000</v>
      </c>
      <c r="G38" s="1247">
        <f t="shared" si="4"/>
        <v>192000000</v>
      </c>
      <c r="H38" s="1247">
        <f t="shared" si="4"/>
        <v>192000000</v>
      </c>
      <c r="I38" s="1247">
        <f t="shared" si="4"/>
        <v>192000000</v>
      </c>
      <c r="J38" s="1247">
        <f t="shared" si="4"/>
        <v>192000000</v>
      </c>
      <c r="K38" s="1247">
        <f t="shared" si="1"/>
        <v>960000000</v>
      </c>
    </row>
    <row r="39" spans="1:12">
      <c r="A39" s="1237">
        <v>12</v>
      </c>
      <c r="B39" s="1248" t="s">
        <v>2164</v>
      </c>
      <c r="C39" s="1237" t="s">
        <v>190</v>
      </c>
      <c r="D39" s="1237">
        <v>1</v>
      </c>
      <c r="E39" s="1248">
        <f>15000000*12</f>
        <v>180000000</v>
      </c>
      <c r="F39" s="1248">
        <f t="shared" si="3"/>
        <v>180000000</v>
      </c>
      <c r="G39" s="1247">
        <f t="shared" si="4"/>
        <v>180000000</v>
      </c>
      <c r="H39" s="1247">
        <f t="shared" si="4"/>
        <v>180000000</v>
      </c>
      <c r="I39" s="1247">
        <f t="shared" si="4"/>
        <v>180000000</v>
      </c>
      <c r="J39" s="1247">
        <f t="shared" si="4"/>
        <v>180000000</v>
      </c>
      <c r="K39" s="1247">
        <f t="shared" si="1"/>
        <v>900000000</v>
      </c>
    </row>
    <row r="40" spans="1:12" s="1232" customFormat="1">
      <c r="A40" s="1237" t="s">
        <v>30</v>
      </c>
      <c r="B40" s="1250" t="s">
        <v>2163</v>
      </c>
      <c r="C40" s="1251"/>
      <c r="D40" s="1251"/>
      <c r="E40" s="1250"/>
      <c r="F40" s="1250">
        <f>SUM(F41:F52)</f>
        <v>2366400000</v>
      </c>
      <c r="G40" s="1250">
        <f t="shared" si="4"/>
        <v>2366400000</v>
      </c>
      <c r="H40" s="1250">
        <f t="shared" si="4"/>
        <v>2366400000</v>
      </c>
      <c r="I40" s="49">
        <f t="shared" si="4"/>
        <v>2366400000</v>
      </c>
      <c r="J40" s="49">
        <f t="shared" si="4"/>
        <v>2366400000</v>
      </c>
      <c r="K40" s="49">
        <f t="shared" si="1"/>
        <v>11832000000</v>
      </c>
      <c r="L40" s="1233"/>
    </row>
    <row r="41" spans="1:12">
      <c r="A41" s="1237">
        <v>1</v>
      </c>
      <c r="B41" s="1248" t="s">
        <v>2162</v>
      </c>
      <c r="C41" s="1237" t="s">
        <v>829</v>
      </c>
      <c r="D41" s="1237">
        <f>200*12</f>
        <v>2400</v>
      </c>
      <c r="E41" s="1248">
        <v>120000</v>
      </c>
      <c r="F41" s="1248">
        <f t="shared" ref="F41:F52" si="5">D41*E41</f>
        <v>288000000</v>
      </c>
      <c r="G41" s="1248">
        <f t="shared" si="4"/>
        <v>288000000</v>
      </c>
      <c r="H41" s="1248">
        <f t="shared" si="4"/>
        <v>288000000</v>
      </c>
      <c r="I41" s="48">
        <f t="shared" si="4"/>
        <v>288000000</v>
      </c>
      <c r="J41" s="48">
        <f t="shared" si="4"/>
        <v>288000000</v>
      </c>
      <c r="K41" s="48">
        <f t="shared" si="1"/>
        <v>1440000000</v>
      </c>
    </row>
    <row r="42" spans="1:12">
      <c r="A42" s="1237">
        <v>2</v>
      </c>
      <c r="B42" s="1248" t="s">
        <v>2161</v>
      </c>
      <c r="C42" s="1237" t="s">
        <v>829</v>
      </c>
      <c r="D42" s="1237">
        <f>80*12</f>
        <v>960</v>
      </c>
      <c r="E42" s="1248">
        <v>195000</v>
      </c>
      <c r="F42" s="1248">
        <f t="shared" si="5"/>
        <v>187200000</v>
      </c>
      <c r="G42" s="1248">
        <f t="shared" si="4"/>
        <v>187200000</v>
      </c>
      <c r="H42" s="1248">
        <f t="shared" si="4"/>
        <v>187200000</v>
      </c>
      <c r="I42" s="48">
        <f t="shared" si="4"/>
        <v>187200000</v>
      </c>
      <c r="J42" s="48">
        <f t="shared" si="4"/>
        <v>187200000</v>
      </c>
      <c r="K42" s="48">
        <f t="shared" si="1"/>
        <v>936000000</v>
      </c>
    </row>
    <row r="43" spans="1:12">
      <c r="A43" s="1237">
        <v>3</v>
      </c>
      <c r="B43" s="1248" t="s">
        <v>2134</v>
      </c>
      <c r="C43" s="1237" t="s">
        <v>418</v>
      </c>
      <c r="D43" s="1237">
        <v>600</v>
      </c>
      <c r="E43" s="1248">
        <v>144000</v>
      </c>
      <c r="F43" s="1248">
        <f t="shared" si="5"/>
        <v>86400000</v>
      </c>
      <c r="G43" s="1248">
        <f t="shared" si="4"/>
        <v>86400000</v>
      </c>
      <c r="H43" s="1248">
        <f t="shared" si="4"/>
        <v>86400000</v>
      </c>
      <c r="I43" s="48">
        <f t="shared" si="4"/>
        <v>86400000</v>
      </c>
      <c r="J43" s="48">
        <f t="shared" si="4"/>
        <v>86400000</v>
      </c>
      <c r="K43" s="48">
        <f t="shared" si="1"/>
        <v>432000000</v>
      </c>
    </row>
    <row r="44" spans="1:12">
      <c r="A44" s="1237">
        <v>4</v>
      </c>
      <c r="B44" s="1248" t="s">
        <v>2133</v>
      </c>
      <c r="C44" s="1237" t="s">
        <v>2129</v>
      </c>
      <c r="D44" s="1237">
        <f>80*12</f>
        <v>960</v>
      </c>
      <c r="E44" s="1248">
        <v>190000</v>
      </c>
      <c r="F44" s="1248">
        <f t="shared" si="5"/>
        <v>182400000</v>
      </c>
      <c r="G44" s="1248">
        <f t="shared" si="4"/>
        <v>182400000</v>
      </c>
      <c r="H44" s="1248">
        <f t="shared" si="4"/>
        <v>182400000</v>
      </c>
      <c r="I44" s="48">
        <f t="shared" si="4"/>
        <v>182400000</v>
      </c>
      <c r="J44" s="48">
        <f t="shared" si="4"/>
        <v>182400000</v>
      </c>
      <c r="K44" s="48">
        <f t="shared" ref="K44:K75" si="6">SUM(F44:J44)</f>
        <v>912000000</v>
      </c>
    </row>
    <row r="45" spans="1:12">
      <c r="A45" s="1237">
        <v>5</v>
      </c>
      <c r="B45" s="1248" t="s">
        <v>2132</v>
      </c>
      <c r="C45" s="1237" t="s">
        <v>2129</v>
      </c>
      <c r="D45" s="1237">
        <f>40*12</f>
        <v>480</v>
      </c>
      <c r="E45" s="1248">
        <v>300000</v>
      </c>
      <c r="F45" s="1248">
        <f t="shared" si="5"/>
        <v>144000000</v>
      </c>
      <c r="G45" s="1248">
        <f t="shared" si="4"/>
        <v>144000000</v>
      </c>
      <c r="H45" s="1248">
        <f t="shared" si="4"/>
        <v>144000000</v>
      </c>
      <c r="I45" s="48">
        <f t="shared" si="4"/>
        <v>144000000</v>
      </c>
      <c r="J45" s="48">
        <f t="shared" si="4"/>
        <v>144000000</v>
      </c>
      <c r="K45" s="48">
        <f t="shared" si="6"/>
        <v>720000000</v>
      </c>
    </row>
    <row r="46" spans="1:12">
      <c r="A46" s="1237">
        <v>6</v>
      </c>
      <c r="B46" s="1248" t="s">
        <v>2131</v>
      </c>
      <c r="C46" s="1237" t="s">
        <v>2129</v>
      </c>
      <c r="D46" s="1237">
        <f>60*12</f>
        <v>720</v>
      </c>
      <c r="E46" s="1248">
        <v>185000</v>
      </c>
      <c r="F46" s="1248">
        <f t="shared" si="5"/>
        <v>133200000</v>
      </c>
      <c r="G46" s="1248">
        <f t="shared" si="4"/>
        <v>133200000</v>
      </c>
      <c r="H46" s="1248">
        <f t="shared" si="4"/>
        <v>133200000</v>
      </c>
      <c r="I46" s="48">
        <f t="shared" si="4"/>
        <v>133200000</v>
      </c>
      <c r="J46" s="48">
        <f t="shared" si="4"/>
        <v>133200000</v>
      </c>
      <c r="K46" s="48">
        <f t="shared" si="6"/>
        <v>666000000</v>
      </c>
    </row>
    <row r="47" spans="1:12">
      <c r="A47" s="1237">
        <v>7</v>
      </c>
      <c r="B47" s="1248" t="s">
        <v>2130</v>
      </c>
      <c r="C47" s="1237" t="s">
        <v>2129</v>
      </c>
      <c r="D47" s="1237">
        <f>10*12</f>
        <v>120</v>
      </c>
      <c r="E47" s="1248">
        <v>310000</v>
      </c>
      <c r="F47" s="1248">
        <f t="shared" si="5"/>
        <v>37200000</v>
      </c>
      <c r="G47" s="1248">
        <f t="shared" si="4"/>
        <v>37200000</v>
      </c>
      <c r="H47" s="1248">
        <f t="shared" si="4"/>
        <v>37200000</v>
      </c>
      <c r="I47" s="48">
        <f t="shared" si="4"/>
        <v>37200000</v>
      </c>
      <c r="J47" s="48">
        <f t="shared" si="4"/>
        <v>37200000</v>
      </c>
      <c r="K47" s="48">
        <f t="shared" si="6"/>
        <v>186000000</v>
      </c>
    </row>
    <row r="48" spans="1:12">
      <c r="A48" s="1237">
        <v>8</v>
      </c>
      <c r="B48" s="1248" t="s">
        <v>2160</v>
      </c>
      <c r="C48" s="1237" t="s">
        <v>190</v>
      </c>
      <c r="D48" s="1237">
        <v>1</v>
      </c>
      <c r="E48" s="1248">
        <f>60000000*12</f>
        <v>720000000</v>
      </c>
      <c r="F48" s="1248">
        <f t="shared" si="5"/>
        <v>720000000</v>
      </c>
      <c r="G48" s="1248">
        <f t="shared" si="4"/>
        <v>720000000</v>
      </c>
      <c r="H48" s="1248">
        <f t="shared" si="4"/>
        <v>720000000</v>
      </c>
      <c r="I48" s="48">
        <f t="shared" si="4"/>
        <v>720000000</v>
      </c>
      <c r="J48" s="48">
        <f t="shared" si="4"/>
        <v>720000000</v>
      </c>
      <c r="K48" s="48">
        <f t="shared" si="6"/>
        <v>3600000000</v>
      </c>
    </row>
    <row r="49" spans="1:12">
      <c r="A49" s="1237">
        <v>9</v>
      </c>
      <c r="B49" s="1248" t="s">
        <v>2159</v>
      </c>
      <c r="C49" s="1237" t="s">
        <v>190</v>
      </c>
      <c r="D49" s="1237">
        <v>1</v>
      </c>
      <c r="E49" s="1248">
        <f>10000000*12</f>
        <v>120000000</v>
      </c>
      <c r="F49" s="1248">
        <f t="shared" si="5"/>
        <v>120000000</v>
      </c>
      <c r="G49" s="1248">
        <f t="shared" si="4"/>
        <v>120000000</v>
      </c>
      <c r="H49" s="1248">
        <f t="shared" si="4"/>
        <v>120000000</v>
      </c>
      <c r="I49" s="48">
        <f t="shared" si="4"/>
        <v>120000000</v>
      </c>
      <c r="J49" s="48">
        <f t="shared" si="4"/>
        <v>120000000</v>
      </c>
      <c r="K49" s="48">
        <f t="shared" si="6"/>
        <v>600000000</v>
      </c>
    </row>
    <row r="50" spans="1:12">
      <c r="A50" s="1237">
        <v>10</v>
      </c>
      <c r="B50" s="1248" t="s">
        <v>2158</v>
      </c>
      <c r="C50" s="1237" t="s">
        <v>190</v>
      </c>
      <c r="D50" s="1237">
        <v>1</v>
      </c>
      <c r="E50" s="1248">
        <v>36000000</v>
      </c>
      <c r="F50" s="1248">
        <f t="shared" si="5"/>
        <v>36000000</v>
      </c>
      <c r="G50" s="1248">
        <f t="shared" si="4"/>
        <v>36000000</v>
      </c>
      <c r="H50" s="1248">
        <f t="shared" si="4"/>
        <v>36000000</v>
      </c>
      <c r="I50" s="48">
        <f t="shared" si="4"/>
        <v>36000000</v>
      </c>
      <c r="J50" s="48">
        <f t="shared" si="4"/>
        <v>36000000</v>
      </c>
      <c r="K50" s="48">
        <f t="shared" si="6"/>
        <v>180000000</v>
      </c>
    </row>
    <row r="51" spans="1:12">
      <c r="A51" s="1237">
        <v>11</v>
      </c>
      <c r="B51" s="1248" t="s">
        <v>2157</v>
      </c>
      <c r="C51" s="1237" t="s">
        <v>190</v>
      </c>
      <c r="D51" s="1237">
        <v>1</v>
      </c>
      <c r="E51" s="1248">
        <v>192000000</v>
      </c>
      <c r="F51" s="1248">
        <f t="shared" si="5"/>
        <v>192000000</v>
      </c>
      <c r="G51" s="1248">
        <f t="shared" si="4"/>
        <v>192000000</v>
      </c>
      <c r="H51" s="1248">
        <f t="shared" si="4"/>
        <v>192000000</v>
      </c>
      <c r="I51" s="48">
        <f t="shared" si="4"/>
        <v>192000000</v>
      </c>
      <c r="J51" s="48">
        <f t="shared" si="4"/>
        <v>192000000</v>
      </c>
      <c r="K51" s="48">
        <f t="shared" si="6"/>
        <v>960000000</v>
      </c>
    </row>
    <row r="52" spans="1:12">
      <c r="A52" s="1237">
        <v>12</v>
      </c>
      <c r="B52" s="1248" t="s">
        <v>2156</v>
      </c>
      <c r="C52" s="1237" t="s">
        <v>190</v>
      </c>
      <c r="D52" s="1237">
        <v>1</v>
      </c>
      <c r="E52" s="1248">
        <f>20000000*12</f>
        <v>240000000</v>
      </c>
      <c r="F52" s="1248">
        <f t="shared" si="5"/>
        <v>240000000</v>
      </c>
      <c r="G52" s="1248">
        <f t="shared" ref="G52:J71" si="7">F52</f>
        <v>240000000</v>
      </c>
      <c r="H52" s="1248">
        <f t="shared" si="7"/>
        <v>240000000</v>
      </c>
      <c r="I52" s="48">
        <f t="shared" si="7"/>
        <v>240000000</v>
      </c>
      <c r="J52" s="48">
        <f t="shared" si="7"/>
        <v>240000000</v>
      </c>
      <c r="K52" s="48">
        <f t="shared" si="6"/>
        <v>1200000000</v>
      </c>
    </row>
    <row r="53" spans="1:12" s="1232" customFormat="1">
      <c r="A53" s="1251" t="s">
        <v>2155</v>
      </c>
      <c r="B53" s="1250" t="s">
        <v>2154</v>
      </c>
      <c r="C53" s="1251"/>
      <c r="D53" s="1251"/>
      <c r="E53" s="1253"/>
      <c r="F53" s="1250">
        <f>SUM(F54:F56)</f>
        <v>31200000</v>
      </c>
      <c r="G53" s="1244">
        <f t="shared" si="7"/>
        <v>31200000</v>
      </c>
      <c r="H53" s="1244">
        <f t="shared" si="7"/>
        <v>31200000</v>
      </c>
      <c r="I53" s="1244">
        <f t="shared" si="7"/>
        <v>31200000</v>
      </c>
      <c r="J53" s="1244">
        <f t="shared" si="7"/>
        <v>31200000</v>
      </c>
      <c r="K53" s="1244">
        <f t="shared" si="6"/>
        <v>156000000</v>
      </c>
      <c r="L53" s="1233"/>
    </row>
    <row r="54" spans="1:12">
      <c r="A54" s="1237">
        <v>1</v>
      </c>
      <c r="B54" s="1248" t="s">
        <v>2153</v>
      </c>
      <c r="C54" s="1237" t="s">
        <v>190</v>
      </c>
      <c r="D54" s="1237">
        <v>1</v>
      </c>
      <c r="E54" s="1252">
        <v>12000000</v>
      </c>
      <c r="F54" s="1248">
        <f>D54*E54</f>
        <v>12000000</v>
      </c>
      <c r="G54" s="1247">
        <f t="shared" si="7"/>
        <v>12000000</v>
      </c>
      <c r="H54" s="1247">
        <f t="shared" si="7"/>
        <v>12000000</v>
      </c>
      <c r="I54" s="1247">
        <f t="shared" si="7"/>
        <v>12000000</v>
      </c>
      <c r="J54" s="1247">
        <f t="shared" si="7"/>
        <v>12000000</v>
      </c>
      <c r="K54" s="1247">
        <f t="shared" si="6"/>
        <v>60000000</v>
      </c>
    </row>
    <row r="55" spans="1:12">
      <c r="A55" s="1237">
        <v>2</v>
      </c>
      <c r="B55" s="1248" t="s">
        <v>2152</v>
      </c>
      <c r="C55" s="1237" t="s">
        <v>190</v>
      </c>
      <c r="D55" s="1237">
        <v>1</v>
      </c>
      <c r="E55" s="1252">
        <v>9600000</v>
      </c>
      <c r="F55" s="1248">
        <f>D55*E55</f>
        <v>9600000</v>
      </c>
      <c r="G55" s="1247">
        <f t="shared" si="7"/>
        <v>9600000</v>
      </c>
      <c r="H55" s="1247">
        <f t="shared" si="7"/>
        <v>9600000</v>
      </c>
      <c r="I55" s="1247">
        <f t="shared" si="7"/>
        <v>9600000</v>
      </c>
      <c r="J55" s="1247">
        <f t="shared" si="7"/>
        <v>9600000</v>
      </c>
      <c r="K55" s="1247">
        <f t="shared" si="6"/>
        <v>48000000</v>
      </c>
    </row>
    <row r="56" spans="1:12">
      <c r="A56" s="1237">
        <v>3</v>
      </c>
      <c r="B56" s="1248" t="s">
        <v>2151</v>
      </c>
      <c r="C56" s="1237" t="s">
        <v>190</v>
      </c>
      <c r="D56" s="1237">
        <v>1</v>
      </c>
      <c r="E56" s="1252">
        <v>9600000</v>
      </c>
      <c r="F56" s="1248">
        <f>D56*E56</f>
        <v>9600000</v>
      </c>
      <c r="G56" s="1248">
        <f t="shared" si="7"/>
        <v>9600000</v>
      </c>
      <c r="H56" s="48">
        <f t="shared" si="7"/>
        <v>9600000</v>
      </c>
      <c r="I56" s="48">
        <f t="shared" si="7"/>
        <v>9600000</v>
      </c>
      <c r="J56" s="48">
        <f t="shared" si="7"/>
        <v>9600000</v>
      </c>
      <c r="K56" s="1247">
        <f t="shared" si="6"/>
        <v>48000000</v>
      </c>
    </row>
    <row r="57" spans="1:12" s="1232" customFormat="1">
      <c r="A57" s="2332" t="s">
        <v>2150</v>
      </c>
      <c r="B57" s="1250" t="s">
        <v>2149</v>
      </c>
      <c r="C57" s="1251" t="s">
        <v>190</v>
      </c>
      <c r="D57" s="1251">
        <v>1</v>
      </c>
      <c r="E57" s="71">
        <f>2000000000*0.085</f>
        <v>170000000</v>
      </c>
      <c r="F57" s="1250">
        <f>D57*E57</f>
        <v>170000000</v>
      </c>
      <c r="G57" s="1244">
        <f t="shared" si="7"/>
        <v>170000000</v>
      </c>
      <c r="H57" s="1244">
        <f t="shared" si="7"/>
        <v>170000000</v>
      </c>
      <c r="I57" s="1244">
        <f t="shared" si="7"/>
        <v>170000000</v>
      </c>
      <c r="J57" s="1244">
        <f t="shared" si="7"/>
        <v>170000000</v>
      </c>
      <c r="K57" s="1244">
        <f t="shared" si="6"/>
        <v>850000000</v>
      </c>
      <c r="L57" s="1233"/>
    </row>
    <row r="58" spans="1:12" s="1254" customFormat="1">
      <c r="A58" s="1258" t="s">
        <v>485</v>
      </c>
      <c r="B58" s="1244" t="s">
        <v>2148</v>
      </c>
      <c r="C58" s="1257"/>
      <c r="D58" s="1257"/>
      <c r="E58" s="1256"/>
      <c r="F58" s="1244">
        <f>F59+F68+F77</f>
        <v>8142000000</v>
      </c>
      <c r="G58" s="1244">
        <f t="shared" si="7"/>
        <v>8142000000</v>
      </c>
      <c r="H58" s="1244">
        <f t="shared" si="7"/>
        <v>8142000000</v>
      </c>
      <c r="I58" s="1244">
        <f t="shared" si="7"/>
        <v>8142000000</v>
      </c>
      <c r="J58" s="1244">
        <f t="shared" si="7"/>
        <v>8142000000</v>
      </c>
      <c r="K58" s="1244">
        <f t="shared" si="6"/>
        <v>40710000000</v>
      </c>
      <c r="L58" s="1255"/>
    </row>
    <row r="59" spans="1:12">
      <c r="A59" s="1251" t="s">
        <v>2147</v>
      </c>
      <c r="B59" s="1250" t="s">
        <v>2146</v>
      </c>
      <c r="C59" s="1251"/>
      <c r="D59" s="1251"/>
      <c r="E59" s="1250"/>
      <c r="F59" s="1250">
        <f>SUM(F60:F67)</f>
        <v>2454000000</v>
      </c>
      <c r="G59" s="1244">
        <f t="shared" si="7"/>
        <v>2454000000</v>
      </c>
      <c r="H59" s="1244">
        <f t="shared" si="7"/>
        <v>2454000000</v>
      </c>
      <c r="I59" s="1244">
        <f t="shared" si="7"/>
        <v>2454000000</v>
      </c>
      <c r="J59" s="1244">
        <f t="shared" si="7"/>
        <v>2454000000</v>
      </c>
      <c r="K59" s="1244">
        <f t="shared" si="6"/>
        <v>12270000000</v>
      </c>
    </row>
    <row r="60" spans="1:12">
      <c r="A60" s="1237">
        <v>1</v>
      </c>
      <c r="B60" s="1248" t="s">
        <v>2142</v>
      </c>
      <c r="C60" s="1237" t="s">
        <v>190</v>
      </c>
      <c r="D60" s="1237">
        <v>1</v>
      </c>
      <c r="E60" s="1248">
        <f>3300*15000*12</f>
        <v>594000000</v>
      </c>
      <c r="F60" s="1248">
        <f t="shared" ref="F60:F67" si="8">D60*E60</f>
        <v>594000000</v>
      </c>
      <c r="G60" s="1247">
        <f t="shared" si="7"/>
        <v>594000000</v>
      </c>
      <c r="H60" s="1247">
        <f t="shared" si="7"/>
        <v>594000000</v>
      </c>
      <c r="I60" s="1247">
        <f t="shared" si="7"/>
        <v>594000000</v>
      </c>
      <c r="J60" s="1247">
        <f t="shared" si="7"/>
        <v>594000000</v>
      </c>
      <c r="K60" s="1247">
        <f t="shared" si="6"/>
        <v>2970000000</v>
      </c>
    </row>
    <row r="61" spans="1:12">
      <c r="A61" s="1237">
        <v>2</v>
      </c>
      <c r="B61" s="1248" t="s">
        <v>2141</v>
      </c>
      <c r="C61" s="1237" t="s">
        <v>190</v>
      </c>
      <c r="D61" s="1237">
        <v>1</v>
      </c>
      <c r="E61" s="1248">
        <f>2500*17000*12</f>
        <v>510000000</v>
      </c>
      <c r="F61" s="1248">
        <f t="shared" si="8"/>
        <v>510000000</v>
      </c>
      <c r="G61" s="1247">
        <f t="shared" si="7"/>
        <v>510000000</v>
      </c>
      <c r="H61" s="1247">
        <f t="shared" si="7"/>
        <v>510000000</v>
      </c>
      <c r="I61" s="1247">
        <f t="shared" si="7"/>
        <v>510000000</v>
      </c>
      <c r="J61" s="1247">
        <f t="shared" si="7"/>
        <v>510000000</v>
      </c>
      <c r="K61" s="1247">
        <f t="shared" si="6"/>
        <v>2550000000</v>
      </c>
    </row>
    <row r="62" spans="1:12">
      <c r="A62" s="1237">
        <v>3</v>
      </c>
      <c r="B62" s="1248" t="s">
        <v>2134</v>
      </c>
      <c r="C62" s="1237" t="s">
        <v>418</v>
      </c>
      <c r="D62" s="1237">
        <f>D17</f>
        <v>500</v>
      </c>
      <c r="E62" s="1248">
        <f>E17*1.25</f>
        <v>180000</v>
      </c>
      <c r="F62" s="1248">
        <f t="shared" si="8"/>
        <v>90000000</v>
      </c>
      <c r="G62" s="1247">
        <f t="shared" si="7"/>
        <v>90000000</v>
      </c>
      <c r="H62" s="1247">
        <f t="shared" si="7"/>
        <v>90000000</v>
      </c>
      <c r="I62" s="1247">
        <f t="shared" si="7"/>
        <v>90000000</v>
      </c>
      <c r="J62" s="1247">
        <f t="shared" si="7"/>
        <v>90000000</v>
      </c>
      <c r="K62" s="1247">
        <f t="shared" si="6"/>
        <v>450000000</v>
      </c>
    </row>
    <row r="63" spans="1:12">
      <c r="A63" s="1237">
        <v>4</v>
      </c>
      <c r="B63" s="1248" t="s">
        <v>2133</v>
      </c>
      <c r="C63" s="1237" t="s">
        <v>2129</v>
      </c>
      <c r="D63" s="1237">
        <f>80*12</f>
        <v>960</v>
      </c>
      <c r="E63" s="1248">
        <v>250000</v>
      </c>
      <c r="F63" s="1248">
        <f t="shared" si="8"/>
        <v>240000000</v>
      </c>
      <c r="G63" s="1247">
        <f t="shared" si="7"/>
        <v>240000000</v>
      </c>
      <c r="H63" s="1247">
        <f t="shared" si="7"/>
        <v>240000000</v>
      </c>
      <c r="I63" s="1247">
        <f t="shared" si="7"/>
        <v>240000000</v>
      </c>
      <c r="J63" s="1247">
        <f t="shared" si="7"/>
        <v>240000000</v>
      </c>
      <c r="K63" s="1247">
        <f t="shared" si="6"/>
        <v>1200000000</v>
      </c>
    </row>
    <row r="64" spans="1:12">
      <c r="A64" s="1237">
        <v>5</v>
      </c>
      <c r="B64" s="1248" t="s">
        <v>2132</v>
      </c>
      <c r="C64" s="1237" t="s">
        <v>2129</v>
      </c>
      <c r="D64" s="1237">
        <f>40*12</f>
        <v>480</v>
      </c>
      <c r="E64" s="1248">
        <v>450000</v>
      </c>
      <c r="F64" s="1248">
        <f t="shared" si="8"/>
        <v>216000000</v>
      </c>
      <c r="G64" s="1247">
        <f t="shared" si="7"/>
        <v>216000000</v>
      </c>
      <c r="H64" s="1247">
        <f t="shared" si="7"/>
        <v>216000000</v>
      </c>
      <c r="I64" s="1247">
        <f t="shared" si="7"/>
        <v>216000000</v>
      </c>
      <c r="J64" s="1247">
        <f t="shared" si="7"/>
        <v>216000000</v>
      </c>
      <c r="K64" s="1247">
        <f t="shared" si="6"/>
        <v>1080000000</v>
      </c>
    </row>
    <row r="65" spans="1:11">
      <c r="A65" s="1237">
        <v>6</v>
      </c>
      <c r="B65" s="1248" t="s">
        <v>2140</v>
      </c>
      <c r="C65" s="1237" t="s">
        <v>2129</v>
      </c>
      <c r="D65" s="1237">
        <f>50*12</f>
        <v>600</v>
      </c>
      <c r="E65" s="1248">
        <v>250000</v>
      </c>
      <c r="F65" s="1248">
        <f t="shared" si="8"/>
        <v>150000000</v>
      </c>
      <c r="G65" s="1247">
        <f t="shared" si="7"/>
        <v>150000000</v>
      </c>
      <c r="H65" s="1247">
        <f t="shared" si="7"/>
        <v>150000000</v>
      </c>
      <c r="I65" s="1247">
        <f t="shared" si="7"/>
        <v>150000000</v>
      </c>
      <c r="J65" s="1247">
        <f t="shared" si="7"/>
        <v>150000000</v>
      </c>
      <c r="K65" s="1247">
        <f t="shared" si="6"/>
        <v>750000000</v>
      </c>
    </row>
    <row r="66" spans="1:11">
      <c r="A66" s="1237">
        <v>7</v>
      </c>
      <c r="B66" s="1248" t="s">
        <v>2130</v>
      </c>
      <c r="C66" s="1237" t="s">
        <v>2129</v>
      </c>
      <c r="D66" s="1237">
        <f>10*12</f>
        <v>120</v>
      </c>
      <c r="E66" s="1248">
        <v>450000</v>
      </c>
      <c r="F66" s="1248">
        <f t="shared" si="8"/>
        <v>54000000</v>
      </c>
      <c r="G66" s="1247">
        <f t="shared" si="7"/>
        <v>54000000</v>
      </c>
      <c r="H66" s="1247">
        <f t="shared" si="7"/>
        <v>54000000</v>
      </c>
      <c r="I66" s="1247">
        <f t="shared" si="7"/>
        <v>54000000</v>
      </c>
      <c r="J66" s="1247">
        <f t="shared" si="7"/>
        <v>54000000</v>
      </c>
      <c r="K66" s="1247">
        <f t="shared" si="6"/>
        <v>270000000</v>
      </c>
    </row>
    <row r="67" spans="1:11">
      <c r="A67" s="1237">
        <v>8</v>
      </c>
      <c r="B67" s="1248" t="s">
        <v>2145</v>
      </c>
      <c r="C67" s="1237" t="s">
        <v>190</v>
      </c>
      <c r="D67" s="1237">
        <v>1</v>
      </c>
      <c r="E67" s="1248">
        <f>50000000*12</f>
        <v>600000000</v>
      </c>
      <c r="F67" s="1248">
        <f t="shared" si="8"/>
        <v>600000000</v>
      </c>
      <c r="G67" s="1247">
        <f t="shared" si="7"/>
        <v>600000000</v>
      </c>
      <c r="H67" s="1247">
        <f t="shared" si="7"/>
        <v>600000000</v>
      </c>
      <c r="I67" s="1247">
        <f t="shared" si="7"/>
        <v>600000000</v>
      </c>
      <c r="J67" s="1247">
        <f t="shared" si="7"/>
        <v>600000000</v>
      </c>
      <c r="K67" s="1247">
        <f t="shared" si="6"/>
        <v>3000000000</v>
      </c>
    </row>
    <row r="68" spans="1:11">
      <c r="A68" s="1251" t="s">
        <v>2144</v>
      </c>
      <c r="B68" s="1250" t="s">
        <v>2143</v>
      </c>
      <c r="C68" s="1251"/>
      <c r="D68" s="1251"/>
      <c r="E68" s="1250"/>
      <c r="F68" s="1253">
        <f>SUM(F69:F76)</f>
        <v>2694000000</v>
      </c>
      <c r="G68" s="1244">
        <f t="shared" si="7"/>
        <v>2694000000</v>
      </c>
      <c r="H68" s="1244">
        <f t="shared" si="7"/>
        <v>2694000000</v>
      </c>
      <c r="I68" s="1244">
        <f t="shared" si="7"/>
        <v>2694000000</v>
      </c>
      <c r="J68" s="1244">
        <f t="shared" si="7"/>
        <v>2694000000</v>
      </c>
      <c r="K68" s="1244">
        <f t="shared" si="6"/>
        <v>13470000000</v>
      </c>
    </row>
    <row r="69" spans="1:11">
      <c r="A69" s="1237">
        <v>1</v>
      </c>
      <c r="B69" s="1248" t="s">
        <v>2142</v>
      </c>
      <c r="C69" s="1237" t="s">
        <v>190</v>
      </c>
      <c r="D69" s="1237">
        <v>1</v>
      </c>
      <c r="E69" s="1248">
        <f>3300*15000*12</f>
        <v>594000000</v>
      </c>
      <c r="F69" s="1252">
        <f t="shared" ref="F69:F75" si="9">D69*E69</f>
        <v>594000000</v>
      </c>
      <c r="G69" s="1247">
        <f t="shared" si="7"/>
        <v>594000000</v>
      </c>
      <c r="H69" s="1247">
        <f t="shared" si="7"/>
        <v>594000000</v>
      </c>
      <c r="I69" s="1247">
        <f t="shared" si="7"/>
        <v>594000000</v>
      </c>
      <c r="J69" s="1247">
        <f t="shared" si="7"/>
        <v>594000000</v>
      </c>
      <c r="K69" s="1247">
        <f t="shared" si="6"/>
        <v>2970000000</v>
      </c>
    </row>
    <row r="70" spans="1:11">
      <c r="A70" s="1237">
        <v>2</v>
      </c>
      <c r="B70" s="1248" t="s">
        <v>2141</v>
      </c>
      <c r="C70" s="1237" t="s">
        <v>190</v>
      </c>
      <c r="D70" s="1237">
        <v>1</v>
      </c>
      <c r="E70" s="1248">
        <f>2500*17000*12</f>
        <v>510000000</v>
      </c>
      <c r="F70" s="1252">
        <f t="shared" si="9"/>
        <v>510000000</v>
      </c>
      <c r="G70" s="1247">
        <f t="shared" si="7"/>
        <v>510000000</v>
      </c>
      <c r="H70" s="1247">
        <f t="shared" si="7"/>
        <v>510000000</v>
      </c>
      <c r="I70" s="1247">
        <f t="shared" si="7"/>
        <v>510000000</v>
      </c>
      <c r="J70" s="1247">
        <f t="shared" si="7"/>
        <v>510000000</v>
      </c>
      <c r="K70" s="1247">
        <f t="shared" si="6"/>
        <v>2550000000</v>
      </c>
    </row>
    <row r="71" spans="1:11">
      <c r="A71" s="1237">
        <v>3</v>
      </c>
      <c r="B71" s="1248" t="s">
        <v>2134</v>
      </c>
      <c r="C71" s="1237" t="s">
        <v>418</v>
      </c>
      <c r="D71" s="1237">
        <f>D30</f>
        <v>500</v>
      </c>
      <c r="E71" s="1248">
        <f>E62</f>
        <v>180000</v>
      </c>
      <c r="F71" s="1252">
        <f t="shared" si="9"/>
        <v>90000000</v>
      </c>
      <c r="G71" s="1247">
        <f t="shared" si="7"/>
        <v>90000000</v>
      </c>
      <c r="H71" s="1247">
        <f t="shared" si="7"/>
        <v>90000000</v>
      </c>
      <c r="I71" s="1247">
        <f t="shared" si="7"/>
        <v>90000000</v>
      </c>
      <c r="J71" s="1247">
        <f t="shared" si="7"/>
        <v>90000000</v>
      </c>
      <c r="K71" s="1247">
        <f t="shared" si="6"/>
        <v>450000000</v>
      </c>
    </row>
    <row r="72" spans="1:11">
      <c r="A72" s="1237">
        <v>4</v>
      </c>
      <c r="B72" s="1248" t="s">
        <v>2133</v>
      </c>
      <c r="C72" s="1237" t="s">
        <v>2129</v>
      </c>
      <c r="D72" s="1237">
        <f>80*12</f>
        <v>960</v>
      </c>
      <c r="E72" s="1248">
        <v>250000</v>
      </c>
      <c r="F72" s="1252">
        <f t="shared" si="9"/>
        <v>240000000</v>
      </c>
      <c r="G72" s="1247">
        <f t="shared" ref="G72:J86" si="10">F72</f>
        <v>240000000</v>
      </c>
      <c r="H72" s="1247">
        <f t="shared" si="10"/>
        <v>240000000</v>
      </c>
      <c r="I72" s="1247">
        <f t="shared" si="10"/>
        <v>240000000</v>
      </c>
      <c r="J72" s="1247">
        <f t="shared" si="10"/>
        <v>240000000</v>
      </c>
      <c r="K72" s="1247">
        <f t="shared" si="6"/>
        <v>1200000000</v>
      </c>
    </row>
    <row r="73" spans="1:11">
      <c r="A73" s="1237">
        <v>5</v>
      </c>
      <c r="B73" s="1248" t="s">
        <v>2132</v>
      </c>
      <c r="C73" s="1237" t="s">
        <v>2129</v>
      </c>
      <c r="D73" s="1237">
        <f>40*12</f>
        <v>480</v>
      </c>
      <c r="E73" s="1248">
        <v>450000</v>
      </c>
      <c r="F73" s="1252">
        <f t="shared" si="9"/>
        <v>216000000</v>
      </c>
      <c r="G73" s="1247">
        <f t="shared" si="10"/>
        <v>216000000</v>
      </c>
      <c r="H73" s="1247">
        <f t="shared" si="10"/>
        <v>216000000</v>
      </c>
      <c r="I73" s="1247">
        <f t="shared" si="10"/>
        <v>216000000</v>
      </c>
      <c r="J73" s="1247">
        <f t="shared" si="10"/>
        <v>216000000</v>
      </c>
      <c r="K73" s="1247">
        <f t="shared" si="6"/>
        <v>1080000000</v>
      </c>
    </row>
    <row r="74" spans="1:11">
      <c r="A74" s="1237">
        <v>6</v>
      </c>
      <c r="B74" s="1248" t="s">
        <v>2140</v>
      </c>
      <c r="C74" s="1237" t="s">
        <v>2129</v>
      </c>
      <c r="D74" s="1237">
        <f>50*12</f>
        <v>600</v>
      </c>
      <c r="E74" s="1248">
        <v>250000</v>
      </c>
      <c r="F74" s="1252">
        <f t="shared" si="9"/>
        <v>150000000</v>
      </c>
      <c r="G74" s="1247">
        <f t="shared" si="10"/>
        <v>150000000</v>
      </c>
      <c r="H74" s="1247">
        <f t="shared" si="10"/>
        <v>150000000</v>
      </c>
      <c r="I74" s="1247">
        <f t="shared" si="10"/>
        <v>150000000</v>
      </c>
      <c r="J74" s="1247">
        <f t="shared" si="10"/>
        <v>150000000</v>
      </c>
      <c r="K74" s="1247">
        <f t="shared" si="6"/>
        <v>750000000</v>
      </c>
    </row>
    <row r="75" spans="1:11">
      <c r="A75" s="1237">
        <v>7</v>
      </c>
      <c r="B75" s="1248" t="s">
        <v>2130</v>
      </c>
      <c r="C75" s="1237" t="s">
        <v>2129</v>
      </c>
      <c r="D75" s="1237">
        <f>10*12</f>
        <v>120</v>
      </c>
      <c r="E75" s="1248">
        <v>450000</v>
      </c>
      <c r="F75" s="1252">
        <f t="shared" si="9"/>
        <v>54000000</v>
      </c>
      <c r="G75" s="1247">
        <f t="shared" si="10"/>
        <v>54000000</v>
      </c>
      <c r="H75" s="1247">
        <f t="shared" si="10"/>
        <v>54000000</v>
      </c>
      <c r="I75" s="1247">
        <f t="shared" si="10"/>
        <v>54000000</v>
      </c>
      <c r="J75" s="1247">
        <f t="shared" si="10"/>
        <v>54000000</v>
      </c>
      <c r="K75" s="1247">
        <f t="shared" si="6"/>
        <v>270000000</v>
      </c>
    </row>
    <row r="76" spans="1:11">
      <c r="A76" s="1237">
        <v>8</v>
      </c>
      <c r="B76" s="1248" t="s">
        <v>2139</v>
      </c>
      <c r="C76" s="1237" t="s">
        <v>190</v>
      </c>
      <c r="D76" s="1237">
        <v>1</v>
      </c>
      <c r="E76" s="1248">
        <f>70000000*12</f>
        <v>840000000</v>
      </c>
      <c r="F76" s="1252">
        <f>70000000*12</f>
        <v>840000000</v>
      </c>
      <c r="G76" s="1247">
        <f t="shared" si="10"/>
        <v>840000000</v>
      </c>
      <c r="H76" s="1247">
        <f t="shared" si="10"/>
        <v>840000000</v>
      </c>
      <c r="I76" s="1247">
        <f t="shared" si="10"/>
        <v>840000000</v>
      </c>
      <c r="J76" s="1247">
        <f t="shared" si="10"/>
        <v>840000000</v>
      </c>
      <c r="K76" s="1247">
        <f t="shared" ref="K76:K89" si="11">SUM(F76:J76)</f>
        <v>4200000000</v>
      </c>
    </row>
    <row r="77" spans="1:11">
      <c r="A77" s="1251" t="s">
        <v>2138</v>
      </c>
      <c r="B77" s="1250" t="s">
        <v>2137</v>
      </c>
      <c r="C77" s="1251"/>
      <c r="D77" s="1251"/>
      <c r="E77" s="1250"/>
      <c r="F77" s="49">
        <f>SUM(F78:F85)</f>
        <v>2994000000</v>
      </c>
      <c r="G77" s="1249">
        <f t="shared" si="10"/>
        <v>2994000000</v>
      </c>
      <c r="H77" s="1249">
        <f t="shared" si="10"/>
        <v>2994000000</v>
      </c>
      <c r="I77" s="1249">
        <f t="shared" si="10"/>
        <v>2994000000</v>
      </c>
      <c r="J77" s="1249">
        <f t="shared" si="10"/>
        <v>2994000000</v>
      </c>
      <c r="K77" s="1244">
        <f t="shared" si="11"/>
        <v>14970000000</v>
      </c>
    </row>
    <row r="78" spans="1:11">
      <c r="A78" s="1237">
        <v>1</v>
      </c>
      <c r="B78" s="1248" t="s">
        <v>2136</v>
      </c>
      <c r="C78" s="1237" t="s">
        <v>190</v>
      </c>
      <c r="D78" s="1237">
        <v>1</v>
      </c>
      <c r="E78" s="1248">
        <f>3000*17000*12</f>
        <v>612000000</v>
      </c>
      <c r="F78" s="48">
        <f t="shared" ref="F78:F85" si="12">D78*E78</f>
        <v>612000000</v>
      </c>
      <c r="G78" s="1235">
        <f t="shared" si="10"/>
        <v>612000000</v>
      </c>
      <c r="H78" s="1235">
        <f t="shared" si="10"/>
        <v>612000000</v>
      </c>
      <c r="I78" s="1235">
        <f t="shared" si="10"/>
        <v>612000000</v>
      </c>
      <c r="J78" s="1235">
        <f t="shared" si="10"/>
        <v>612000000</v>
      </c>
      <c r="K78" s="1247">
        <f t="shared" si="11"/>
        <v>3060000000</v>
      </c>
    </row>
    <row r="79" spans="1:11">
      <c r="A79" s="1237">
        <v>2</v>
      </c>
      <c r="B79" s="1248" t="s">
        <v>2135</v>
      </c>
      <c r="C79" s="1237" t="s">
        <v>190</v>
      </c>
      <c r="D79" s="1237">
        <v>1</v>
      </c>
      <c r="E79" s="1248">
        <f>2100*20000*12</f>
        <v>504000000</v>
      </c>
      <c r="F79" s="48">
        <f t="shared" si="12"/>
        <v>504000000</v>
      </c>
      <c r="G79" s="1235">
        <f t="shared" si="10"/>
        <v>504000000</v>
      </c>
      <c r="H79" s="1235">
        <f t="shared" si="10"/>
        <v>504000000</v>
      </c>
      <c r="I79" s="1235">
        <f t="shared" si="10"/>
        <v>504000000</v>
      </c>
      <c r="J79" s="1235">
        <f t="shared" si="10"/>
        <v>504000000</v>
      </c>
      <c r="K79" s="1247">
        <f t="shared" si="11"/>
        <v>2520000000</v>
      </c>
    </row>
    <row r="80" spans="1:11">
      <c r="A80" s="1237">
        <v>3</v>
      </c>
      <c r="B80" s="1248" t="s">
        <v>2134</v>
      </c>
      <c r="C80" s="1237" t="s">
        <v>418</v>
      </c>
      <c r="D80" s="1237">
        <f>D43</f>
        <v>600</v>
      </c>
      <c r="E80" s="1248">
        <f>E62</f>
        <v>180000</v>
      </c>
      <c r="F80" s="48">
        <f t="shared" si="12"/>
        <v>108000000</v>
      </c>
      <c r="G80" s="1235">
        <f t="shared" si="10"/>
        <v>108000000</v>
      </c>
      <c r="H80" s="1235">
        <f t="shared" si="10"/>
        <v>108000000</v>
      </c>
      <c r="I80" s="1235">
        <f t="shared" si="10"/>
        <v>108000000</v>
      </c>
      <c r="J80" s="1235">
        <f t="shared" si="10"/>
        <v>108000000</v>
      </c>
      <c r="K80" s="1247">
        <f t="shared" si="11"/>
        <v>540000000</v>
      </c>
    </row>
    <row r="81" spans="1:12">
      <c r="A81" s="1237">
        <v>4</v>
      </c>
      <c r="B81" s="1248" t="s">
        <v>2133</v>
      </c>
      <c r="C81" s="1237" t="s">
        <v>2129</v>
      </c>
      <c r="D81" s="1237">
        <f>80*12</f>
        <v>960</v>
      </c>
      <c r="E81" s="1248">
        <v>250000</v>
      </c>
      <c r="F81" s="48">
        <f t="shared" si="12"/>
        <v>240000000</v>
      </c>
      <c r="G81" s="1235">
        <f t="shared" si="10"/>
        <v>240000000</v>
      </c>
      <c r="H81" s="1235">
        <f t="shared" si="10"/>
        <v>240000000</v>
      </c>
      <c r="I81" s="1235">
        <f t="shared" si="10"/>
        <v>240000000</v>
      </c>
      <c r="J81" s="1235">
        <f t="shared" si="10"/>
        <v>240000000</v>
      </c>
      <c r="K81" s="1247">
        <f t="shared" si="11"/>
        <v>1200000000</v>
      </c>
    </row>
    <row r="82" spans="1:12">
      <c r="A82" s="1237">
        <v>5</v>
      </c>
      <c r="B82" s="1248" t="s">
        <v>2132</v>
      </c>
      <c r="C82" s="1237" t="s">
        <v>2129</v>
      </c>
      <c r="D82" s="1237">
        <f>40*12</f>
        <v>480</v>
      </c>
      <c r="E82" s="1248">
        <v>450000</v>
      </c>
      <c r="F82" s="48">
        <f t="shared" si="12"/>
        <v>216000000</v>
      </c>
      <c r="G82" s="1235">
        <f t="shared" si="10"/>
        <v>216000000</v>
      </c>
      <c r="H82" s="1235">
        <f t="shared" si="10"/>
        <v>216000000</v>
      </c>
      <c r="I82" s="1235">
        <f t="shared" si="10"/>
        <v>216000000</v>
      </c>
      <c r="J82" s="1235">
        <f t="shared" si="10"/>
        <v>216000000</v>
      </c>
      <c r="K82" s="1247">
        <f t="shared" si="11"/>
        <v>1080000000</v>
      </c>
    </row>
    <row r="83" spans="1:12">
      <c r="A83" s="1237">
        <v>6</v>
      </c>
      <c r="B83" s="1248" t="s">
        <v>2131</v>
      </c>
      <c r="C83" s="1237" t="s">
        <v>2129</v>
      </c>
      <c r="D83" s="1237">
        <f>60*12</f>
        <v>720</v>
      </c>
      <c r="E83" s="1248">
        <v>250000</v>
      </c>
      <c r="F83" s="48">
        <f t="shared" si="12"/>
        <v>180000000</v>
      </c>
      <c r="G83" s="1235">
        <f t="shared" si="10"/>
        <v>180000000</v>
      </c>
      <c r="H83" s="1235">
        <f t="shared" si="10"/>
        <v>180000000</v>
      </c>
      <c r="I83" s="1235">
        <f t="shared" si="10"/>
        <v>180000000</v>
      </c>
      <c r="J83" s="1235">
        <f t="shared" si="10"/>
        <v>180000000</v>
      </c>
      <c r="K83" s="1247">
        <f t="shared" si="11"/>
        <v>900000000</v>
      </c>
    </row>
    <row r="84" spans="1:12">
      <c r="A84" s="1237">
        <v>7</v>
      </c>
      <c r="B84" s="1248" t="s">
        <v>2130</v>
      </c>
      <c r="C84" s="1237" t="s">
        <v>2129</v>
      </c>
      <c r="D84" s="1237">
        <f>10*12</f>
        <v>120</v>
      </c>
      <c r="E84" s="1248">
        <v>450000</v>
      </c>
      <c r="F84" s="48">
        <f t="shared" si="12"/>
        <v>54000000</v>
      </c>
      <c r="G84" s="1235">
        <f t="shared" si="10"/>
        <v>54000000</v>
      </c>
      <c r="H84" s="1235">
        <f t="shared" si="10"/>
        <v>54000000</v>
      </c>
      <c r="I84" s="1235">
        <f t="shared" si="10"/>
        <v>54000000</v>
      </c>
      <c r="J84" s="1235">
        <f t="shared" si="10"/>
        <v>54000000</v>
      </c>
      <c r="K84" s="1247">
        <f t="shared" si="11"/>
        <v>270000000</v>
      </c>
    </row>
    <row r="85" spans="1:12">
      <c r="A85" s="1237">
        <v>8</v>
      </c>
      <c r="B85" s="1248" t="s">
        <v>2128</v>
      </c>
      <c r="C85" s="1237" t="s">
        <v>190</v>
      </c>
      <c r="D85" s="1237">
        <v>1</v>
      </c>
      <c r="E85" s="1248">
        <f>90000000*12</f>
        <v>1080000000</v>
      </c>
      <c r="F85" s="48">
        <f t="shared" si="12"/>
        <v>1080000000</v>
      </c>
      <c r="G85" s="1235">
        <f t="shared" si="10"/>
        <v>1080000000</v>
      </c>
      <c r="H85" s="1235">
        <f t="shared" si="10"/>
        <v>1080000000</v>
      </c>
      <c r="I85" s="1235">
        <f t="shared" si="10"/>
        <v>1080000000</v>
      </c>
      <c r="J85" s="1235">
        <f t="shared" si="10"/>
        <v>1080000000</v>
      </c>
      <c r="K85" s="1247">
        <f t="shared" si="11"/>
        <v>5400000000</v>
      </c>
    </row>
    <row r="86" spans="1:12" s="1242" customFormat="1">
      <c r="A86" s="1246" t="s">
        <v>489</v>
      </c>
      <c r="B86" s="1244" t="s">
        <v>2127</v>
      </c>
      <c r="C86" s="1246" t="s">
        <v>190</v>
      </c>
      <c r="D86" s="1246"/>
      <c r="E86" s="1244"/>
      <c r="F86" s="1245">
        <f>F58-F12</f>
        <v>1102000000</v>
      </c>
      <c r="G86" s="1244">
        <f t="shared" si="10"/>
        <v>1102000000</v>
      </c>
      <c r="H86" s="1244">
        <f t="shared" si="10"/>
        <v>1102000000</v>
      </c>
      <c r="I86" s="1244">
        <f t="shared" si="10"/>
        <v>1102000000</v>
      </c>
      <c r="J86" s="1244">
        <f t="shared" si="10"/>
        <v>1102000000</v>
      </c>
      <c r="K86" s="1244">
        <f t="shared" si="11"/>
        <v>5510000000</v>
      </c>
      <c r="L86" s="1243"/>
    </row>
    <row r="87" spans="1:12" s="27" customFormat="1">
      <c r="A87" s="49" t="s">
        <v>547</v>
      </c>
      <c r="B87" s="49" t="s">
        <v>2126</v>
      </c>
      <c r="C87" s="145"/>
      <c r="D87" s="49"/>
      <c r="E87" s="49"/>
      <c r="F87" s="49">
        <f>SUM(F88:F89)</f>
        <v>410000000</v>
      </c>
      <c r="G87" s="49">
        <f>SUM(G88:G89)</f>
        <v>489000000</v>
      </c>
      <c r="H87" s="49">
        <f>SUM(H88:H89)</f>
        <v>557500000</v>
      </c>
      <c r="I87" s="49">
        <f>SUM(I88:I89)</f>
        <v>615500000</v>
      </c>
      <c r="J87" s="49">
        <f>SUM(J88:J89)</f>
        <v>663000000</v>
      </c>
      <c r="K87" s="49">
        <f t="shared" si="11"/>
        <v>2735000000</v>
      </c>
      <c r="L87" s="52"/>
    </row>
    <row r="88" spans="1:12" ht="33">
      <c r="A88" s="1236">
        <v>1</v>
      </c>
      <c r="B88" s="1241" t="s">
        <v>2125</v>
      </c>
      <c r="C88" s="1237" t="s">
        <v>190</v>
      </c>
      <c r="D88" s="1241"/>
      <c r="E88" s="1240"/>
      <c r="F88" s="1103">
        <v>210000000</v>
      </c>
      <c r="G88" s="48">
        <v>189000000</v>
      </c>
      <c r="H88" s="48">
        <v>157500000</v>
      </c>
      <c r="I88" s="48">
        <v>115500000</v>
      </c>
      <c r="J88" s="48">
        <v>63000000</v>
      </c>
      <c r="K88" s="1235">
        <f t="shared" si="11"/>
        <v>735000000</v>
      </c>
    </row>
    <row r="89" spans="1:12">
      <c r="A89" s="1236">
        <v>2</v>
      </c>
      <c r="B89" s="1238" t="s">
        <v>2124</v>
      </c>
      <c r="C89" s="1237" t="s">
        <v>190</v>
      </c>
      <c r="D89" s="1236"/>
      <c r="E89" s="1239"/>
      <c r="F89" s="1103">
        <v>200000000</v>
      </c>
      <c r="G89" s="48">
        <v>300000000</v>
      </c>
      <c r="H89" s="48">
        <v>400000000</v>
      </c>
      <c r="I89" s="48">
        <v>500000000</v>
      </c>
      <c r="J89" s="48">
        <v>600000000</v>
      </c>
      <c r="K89" s="1235">
        <f t="shared" si="11"/>
        <v>2000000000</v>
      </c>
    </row>
    <row r="90" spans="1:12">
      <c r="A90" s="1236">
        <v>3</v>
      </c>
      <c r="B90" s="1238" t="s">
        <v>2123</v>
      </c>
      <c r="C90" s="1237" t="s">
        <v>190</v>
      </c>
      <c r="D90" s="1236"/>
      <c r="E90" s="1236"/>
      <c r="F90" s="48">
        <v>1800000000</v>
      </c>
      <c r="G90" s="48">
        <v>1500000000</v>
      </c>
      <c r="H90" s="48">
        <v>1100000000</v>
      </c>
      <c r="I90" s="48">
        <v>600000000</v>
      </c>
      <c r="J90" s="48">
        <v>0</v>
      </c>
      <c r="K90" s="1235"/>
    </row>
    <row r="91" spans="1:12">
      <c r="F91" s="8"/>
      <c r="G91" s="8"/>
      <c r="H91" s="2643"/>
      <c r="I91" s="2643"/>
      <c r="J91" s="2643"/>
      <c r="K91" s="2643"/>
    </row>
    <row r="92" spans="1:12" s="1232" customFormat="1">
      <c r="B92" s="1234"/>
      <c r="C92" s="1234"/>
      <c r="F92" s="27"/>
      <c r="G92" s="27"/>
      <c r="H92" s="2644"/>
      <c r="I92" s="2644"/>
      <c r="J92" s="2644"/>
      <c r="K92" s="2644"/>
      <c r="L92" s="1233"/>
    </row>
    <row r="93" spans="1:12" ht="17.25">
      <c r="B93" s="1228"/>
      <c r="E93" s="1231"/>
      <c r="F93" s="1230"/>
      <c r="G93" s="8"/>
      <c r="H93" s="8"/>
      <c r="I93" s="8"/>
      <c r="J93" s="8"/>
    </row>
    <row r="94" spans="1:12">
      <c r="F94" s="8"/>
      <c r="G94" s="8"/>
      <c r="H94" s="8"/>
      <c r="I94" s="8"/>
      <c r="J94" s="8"/>
    </row>
    <row r="97" spans="2:11" ht="17.25">
      <c r="B97" s="1228"/>
      <c r="H97" s="2645"/>
      <c r="I97" s="2645"/>
      <c r="J97" s="2645"/>
      <c r="K97" s="2645"/>
    </row>
    <row r="98" spans="2:11">
      <c r="H98" s="1229"/>
      <c r="I98" s="1229"/>
      <c r="J98" s="1229"/>
      <c r="K98" s="1229"/>
    </row>
  </sheetData>
  <mergeCells count="8">
    <mergeCell ref="D9:E9"/>
    <mergeCell ref="H91:K91"/>
    <mergeCell ref="H92:K92"/>
    <mergeCell ref="H97:K97"/>
    <mergeCell ref="D5:E5"/>
    <mergeCell ref="D6:E6"/>
    <mergeCell ref="D7:E7"/>
    <mergeCell ref="D8:E8"/>
  </mergeCells>
  <printOptions horizontalCentered="1"/>
  <pageMargins left="5.9374999999999997E-2" right="9.8958333333333301E-2" top="0.2" bottom="0.27" header="0.27" footer="0.2"/>
  <pageSetup paperSize="9" scale="85" orientation="landscape" verticalDpi="180" r:id="rId1"/>
  <headerFooter alignWithMargins="0"/>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42"/>
  <sheetViews>
    <sheetView workbookViewId="0">
      <selection activeCell="C2" sqref="C2"/>
    </sheetView>
  </sheetViews>
  <sheetFormatPr defaultColWidth="65.5703125" defaultRowHeight="16.5"/>
  <cols>
    <col min="1" max="1" width="4.140625" style="381" bestFit="1" customWidth="1"/>
    <col min="2" max="2" width="43.28515625" style="381" customWidth="1"/>
    <col min="3" max="3" width="9.5703125" style="381" customWidth="1"/>
    <col min="4" max="4" width="11.140625" style="439" bestFit="1" customWidth="1"/>
    <col min="5" max="5" width="21.140625" style="439" bestFit="1" customWidth="1"/>
    <col min="6" max="6" width="18.42578125" style="439" bestFit="1" customWidth="1"/>
    <col min="7" max="7" width="17.85546875" style="381" bestFit="1" customWidth="1"/>
    <col min="8" max="8" width="16.85546875" style="439" customWidth="1"/>
    <col min="9" max="16384" width="65.5703125" style="381"/>
  </cols>
  <sheetData>
    <row r="1" spans="1:9">
      <c r="C1" s="381" t="s">
        <v>931</v>
      </c>
      <c r="G1" s="438" t="s">
        <v>1020</v>
      </c>
    </row>
    <row r="4" spans="1:9" ht="33">
      <c r="A4" s="365" t="s">
        <v>0</v>
      </c>
      <c r="B4" s="365" t="s">
        <v>103</v>
      </c>
      <c r="C4" s="365" t="s">
        <v>918</v>
      </c>
      <c r="D4" s="38" t="s">
        <v>1</v>
      </c>
      <c r="E4" s="38" t="s">
        <v>767</v>
      </c>
      <c r="F4" s="37" t="s">
        <v>919</v>
      </c>
      <c r="G4" s="367" t="s">
        <v>676</v>
      </c>
      <c r="H4" s="8"/>
    </row>
    <row r="5" spans="1:9" s="399" customFormat="1">
      <c r="A5" s="367" t="s">
        <v>109</v>
      </c>
      <c r="B5" s="365" t="s">
        <v>359</v>
      </c>
      <c r="C5" s="365"/>
      <c r="D5" s="38"/>
      <c r="E5" s="38">
        <f>SUM(E6:E11)</f>
        <v>147000000</v>
      </c>
      <c r="F5" s="38">
        <f>SUM(F6:F11)</f>
        <v>157000000</v>
      </c>
      <c r="G5" s="407">
        <f>SUM(G6:G14)</f>
        <v>2041418333.3333333</v>
      </c>
      <c r="H5" s="27"/>
    </row>
    <row r="6" spans="1:9">
      <c r="A6" s="369">
        <v>1</v>
      </c>
      <c r="B6" s="370" t="s">
        <v>920</v>
      </c>
      <c r="C6" s="370" t="s">
        <v>10</v>
      </c>
      <c r="D6" s="42">
        <v>3</v>
      </c>
      <c r="E6" s="42">
        <v>5000000</v>
      </c>
      <c r="F6" s="42">
        <f>D6*E6</f>
        <v>15000000</v>
      </c>
      <c r="G6" s="408">
        <f t="shared" ref="G6:G11" si="0">F6*12</f>
        <v>180000000</v>
      </c>
      <c r="H6" s="8"/>
    </row>
    <row r="7" spans="1:9">
      <c r="A7" s="369">
        <v>2</v>
      </c>
      <c r="B7" s="370" t="s">
        <v>921</v>
      </c>
      <c r="C7" s="370" t="s">
        <v>10</v>
      </c>
      <c r="D7" s="42">
        <v>1</v>
      </c>
      <c r="E7" s="42">
        <v>10000000</v>
      </c>
      <c r="F7" s="42">
        <f>D7*E7</f>
        <v>10000000</v>
      </c>
      <c r="G7" s="408">
        <f t="shared" si="0"/>
        <v>120000000</v>
      </c>
      <c r="H7" s="8"/>
    </row>
    <row r="8" spans="1:9">
      <c r="A8" s="369">
        <v>3</v>
      </c>
      <c r="B8" s="370" t="s">
        <v>922</v>
      </c>
      <c r="C8" s="370" t="s">
        <v>615</v>
      </c>
      <c r="D8" s="42"/>
      <c r="E8" s="42">
        <v>3000000</v>
      </c>
      <c r="F8" s="42">
        <f>E8</f>
        <v>3000000</v>
      </c>
      <c r="G8" s="408">
        <f t="shared" si="0"/>
        <v>36000000</v>
      </c>
      <c r="H8" s="8">
        <v>300000000</v>
      </c>
    </row>
    <row r="9" spans="1:9">
      <c r="A9" s="369">
        <v>4</v>
      </c>
      <c r="B9" s="370" t="s">
        <v>923</v>
      </c>
      <c r="C9" s="370" t="s">
        <v>615</v>
      </c>
      <c r="D9" s="42"/>
      <c r="E9" s="42">
        <v>25000000</v>
      </c>
      <c r="F9" s="42">
        <f>E9</f>
        <v>25000000</v>
      </c>
      <c r="G9" s="408">
        <f t="shared" si="0"/>
        <v>300000000</v>
      </c>
      <c r="H9" s="8">
        <v>10</v>
      </c>
      <c r="I9" s="396">
        <f>G9+G10+G11</f>
        <v>1548000000</v>
      </c>
    </row>
    <row r="10" spans="1:9">
      <c r="A10" s="369">
        <v>5</v>
      </c>
      <c r="B10" s="370" t="s">
        <v>924</v>
      </c>
      <c r="C10" s="370" t="s">
        <v>615</v>
      </c>
      <c r="D10" s="42"/>
      <c r="E10" s="42">
        <v>40000000</v>
      </c>
      <c r="F10" s="42">
        <f>E10</f>
        <v>40000000</v>
      </c>
      <c r="G10" s="408">
        <f t="shared" si="0"/>
        <v>480000000</v>
      </c>
      <c r="H10" s="8">
        <f>H8*H9/1200</f>
        <v>2500000</v>
      </c>
    </row>
    <row r="11" spans="1:9">
      <c r="A11" s="369">
        <v>6</v>
      </c>
      <c r="B11" s="370" t="s">
        <v>925</v>
      </c>
      <c r="C11" s="370" t="s">
        <v>615</v>
      </c>
      <c r="D11" s="42"/>
      <c r="E11" s="42">
        <v>64000000</v>
      </c>
      <c r="F11" s="42">
        <f>E11</f>
        <v>64000000</v>
      </c>
      <c r="G11" s="408">
        <f t="shared" si="0"/>
        <v>768000000</v>
      </c>
      <c r="H11" s="8"/>
    </row>
    <row r="12" spans="1:9">
      <c r="A12" s="369">
        <v>7</v>
      </c>
      <c r="B12" s="370" t="s">
        <v>123</v>
      </c>
      <c r="C12" s="370"/>
      <c r="D12" s="42"/>
      <c r="E12" s="42">
        <f>SUM(E9:E11)</f>
        <v>129000000</v>
      </c>
      <c r="F12" s="42"/>
      <c r="G12" s="408">
        <v>50000000</v>
      </c>
      <c r="H12" s="8"/>
    </row>
    <row r="13" spans="1:9">
      <c r="A13" s="369">
        <v>8</v>
      </c>
      <c r="B13" s="370" t="s">
        <v>19</v>
      </c>
      <c r="C13" s="370"/>
      <c r="D13" s="42"/>
      <c r="E13" s="42"/>
      <c r="F13" s="42"/>
      <c r="G13" s="408">
        <f>(E25*E27*5+E25*F27*7)/12</f>
        <v>107333333.33333333</v>
      </c>
      <c r="H13" s="8"/>
    </row>
    <row r="14" spans="1:9">
      <c r="A14" s="369">
        <v>9</v>
      </c>
      <c r="B14" s="370" t="s">
        <v>131</v>
      </c>
      <c r="C14" s="370" t="s">
        <v>615</v>
      </c>
      <c r="D14" s="42"/>
      <c r="E14" s="42"/>
      <c r="F14" s="42"/>
      <c r="G14" s="48">
        <v>85000</v>
      </c>
      <c r="H14" s="8"/>
    </row>
    <row r="15" spans="1:9" s="399" customFormat="1">
      <c r="A15" s="367" t="s">
        <v>116</v>
      </c>
      <c r="B15" s="365" t="s">
        <v>110</v>
      </c>
      <c r="C15" s="365"/>
      <c r="D15" s="38"/>
      <c r="E15" s="38">
        <f>E16+E17</f>
        <v>180000000</v>
      </c>
      <c r="F15" s="38">
        <f>SUM(F16:F17)</f>
        <v>180000000</v>
      </c>
      <c r="G15" s="38">
        <f>SUM(G16:G17)</f>
        <v>2160000000</v>
      </c>
      <c r="H15" s="27"/>
    </row>
    <row r="16" spans="1:9" s="399" customFormat="1">
      <c r="A16" s="367">
        <v>1</v>
      </c>
      <c r="B16" s="370" t="s">
        <v>926</v>
      </c>
      <c r="C16" s="370"/>
      <c r="D16" s="42"/>
      <c r="E16" s="42">
        <v>140000000</v>
      </c>
      <c r="F16" s="42">
        <f>E16</f>
        <v>140000000</v>
      </c>
      <c r="G16" s="408">
        <f>F16*12</f>
        <v>1680000000</v>
      </c>
      <c r="H16" s="27"/>
    </row>
    <row r="17" spans="1:8">
      <c r="A17" s="369">
        <v>2</v>
      </c>
      <c r="B17" s="370" t="s">
        <v>927</v>
      </c>
      <c r="C17" s="370"/>
      <c r="D17" s="42"/>
      <c r="E17" s="42">
        <v>40000000</v>
      </c>
      <c r="F17" s="42">
        <f>E17</f>
        <v>40000000</v>
      </c>
      <c r="G17" s="408">
        <f>F17*12</f>
        <v>480000000</v>
      </c>
      <c r="H17" s="8">
        <v>1E-4</v>
      </c>
    </row>
    <row r="18" spans="1:8">
      <c r="A18" s="367" t="s">
        <v>135</v>
      </c>
      <c r="B18" s="365" t="s">
        <v>136</v>
      </c>
      <c r="C18" s="365"/>
      <c r="D18" s="38"/>
      <c r="E18" s="38">
        <f>E15-E5</f>
        <v>33000000</v>
      </c>
      <c r="F18" s="38">
        <f>F15-F5</f>
        <v>23000000</v>
      </c>
      <c r="G18" s="38">
        <f>G15-G5</f>
        <v>118581666.66666675</v>
      </c>
      <c r="H18" s="8">
        <v>1.1000000000000001</v>
      </c>
    </row>
    <row r="19" spans="1:8">
      <c r="A19" s="367" t="s">
        <v>30</v>
      </c>
      <c r="B19" s="377" t="s">
        <v>218</v>
      </c>
      <c r="C19" s="409"/>
      <c r="D19" s="410"/>
      <c r="E19" s="2647">
        <f>F18/F15</f>
        <v>0.12777777777777777</v>
      </c>
      <c r="F19" s="2648"/>
      <c r="G19" s="411"/>
      <c r="H19" s="8" t="e">
        <f>#REF!*H18</f>
        <v>#REF!</v>
      </c>
    </row>
    <row r="21" spans="1:8">
      <c r="B21" s="381" t="s">
        <v>414</v>
      </c>
      <c r="D21" s="8"/>
      <c r="E21" s="8"/>
      <c r="F21" s="8"/>
      <c r="H21" s="8"/>
    </row>
    <row r="22" spans="1:8">
      <c r="B22" s="381" t="s">
        <v>415</v>
      </c>
      <c r="D22" s="8"/>
      <c r="E22" s="8">
        <v>0</v>
      </c>
      <c r="F22" s="8"/>
      <c r="H22" s="8"/>
    </row>
    <row r="23" spans="1:8">
      <c r="B23" s="381" t="s">
        <v>223</v>
      </c>
      <c r="D23" s="8"/>
      <c r="E23" s="27">
        <f>G9+G10+G11</f>
        <v>1548000000</v>
      </c>
      <c r="F23" s="8"/>
      <c r="H23" s="8"/>
    </row>
    <row r="24" spans="1:8">
      <c r="B24" s="381" t="s">
        <v>6</v>
      </c>
      <c r="D24" s="8"/>
      <c r="E24" s="8">
        <v>120</v>
      </c>
      <c r="F24" s="8"/>
      <c r="H24" s="8"/>
    </row>
    <row r="25" spans="1:8">
      <c r="B25" s="456" t="s">
        <v>12</v>
      </c>
      <c r="C25" s="456"/>
      <c r="D25" s="233"/>
      <c r="E25" s="233">
        <v>1400000000</v>
      </c>
      <c r="F25" s="8"/>
      <c r="H25" s="8"/>
    </row>
    <row r="26" spans="1:8">
      <c r="B26" s="445" t="s">
        <v>26</v>
      </c>
      <c r="C26" s="445"/>
      <c r="D26" s="8"/>
      <c r="E26" s="8">
        <f>E23-E25</f>
        <v>148000000</v>
      </c>
      <c r="F26" s="457">
        <f>E26/E23</f>
        <v>9.5607235142118857E-2</v>
      </c>
      <c r="H26" s="8"/>
    </row>
    <row r="27" spans="1:8">
      <c r="B27" s="445" t="s">
        <v>13</v>
      </c>
      <c r="C27" s="445"/>
      <c r="D27" s="8"/>
      <c r="E27" s="46">
        <v>6.5000000000000002E-2</v>
      </c>
      <c r="F27" s="46">
        <v>8.5000000000000006E-2</v>
      </c>
      <c r="G27" s="451"/>
      <c r="H27" s="8"/>
    </row>
    <row r="28" spans="1:8">
      <c r="B28" s="445"/>
      <c r="C28" s="445"/>
      <c r="D28" s="8"/>
      <c r="E28" s="8"/>
      <c r="F28" s="8"/>
      <c r="G28" s="451"/>
      <c r="H28" s="8"/>
    </row>
    <row r="29" spans="1:8" ht="33">
      <c r="A29" s="365" t="s">
        <v>0</v>
      </c>
      <c r="B29" s="365" t="s">
        <v>103</v>
      </c>
      <c r="C29" s="365"/>
      <c r="D29" s="38"/>
      <c r="E29" s="38" t="s">
        <v>928</v>
      </c>
      <c r="F29" s="37" t="s">
        <v>408</v>
      </c>
      <c r="G29" s="399"/>
      <c r="H29" s="27"/>
    </row>
    <row r="30" spans="1:8">
      <c r="A30" s="367" t="s">
        <v>109</v>
      </c>
      <c r="B30" s="365" t="s">
        <v>359</v>
      </c>
      <c r="C30" s="365"/>
      <c r="D30" s="38"/>
      <c r="E30" s="38">
        <f>SUM(E31:E36)</f>
        <v>58000000</v>
      </c>
      <c r="F30" s="38">
        <f>SUM(F31:F36)</f>
        <v>696000000</v>
      </c>
    </row>
    <row r="31" spans="1:8">
      <c r="A31" s="369">
        <v>1</v>
      </c>
      <c r="B31" s="370" t="s">
        <v>920</v>
      </c>
      <c r="C31" s="370"/>
      <c r="D31" s="42"/>
      <c r="E31" s="42">
        <v>36000000</v>
      </c>
      <c r="F31" s="42">
        <f t="shared" ref="F31:F36" si="1">E31*12</f>
        <v>432000000</v>
      </c>
    </row>
    <row r="32" spans="1:8">
      <c r="A32" s="369">
        <v>2</v>
      </c>
      <c r="B32" s="370" t="s">
        <v>921</v>
      </c>
      <c r="C32" s="370"/>
      <c r="D32" s="42"/>
      <c r="E32" s="42">
        <v>15000000</v>
      </c>
      <c r="F32" s="42">
        <f t="shared" si="1"/>
        <v>180000000</v>
      </c>
    </row>
    <row r="33" spans="1:6">
      <c r="A33" s="369">
        <v>3</v>
      </c>
      <c r="B33" s="370" t="s">
        <v>922</v>
      </c>
      <c r="C33" s="370"/>
      <c r="D33" s="42"/>
      <c r="E33" s="42">
        <v>2500000</v>
      </c>
      <c r="F33" s="42">
        <f t="shared" si="1"/>
        <v>30000000</v>
      </c>
    </row>
    <row r="34" spans="1:6">
      <c r="A34" s="369">
        <v>4</v>
      </c>
      <c r="B34" s="370" t="s">
        <v>923</v>
      </c>
      <c r="C34" s="370"/>
      <c r="D34" s="42"/>
      <c r="E34" s="42">
        <v>3000000</v>
      </c>
      <c r="F34" s="42">
        <f t="shared" si="1"/>
        <v>36000000</v>
      </c>
    </row>
    <row r="35" spans="1:6">
      <c r="A35" s="369">
        <v>5</v>
      </c>
      <c r="B35" s="370" t="s">
        <v>924</v>
      </c>
      <c r="C35" s="370"/>
      <c r="D35" s="42"/>
      <c r="E35" s="42">
        <v>1000000</v>
      </c>
      <c r="F35" s="42">
        <f t="shared" si="1"/>
        <v>12000000</v>
      </c>
    </row>
    <row r="36" spans="1:6">
      <c r="A36" s="369">
        <v>6</v>
      </c>
      <c r="B36" s="370" t="s">
        <v>925</v>
      </c>
      <c r="C36" s="370"/>
      <c r="D36" s="42"/>
      <c r="E36" s="42">
        <v>500000</v>
      </c>
      <c r="F36" s="42">
        <f t="shared" si="1"/>
        <v>6000000</v>
      </c>
    </row>
    <row r="37" spans="1:6">
      <c r="A37" s="369"/>
      <c r="B37" s="370" t="s">
        <v>131</v>
      </c>
      <c r="C37" s="370"/>
      <c r="D37" s="42"/>
      <c r="E37" s="42"/>
      <c r="F37" s="42"/>
    </row>
    <row r="38" spans="1:6">
      <c r="A38" s="367" t="s">
        <v>116</v>
      </c>
      <c r="B38" s="365" t="s">
        <v>110</v>
      </c>
      <c r="C38" s="365"/>
      <c r="D38" s="38"/>
      <c r="E38" s="38">
        <f>E39+E40</f>
        <v>70000000</v>
      </c>
      <c r="F38" s="38">
        <f>SUM(F39:F40)</f>
        <v>840000000</v>
      </c>
    </row>
    <row r="39" spans="1:6">
      <c r="A39" s="367">
        <v>1</v>
      </c>
      <c r="B39" s="370" t="s">
        <v>929</v>
      </c>
      <c r="C39" s="370"/>
      <c r="D39" s="42"/>
      <c r="E39" s="38">
        <v>50000000</v>
      </c>
      <c r="F39" s="38">
        <f>E39*12</f>
        <v>600000000</v>
      </c>
    </row>
    <row r="40" spans="1:6">
      <c r="A40" s="369">
        <v>2</v>
      </c>
      <c r="B40" s="370" t="s">
        <v>930</v>
      </c>
      <c r="C40" s="370"/>
      <c r="D40" s="42"/>
      <c r="E40" s="42">
        <v>20000000</v>
      </c>
      <c r="F40" s="42">
        <f>E40*12</f>
        <v>240000000</v>
      </c>
    </row>
    <row r="41" spans="1:6">
      <c r="A41" s="367" t="s">
        <v>135</v>
      </c>
      <c r="B41" s="365" t="s">
        <v>136</v>
      </c>
      <c r="C41" s="365"/>
      <c r="D41" s="38"/>
      <c r="E41" s="38">
        <f>E38-E30</f>
        <v>12000000</v>
      </c>
      <c r="F41" s="38">
        <f>F38-F30</f>
        <v>144000000</v>
      </c>
    </row>
    <row r="42" spans="1:6">
      <c r="A42" s="367" t="s">
        <v>30</v>
      </c>
      <c r="B42" s="377" t="s">
        <v>218</v>
      </c>
      <c r="C42" s="409"/>
      <c r="D42" s="410"/>
      <c r="E42" s="2647">
        <f>F41/F38</f>
        <v>0.17142857142857143</v>
      </c>
      <c r="F42" s="2648"/>
    </row>
  </sheetData>
  <mergeCells count="2">
    <mergeCell ref="E19:F19"/>
    <mergeCell ref="E42:F42"/>
  </mergeCells>
  <pageMargins left="0.75" right="0.75" top="1" bottom="1" header="0.5" footer="0.5"/>
  <pageSetup paperSize="9" orientation="portrait" verticalDpi="0" r:id="rId1"/>
  <headerFooter alignWithMargins="0"/>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J43"/>
  <sheetViews>
    <sheetView workbookViewId="0">
      <selection activeCell="D17" sqref="D17"/>
    </sheetView>
  </sheetViews>
  <sheetFormatPr defaultRowHeight="16.5"/>
  <cols>
    <col min="1" max="1" width="9.28515625" style="381" bestFit="1" customWidth="1"/>
    <col min="2" max="2" width="27.85546875" style="381" customWidth="1"/>
    <col min="3" max="3" width="9.140625" style="381"/>
    <col min="4" max="4" width="9.28515625" style="381" bestFit="1" customWidth="1"/>
    <col min="5" max="5" width="12.7109375" style="381" bestFit="1" customWidth="1"/>
    <col min="6" max="6" width="16.140625" style="381" bestFit="1" customWidth="1"/>
    <col min="7" max="7" width="9.140625" style="381"/>
    <col min="8" max="8" width="15.28515625" style="381" bestFit="1" customWidth="1"/>
    <col min="9" max="9" width="9.140625" style="381"/>
    <col min="10" max="10" width="14.42578125" style="381" bestFit="1" customWidth="1"/>
    <col min="11" max="16384" width="9.140625" style="381"/>
  </cols>
  <sheetData>
    <row r="1" spans="1:10">
      <c r="C1" s="381" t="s">
        <v>996</v>
      </c>
      <c r="G1" s="438" t="s">
        <v>1020</v>
      </c>
    </row>
    <row r="4" spans="1:10" ht="33">
      <c r="A4" s="395" t="s">
        <v>0</v>
      </c>
      <c r="B4" s="395" t="s">
        <v>103</v>
      </c>
      <c r="C4" s="395" t="s">
        <v>2</v>
      </c>
      <c r="D4" s="395" t="s">
        <v>1</v>
      </c>
      <c r="E4" s="395" t="s">
        <v>3</v>
      </c>
      <c r="F4" s="395" t="s">
        <v>4</v>
      </c>
    </row>
    <row r="5" spans="1:10">
      <c r="A5" s="367" t="s">
        <v>109</v>
      </c>
      <c r="B5" s="365" t="s">
        <v>359</v>
      </c>
      <c r="C5" s="365"/>
      <c r="D5" s="365"/>
      <c r="E5" s="365"/>
      <c r="F5" s="403">
        <f>SUM(F6:F14)</f>
        <v>202537500</v>
      </c>
      <c r="H5" s="405">
        <f>F5-F13</f>
        <v>190000000</v>
      </c>
    </row>
    <row r="6" spans="1:10">
      <c r="A6" s="369">
        <v>1</v>
      </c>
      <c r="B6" s="370" t="s">
        <v>932</v>
      </c>
      <c r="C6" s="369" t="s">
        <v>108</v>
      </c>
      <c r="D6" s="42">
        <v>90</v>
      </c>
      <c r="E6" s="42">
        <v>270000</v>
      </c>
      <c r="F6" s="404">
        <f t="shared" ref="F6:F11" si="0">E6*D6</f>
        <v>24300000</v>
      </c>
      <c r="G6" s="396"/>
      <c r="H6" s="381">
        <v>500000000</v>
      </c>
    </row>
    <row r="7" spans="1:10">
      <c r="A7" s="369">
        <v>2</v>
      </c>
      <c r="B7" s="370" t="s">
        <v>933</v>
      </c>
      <c r="C7" s="369" t="s">
        <v>108</v>
      </c>
      <c r="D7" s="42">
        <v>90</v>
      </c>
      <c r="E7" s="42">
        <v>210000</v>
      </c>
      <c r="F7" s="404">
        <f t="shared" si="0"/>
        <v>18900000</v>
      </c>
      <c r="G7" s="396"/>
      <c r="H7" s="405">
        <f>H5-H6</f>
        <v>-310000000</v>
      </c>
      <c r="J7" s="405">
        <f>SUM(F6:F11)</f>
        <v>184000000</v>
      </c>
    </row>
    <row r="8" spans="1:10">
      <c r="A8" s="369">
        <v>3</v>
      </c>
      <c r="B8" s="370" t="s">
        <v>934</v>
      </c>
      <c r="C8" s="369" t="s">
        <v>108</v>
      </c>
      <c r="D8" s="42">
        <v>100</v>
      </c>
      <c r="E8" s="42">
        <v>190000</v>
      </c>
      <c r="F8" s="404">
        <f t="shared" si="0"/>
        <v>19000000</v>
      </c>
      <c r="G8" s="396"/>
      <c r="H8" s="381">
        <f>H7/H5</f>
        <v>-1.631578947368421</v>
      </c>
      <c r="J8" s="381">
        <v>170000000</v>
      </c>
    </row>
    <row r="9" spans="1:10">
      <c r="A9" s="369">
        <v>4</v>
      </c>
      <c r="B9" s="370" t="s">
        <v>935</v>
      </c>
      <c r="C9" s="369" t="s">
        <v>108</v>
      </c>
      <c r="D9" s="42">
        <v>150</v>
      </c>
      <c r="E9" s="42">
        <v>450000</v>
      </c>
      <c r="F9" s="404">
        <f t="shared" si="0"/>
        <v>67500000</v>
      </c>
      <c r="G9" s="396"/>
      <c r="J9" s="405">
        <f>J7-J8</f>
        <v>14000000</v>
      </c>
    </row>
    <row r="10" spans="1:10">
      <c r="A10" s="369">
        <v>5</v>
      </c>
      <c r="B10" s="370" t="s">
        <v>936</v>
      </c>
      <c r="C10" s="369" t="s">
        <v>108</v>
      </c>
      <c r="D10" s="42">
        <v>150</v>
      </c>
      <c r="E10" s="42">
        <v>230000</v>
      </c>
      <c r="F10" s="404">
        <f t="shared" si="0"/>
        <v>34500000</v>
      </c>
      <c r="G10" s="396"/>
      <c r="H10" s="381">
        <v>170000000</v>
      </c>
      <c r="J10" s="381">
        <f>J9/J7</f>
        <v>7.6086956521739135E-2</v>
      </c>
    </row>
    <row r="11" spans="1:10">
      <c r="A11" s="369">
        <v>6</v>
      </c>
      <c r="B11" s="370" t="s">
        <v>937</v>
      </c>
      <c r="C11" s="369" t="s">
        <v>139</v>
      </c>
      <c r="D11" s="42">
        <v>180</v>
      </c>
      <c r="E11" s="42">
        <v>110000</v>
      </c>
      <c r="F11" s="404">
        <f t="shared" si="0"/>
        <v>19800000</v>
      </c>
      <c r="G11" s="396"/>
      <c r="H11" s="405">
        <f>F6+F7+F8+F9+F10+F11</f>
        <v>184000000</v>
      </c>
    </row>
    <row r="12" spans="1:10">
      <c r="A12" s="369">
        <v>18</v>
      </c>
      <c r="B12" s="370" t="s">
        <v>323</v>
      </c>
      <c r="C12" s="370"/>
      <c r="D12" s="370"/>
      <c r="E12" s="370"/>
      <c r="F12" s="404">
        <v>5000000</v>
      </c>
      <c r="H12" s="381">
        <v>240000000</v>
      </c>
    </row>
    <row r="13" spans="1:10">
      <c r="A13" s="369">
        <v>19</v>
      </c>
      <c r="B13" s="370" t="s">
        <v>291</v>
      </c>
      <c r="C13" s="370"/>
      <c r="D13" s="370"/>
      <c r="E13" s="370"/>
      <c r="F13" s="404">
        <f>(H10*6.5*5+H10*8*7)/1200</f>
        <v>12537500</v>
      </c>
      <c r="H13" s="405">
        <f>H11-H12</f>
        <v>-56000000</v>
      </c>
    </row>
    <row r="14" spans="1:10">
      <c r="A14" s="369">
        <v>20</v>
      </c>
      <c r="B14" s="370" t="s">
        <v>292</v>
      </c>
      <c r="C14" s="370"/>
      <c r="D14" s="370"/>
      <c r="E14" s="370"/>
      <c r="F14" s="404">
        <v>1000000</v>
      </c>
      <c r="H14" s="381" t="e">
        <f>H13/#REF!</f>
        <v>#REF!</v>
      </c>
    </row>
    <row r="15" spans="1:10">
      <c r="A15" s="367" t="s">
        <v>116</v>
      </c>
      <c r="B15" s="365" t="s">
        <v>242</v>
      </c>
      <c r="C15" s="412"/>
      <c r="D15" s="413"/>
      <c r="E15" s="413"/>
      <c r="F15" s="414">
        <f>SUM(F16:F21)</f>
        <v>223700000</v>
      </c>
    </row>
    <row r="16" spans="1:10">
      <c r="A16" s="369">
        <v>1</v>
      </c>
      <c r="B16" s="370" t="s">
        <v>932</v>
      </c>
      <c r="C16" s="369" t="s">
        <v>108</v>
      </c>
      <c r="D16" s="42">
        <f t="shared" ref="D16:D21" si="1">D6</f>
        <v>90</v>
      </c>
      <c r="E16" s="42">
        <v>350000</v>
      </c>
      <c r="F16" s="404">
        <f t="shared" ref="F16:F21" si="2">E16*D16</f>
        <v>31500000</v>
      </c>
    </row>
    <row r="17" spans="1:8">
      <c r="A17" s="369">
        <v>2</v>
      </c>
      <c r="B17" s="370" t="s">
        <v>933</v>
      </c>
      <c r="C17" s="369" t="s">
        <v>108</v>
      </c>
      <c r="D17" s="42">
        <f t="shared" si="1"/>
        <v>90</v>
      </c>
      <c r="E17" s="42">
        <v>250000</v>
      </c>
      <c r="F17" s="404">
        <f t="shared" si="2"/>
        <v>22500000</v>
      </c>
    </row>
    <row r="18" spans="1:8">
      <c r="A18" s="369">
        <v>3</v>
      </c>
      <c r="B18" s="370" t="s">
        <v>934</v>
      </c>
      <c r="C18" s="369" t="s">
        <v>108</v>
      </c>
      <c r="D18" s="42">
        <f t="shared" si="1"/>
        <v>100</v>
      </c>
      <c r="E18" s="42">
        <v>230000</v>
      </c>
      <c r="F18" s="404">
        <f t="shared" si="2"/>
        <v>23000000</v>
      </c>
    </row>
    <row r="19" spans="1:8">
      <c r="A19" s="369">
        <v>4</v>
      </c>
      <c r="B19" s="370" t="s">
        <v>935</v>
      </c>
      <c r="C19" s="369" t="s">
        <v>108</v>
      </c>
      <c r="D19" s="42">
        <f t="shared" si="1"/>
        <v>150</v>
      </c>
      <c r="E19" s="42">
        <v>550000</v>
      </c>
      <c r="F19" s="404">
        <f t="shared" si="2"/>
        <v>82500000</v>
      </c>
    </row>
    <row r="20" spans="1:8">
      <c r="A20" s="369">
        <v>5</v>
      </c>
      <c r="B20" s="370" t="s">
        <v>936</v>
      </c>
      <c r="C20" s="369" t="s">
        <v>108</v>
      </c>
      <c r="D20" s="42">
        <f t="shared" si="1"/>
        <v>150</v>
      </c>
      <c r="E20" s="42">
        <v>260000</v>
      </c>
      <c r="F20" s="404">
        <f t="shared" si="2"/>
        <v>39000000</v>
      </c>
    </row>
    <row r="21" spans="1:8">
      <c r="A21" s="369">
        <v>6</v>
      </c>
      <c r="B21" s="370" t="s">
        <v>937</v>
      </c>
      <c r="C21" s="369" t="s">
        <v>139</v>
      </c>
      <c r="D21" s="42">
        <f t="shared" si="1"/>
        <v>180</v>
      </c>
      <c r="E21" s="42">
        <v>140000</v>
      </c>
      <c r="F21" s="404">
        <f t="shared" si="2"/>
        <v>25200000</v>
      </c>
    </row>
    <row r="22" spans="1:8">
      <c r="A22" s="367" t="s">
        <v>135</v>
      </c>
      <c r="B22" s="365" t="s">
        <v>406</v>
      </c>
      <c r="C22" s="365"/>
      <c r="D22" s="365"/>
      <c r="E22" s="365"/>
      <c r="F22" s="403">
        <f>F15-F5</f>
        <v>21162500</v>
      </c>
    </row>
    <row r="23" spans="1:8" ht="17.25">
      <c r="A23" s="421" t="s">
        <v>221</v>
      </c>
      <c r="B23" s="2581" t="s">
        <v>222</v>
      </c>
      <c r="C23" s="2582"/>
      <c r="D23" s="415"/>
      <c r="E23" s="415"/>
      <c r="F23" s="95">
        <f>F22/F15</f>
        <v>9.4602145730889584E-2</v>
      </c>
    </row>
    <row r="25" spans="1:8" ht="33">
      <c r="A25" s="395" t="s">
        <v>0</v>
      </c>
      <c r="B25" s="395" t="s">
        <v>103</v>
      </c>
      <c r="C25" s="395" t="s">
        <v>2</v>
      </c>
      <c r="D25" s="395" t="s">
        <v>1</v>
      </c>
      <c r="E25" s="395" t="s">
        <v>3</v>
      </c>
      <c r="F25" s="395" t="s">
        <v>4</v>
      </c>
    </row>
    <row r="26" spans="1:8">
      <c r="A26" s="367" t="s">
        <v>109</v>
      </c>
      <c r="B26" s="365" t="s">
        <v>359</v>
      </c>
      <c r="C26" s="365"/>
      <c r="D26" s="365"/>
      <c r="E26" s="365"/>
      <c r="F26" s="403">
        <f>SUM(F27:F35)</f>
        <v>280900000</v>
      </c>
    </row>
    <row r="27" spans="1:8">
      <c r="A27" s="369">
        <v>1</v>
      </c>
      <c r="B27" s="370" t="s">
        <v>932</v>
      </c>
      <c r="C27" s="369" t="s">
        <v>108</v>
      </c>
      <c r="D27" s="42">
        <v>160</v>
      </c>
      <c r="E27" s="42">
        <v>270000</v>
      </c>
      <c r="F27" s="404">
        <f>E27*D27</f>
        <v>43200000</v>
      </c>
    </row>
    <row r="28" spans="1:8">
      <c r="A28" s="369">
        <v>2</v>
      </c>
      <c r="B28" s="370" t="s">
        <v>933</v>
      </c>
      <c r="C28" s="369" t="s">
        <v>108</v>
      </c>
      <c r="D28" s="42">
        <v>130</v>
      </c>
      <c r="E28" s="42">
        <v>210000</v>
      </c>
      <c r="F28" s="404">
        <f>E28*D28</f>
        <v>27300000</v>
      </c>
      <c r="H28" s="405">
        <f>SUM(F27:F32)</f>
        <v>256500000</v>
      </c>
    </row>
    <row r="29" spans="1:8">
      <c r="A29" s="369">
        <v>3</v>
      </c>
      <c r="B29" s="370" t="s">
        <v>934</v>
      </c>
      <c r="C29" s="369" t="s">
        <v>108</v>
      </c>
      <c r="D29" s="42">
        <v>150</v>
      </c>
      <c r="E29" s="42">
        <v>190000</v>
      </c>
      <c r="F29" s="404">
        <f>E29*D29</f>
        <v>28500000</v>
      </c>
    </row>
    <row r="30" spans="1:8">
      <c r="A30" s="369">
        <v>4</v>
      </c>
      <c r="B30" s="370" t="s">
        <v>935</v>
      </c>
      <c r="C30" s="369" t="s">
        <v>108</v>
      </c>
      <c r="D30" s="42">
        <v>150</v>
      </c>
      <c r="E30" s="42">
        <v>450000</v>
      </c>
      <c r="F30" s="404">
        <f>E30*D30</f>
        <v>67500000</v>
      </c>
    </row>
    <row r="31" spans="1:8">
      <c r="A31" s="369">
        <v>5</v>
      </c>
      <c r="B31" s="370" t="s">
        <v>946</v>
      </c>
      <c r="C31" s="369"/>
      <c r="D31" s="42"/>
      <c r="E31" s="42"/>
      <c r="F31" s="404">
        <v>40000000</v>
      </c>
    </row>
    <row r="32" spans="1:8">
      <c r="A32" s="369">
        <v>6</v>
      </c>
      <c r="B32" s="370" t="s">
        <v>947</v>
      </c>
      <c r="C32" s="369"/>
      <c r="D32" s="42"/>
      <c r="E32" s="42"/>
      <c r="F32" s="404">
        <v>50000000</v>
      </c>
    </row>
    <row r="33" spans="1:8">
      <c r="A33" s="369">
        <v>7</v>
      </c>
      <c r="B33" s="370" t="s">
        <v>323</v>
      </c>
      <c r="C33" s="370"/>
      <c r="D33" s="370"/>
      <c r="E33" s="370"/>
      <c r="F33" s="404">
        <v>5000000</v>
      </c>
      <c r="H33" s="381">
        <v>240000000</v>
      </c>
    </row>
    <row r="34" spans="1:8">
      <c r="A34" s="369">
        <v>8</v>
      </c>
      <c r="B34" s="370" t="s">
        <v>291</v>
      </c>
      <c r="C34" s="370"/>
      <c r="D34" s="370"/>
      <c r="E34" s="370"/>
      <c r="F34" s="404">
        <f>(H33*6.5*5+H33*8.5*7)/1200</f>
        <v>18400000</v>
      </c>
    </row>
    <row r="35" spans="1:8">
      <c r="A35" s="369">
        <v>9</v>
      </c>
      <c r="B35" s="370" t="s">
        <v>292</v>
      </c>
      <c r="C35" s="370"/>
      <c r="D35" s="370"/>
      <c r="E35" s="370"/>
      <c r="F35" s="404">
        <v>1000000</v>
      </c>
    </row>
    <row r="36" spans="1:8">
      <c r="A36" s="367" t="s">
        <v>116</v>
      </c>
      <c r="B36" s="365" t="s">
        <v>242</v>
      </c>
      <c r="C36" s="412"/>
      <c r="D36" s="413"/>
      <c r="E36" s="413"/>
      <c r="F36" s="414">
        <f>SUM(F37:F42)</f>
        <v>299500000</v>
      </c>
    </row>
    <row r="37" spans="1:8">
      <c r="A37" s="369">
        <v>1</v>
      </c>
      <c r="B37" s="370" t="s">
        <v>932</v>
      </c>
      <c r="C37" s="369" t="s">
        <v>108</v>
      </c>
      <c r="D37" s="42">
        <f>D27</f>
        <v>160</v>
      </c>
      <c r="E37" s="42">
        <v>300000</v>
      </c>
      <c r="F37" s="404">
        <f>E37*D37</f>
        <v>48000000</v>
      </c>
    </row>
    <row r="38" spans="1:8">
      <c r="A38" s="369">
        <v>2</v>
      </c>
      <c r="B38" s="370" t="s">
        <v>933</v>
      </c>
      <c r="C38" s="369" t="s">
        <v>108</v>
      </c>
      <c r="D38" s="42">
        <f>D28</f>
        <v>130</v>
      </c>
      <c r="E38" s="42">
        <v>250000</v>
      </c>
      <c r="F38" s="404">
        <f>E38*D38</f>
        <v>32500000</v>
      </c>
    </row>
    <row r="39" spans="1:8">
      <c r="A39" s="369">
        <v>3</v>
      </c>
      <c r="B39" s="370" t="s">
        <v>934</v>
      </c>
      <c r="C39" s="369" t="s">
        <v>108</v>
      </c>
      <c r="D39" s="42">
        <f>D29</f>
        <v>150</v>
      </c>
      <c r="E39" s="42">
        <v>210000</v>
      </c>
      <c r="F39" s="404">
        <f>E39*D39</f>
        <v>31500000</v>
      </c>
    </row>
    <row r="40" spans="1:8">
      <c r="A40" s="369">
        <v>4</v>
      </c>
      <c r="B40" s="370" t="s">
        <v>935</v>
      </c>
      <c r="C40" s="369" t="s">
        <v>108</v>
      </c>
      <c r="D40" s="42">
        <f>D30</f>
        <v>150</v>
      </c>
      <c r="E40" s="42">
        <v>550000</v>
      </c>
      <c r="F40" s="404">
        <f>E40*D40</f>
        <v>82500000</v>
      </c>
    </row>
    <row r="41" spans="1:8">
      <c r="A41" s="369">
        <v>5</v>
      </c>
      <c r="B41" s="370" t="s">
        <v>946</v>
      </c>
      <c r="C41" s="369"/>
      <c r="D41" s="42">
        <f>D32</f>
        <v>0</v>
      </c>
      <c r="E41" s="42"/>
      <c r="F41" s="404">
        <v>45000000</v>
      </c>
    </row>
    <row r="42" spans="1:8">
      <c r="A42" s="369">
        <v>6</v>
      </c>
      <c r="B42" s="370" t="s">
        <v>947</v>
      </c>
      <c r="C42" s="416"/>
      <c r="D42" s="416"/>
      <c r="E42" s="416"/>
      <c r="F42" s="417">
        <v>60000000</v>
      </c>
    </row>
    <row r="43" spans="1:8">
      <c r="A43" s="367" t="s">
        <v>135</v>
      </c>
      <c r="B43" s="365" t="s">
        <v>406</v>
      </c>
      <c r="C43" s="365"/>
      <c r="D43" s="365"/>
      <c r="E43" s="365"/>
      <c r="F43" s="403">
        <f>F36-F26</f>
        <v>18600000</v>
      </c>
    </row>
  </sheetData>
  <mergeCells count="1">
    <mergeCell ref="B23:C23"/>
  </mergeCells>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4"/>
  <dimension ref="A1:G52"/>
  <sheetViews>
    <sheetView workbookViewId="0">
      <selection activeCell="C2" sqref="C2"/>
    </sheetView>
  </sheetViews>
  <sheetFormatPr defaultRowHeight="16.5"/>
  <cols>
    <col min="1" max="1" width="4.140625" style="311" bestFit="1" customWidth="1"/>
    <col min="2" max="2" width="42.7109375" style="311" customWidth="1"/>
    <col min="3" max="3" width="16" style="311" customWidth="1"/>
    <col min="4" max="5" width="21.140625" style="311" customWidth="1"/>
    <col min="6" max="16384" width="9.140625" style="311"/>
  </cols>
  <sheetData>
    <row r="1" spans="1:7">
      <c r="C1" s="311" t="s">
        <v>996</v>
      </c>
      <c r="G1" s="309" t="s">
        <v>1020</v>
      </c>
    </row>
    <row r="6" spans="1:7">
      <c r="A6" s="1941" t="s">
        <v>0</v>
      </c>
      <c r="B6" s="1941" t="s">
        <v>326</v>
      </c>
      <c r="C6" s="1941" t="s">
        <v>1</v>
      </c>
      <c r="D6" s="1941" t="s">
        <v>327</v>
      </c>
      <c r="E6" s="1942" t="s">
        <v>226</v>
      </c>
    </row>
    <row r="7" spans="1:7">
      <c r="A7" s="1942" t="s">
        <v>109</v>
      </c>
      <c r="B7" s="1941" t="s">
        <v>359</v>
      </c>
      <c r="C7" s="1941"/>
      <c r="D7" s="1943"/>
      <c r="E7" s="1944">
        <v>2052600000</v>
      </c>
    </row>
    <row r="8" spans="1:7">
      <c r="A8" s="1942" t="s">
        <v>480</v>
      </c>
      <c r="B8" s="1941" t="s">
        <v>2836</v>
      </c>
      <c r="C8" s="1941"/>
      <c r="D8" s="1943"/>
      <c r="E8" s="1944">
        <v>1869000000</v>
      </c>
    </row>
    <row r="9" spans="1:7">
      <c r="A9" s="1945">
        <v>1</v>
      </c>
      <c r="B9" s="1946" t="s">
        <v>2835</v>
      </c>
      <c r="C9" s="1947">
        <v>500</v>
      </c>
      <c r="D9" s="1948">
        <v>170000</v>
      </c>
      <c r="E9" s="1948">
        <v>85000000</v>
      </c>
    </row>
    <row r="10" spans="1:7">
      <c r="A10" s="1945">
        <v>2</v>
      </c>
      <c r="B10" s="1946" t="s">
        <v>2834</v>
      </c>
      <c r="C10" s="1947">
        <v>500</v>
      </c>
      <c r="D10" s="1948">
        <v>160000</v>
      </c>
      <c r="E10" s="1948">
        <v>80000000</v>
      </c>
    </row>
    <row r="11" spans="1:7">
      <c r="A11" s="1945">
        <v>3</v>
      </c>
      <c r="B11" s="1946" t="s">
        <v>888</v>
      </c>
      <c r="C11" s="1947">
        <v>500</v>
      </c>
      <c r="D11" s="1948">
        <v>465000</v>
      </c>
      <c r="E11" s="1948">
        <v>232500000</v>
      </c>
    </row>
    <row r="12" spans="1:7">
      <c r="A12" s="1945">
        <v>4</v>
      </c>
      <c r="B12" s="1946" t="s">
        <v>2833</v>
      </c>
      <c r="C12" s="1947">
        <v>500</v>
      </c>
      <c r="D12" s="1948">
        <v>35000</v>
      </c>
      <c r="E12" s="1948">
        <v>17500000</v>
      </c>
    </row>
    <row r="13" spans="1:7">
      <c r="A13" s="1945">
        <v>5</v>
      </c>
      <c r="B13" s="1946" t="s">
        <v>2832</v>
      </c>
      <c r="C13" s="1947">
        <v>500</v>
      </c>
      <c r="D13" s="1948">
        <v>75000</v>
      </c>
      <c r="E13" s="1948">
        <v>37500000</v>
      </c>
    </row>
    <row r="14" spans="1:7">
      <c r="A14" s="1945">
        <v>6</v>
      </c>
      <c r="B14" s="1946" t="s">
        <v>2831</v>
      </c>
      <c r="C14" s="1947">
        <v>500</v>
      </c>
      <c r="D14" s="1948">
        <v>100000</v>
      </c>
      <c r="E14" s="1948">
        <v>50000000</v>
      </c>
    </row>
    <row r="15" spans="1:7">
      <c r="A15" s="1945">
        <v>7</v>
      </c>
      <c r="B15" s="1946" t="s">
        <v>2830</v>
      </c>
      <c r="C15" s="1947">
        <v>500</v>
      </c>
      <c r="D15" s="1948">
        <v>30000</v>
      </c>
      <c r="E15" s="1948">
        <v>15000000</v>
      </c>
    </row>
    <row r="16" spans="1:7">
      <c r="A16" s="1945">
        <v>8</v>
      </c>
      <c r="B16" s="1946" t="s">
        <v>2829</v>
      </c>
      <c r="C16" s="1947">
        <v>500</v>
      </c>
      <c r="D16" s="1948">
        <v>460000</v>
      </c>
      <c r="E16" s="1948">
        <v>230000000</v>
      </c>
    </row>
    <row r="17" spans="1:5">
      <c r="A17" s="1945">
        <v>9</v>
      </c>
      <c r="B17" s="1946" t="s">
        <v>2828</v>
      </c>
      <c r="C17" s="1947">
        <v>500</v>
      </c>
      <c r="D17" s="1948">
        <v>160000</v>
      </c>
      <c r="E17" s="1948">
        <v>80000000</v>
      </c>
    </row>
    <row r="18" spans="1:5">
      <c r="A18" s="1945">
        <v>10</v>
      </c>
      <c r="B18" s="1946" t="s">
        <v>2827</v>
      </c>
      <c r="C18" s="1947">
        <v>500</v>
      </c>
      <c r="D18" s="1948">
        <v>130000</v>
      </c>
      <c r="E18" s="1948">
        <v>65000000</v>
      </c>
    </row>
    <row r="19" spans="1:5">
      <c r="A19" s="1945">
        <v>11</v>
      </c>
      <c r="B19" s="1946" t="s">
        <v>2826</v>
      </c>
      <c r="C19" s="1947">
        <v>500</v>
      </c>
      <c r="D19" s="1948">
        <v>180000</v>
      </c>
      <c r="E19" s="1948">
        <v>90000000</v>
      </c>
    </row>
    <row r="20" spans="1:5">
      <c r="A20" s="1945">
        <v>12</v>
      </c>
      <c r="B20" s="1946" t="s">
        <v>2825</v>
      </c>
      <c r="C20" s="1947">
        <v>500</v>
      </c>
      <c r="D20" s="1948">
        <v>160000</v>
      </c>
      <c r="E20" s="1948">
        <v>80000000</v>
      </c>
    </row>
    <row r="21" spans="1:5">
      <c r="A21" s="1945">
        <v>13</v>
      </c>
      <c r="B21" s="1946" t="s">
        <v>2824</v>
      </c>
      <c r="C21" s="1947">
        <v>500</v>
      </c>
      <c r="D21" s="1948">
        <v>90000</v>
      </c>
      <c r="E21" s="1948">
        <v>45000000</v>
      </c>
    </row>
    <row r="22" spans="1:5">
      <c r="A22" s="1945">
        <v>14</v>
      </c>
      <c r="B22" s="1946" t="s">
        <v>2823</v>
      </c>
      <c r="C22" s="1947">
        <v>500</v>
      </c>
      <c r="D22" s="1948">
        <v>130000</v>
      </c>
      <c r="E22" s="1948">
        <v>65000000</v>
      </c>
    </row>
    <row r="23" spans="1:5">
      <c r="A23" s="1945">
        <v>15</v>
      </c>
      <c r="B23" s="1946" t="s">
        <v>2822</v>
      </c>
      <c r="C23" s="1947">
        <v>500</v>
      </c>
      <c r="D23" s="1948">
        <v>30000</v>
      </c>
      <c r="E23" s="1948">
        <v>15000000</v>
      </c>
    </row>
    <row r="24" spans="1:5">
      <c r="A24" s="1945">
        <v>16</v>
      </c>
      <c r="B24" s="1946" t="s">
        <v>2821</v>
      </c>
      <c r="C24" s="1947">
        <v>500</v>
      </c>
      <c r="D24" s="1948">
        <v>80000</v>
      </c>
      <c r="E24" s="1948">
        <v>40000000</v>
      </c>
    </row>
    <row r="25" spans="1:5">
      <c r="A25" s="1945">
        <v>17</v>
      </c>
      <c r="B25" s="1946" t="s">
        <v>2820</v>
      </c>
      <c r="C25" s="1947">
        <v>500</v>
      </c>
      <c r="D25" s="1948">
        <v>45000</v>
      </c>
      <c r="E25" s="1948">
        <v>22500000</v>
      </c>
    </row>
    <row r="26" spans="1:5">
      <c r="A26" s="1945">
        <v>18</v>
      </c>
      <c r="B26" s="1946" t="s">
        <v>2819</v>
      </c>
      <c r="C26" s="1947">
        <v>500</v>
      </c>
      <c r="D26" s="1948">
        <v>60000</v>
      </c>
      <c r="E26" s="1948">
        <v>30000000</v>
      </c>
    </row>
    <row r="27" spans="1:5">
      <c r="A27" s="1945">
        <v>19</v>
      </c>
      <c r="B27" s="1946" t="s">
        <v>2818</v>
      </c>
      <c r="C27" s="1947">
        <v>500</v>
      </c>
      <c r="D27" s="1948">
        <v>100000</v>
      </c>
      <c r="E27" s="1948">
        <v>50000000</v>
      </c>
    </row>
    <row r="28" spans="1:5">
      <c r="A28" s="1945">
        <v>20</v>
      </c>
      <c r="B28" s="1946" t="s">
        <v>2817</v>
      </c>
      <c r="C28" s="1947">
        <v>500</v>
      </c>
      <c r="D28" s="1948">
        <v>100000</v>
      </c>
      <c r="E28" s="1948">
        <v>50000000</v>
      </c>
    </row>
    <row r="29" spans="1:5">
      <c r="A29" s="1945">
        <v>21</v>
      </c>
      <c r="B29" s="1946" t="s">
        <v>2816</v>
      </c>
      <c r="C29" s="1947">
        <v>500</v>
      </c>
      <c r="D29" s="1948">
        <v>110000</v>
      </c>
      <c r="E29" s="1948">
        <v>55000000</v>
      </c>
    </row>
    <row r="30" spans="1:5">
      <c r="A30" s="1945">
        <v>22</v>
      </c>
      <c r="B30" s="1946" t="s">
        <v>2815</v>
      </c>
      <c r="C30" s="1947">
        <v>500</v>
      </c>
      <c r="D30" s="1948">
        <v>105000</v>
      </c>
      <c r="E30" s="1948">
        <v>52500000</v>
      </c>
    </row>
    <row r="31" spans="1:5">
      <c r="A31" s="1945">
        <v>23</v>
      </c>
      <c r="B31" s="1946" t="s">
        <v>2814</v>
      </c>
      <c r="C31" s="1947">
        <v>500</v>
      </c>
      <c r="D31" s="1948">
        <v>115000</v>
      </c>
      <c r="E31" s="1948">
        <v>57500000</v>
      </c>
    </row>
    <row r="32" spans="1:5">
      <c r="A32" s="1945">
        <v>24</v>
      </c>
      <c r="B32" s="1946" t="s">
        <v>2813</v>
      </c>
      <c r="C32" s="1947">
        <v>500</v>
      </c>
      <c r="D32" s="1948">
        <v>53000</v>
      </c>
      <c r="E32" s="1948">
        <v>26500000</v>
      </c>
    </row>
    <row r="33" spans="1:5">
      <c r="A33" s="1945">
        <v>25</v>
      </c>
      <c r="B33" s="1946" t="s">
        <v>2812</v>
      </c>
      <c r="C33" s="1947">
        <v>500</v>
      </c>
      <c r="D33" s="1948">
        <v>130000</v>
      </c>
      <c r="E33" s="1948">
        <v>65000000</v>
      </c>
    </row>
    <row r="34" spans="1:5">
      <c r="A34" s="1945">
        <v>26</v>
      </c>
      <c r="B34" s="1946" t="s">
        <v>2811</v>
      </c>
      <c r="C34" s="1947">
        <v>500</v>
      </c>
      <c r="D34" s="1948">
        <v>50000</v>
      </c>
      <c r="E34" s="1948">
        <v>25000000</v>
      </c>
    </row>
    <row r="35" spans="1:5">
      <c r="A35" s="1945">
        <v>27</v>
      </c>
      <c r="B35" s="1946" t="s">
        <v>887</v>
      </c>
      <c r="C35" s="1947">
        <v>500</v>
      </c>
      <c r="D35" s="1948">
        <v>60000</v>
      </c>
      <c r="E35" s="1948">
        <v>30000000</v>
      </c>
    </row>
    <row r="36" spans="1:5">
      <c r="A36" s="1945">
        <v>28</v>
      </c>
      <c r="B36" s="1946" t="s">
        <v>2810</v>
      </c>
      <c r="C36" s="1947">
        <v>500</v>
      </c>
      <c r="D36" s="1948">
        <v>115000</v>
      </c>
      <c r="E36" s="1948">
        <v>57500000</v>
      </c>
    </row>
    <row r="37" spans="1:5">
      <c r="A37" s="1945">
        <v>29</v>
      </c>
      <c r="B37" s="1946" t="s">
        <v>2809</v>
      </c>
      <c r="C37" s="1947">
        <v>500</v>
      </c>
      <c r="D37" s="1948">
        <v>60000</v>
      </c>
      <c r="E37" s="1948">
        <v>30000000</v>
      </c>
    </row>
    <row r="38" spans="1:5">
      <c r="A38" s="1945">
        <v>30</v>
      </c>
      <c r="B38" s="1946" t="s">
        <v>2808</v>
      </c>
      <c r="C38" s="1947">
        <v>500</v>
      </c>
      <c r="D38" s="1948">
        <v>90000</v>
      </c>
      <c r="E38" s="1948">
        <v>45000000</v>
      </c>
    </row>
    <row r="39" spans="1:5">
      <c r="A39" s="1945">
        <v>31</v>
      </c>
      <c r="B39" s="1946" t="s">
        <v>2807</v>
      </c>
      <c r="C39" s="1947">
        <v>500</v>
      </c>
      <c r="D39" s="1948">
        <v>90000</v>
      </c>
      <c r="E39" s="1948">
        <v>45000000</v>
      </c>
    </row>
    <row r="40" spans="1:5">
      <c r="A40" s="1942" t="s">
        <v>485</v>
      </c>
      <c r="B40" s="1941" t="s">
        <v>2806</v>
      </c>
      <c r="C40" s="1947"/>
      <c r="D40" s="1943"/>
      <c r="E40" s="1944">
        <v>183600000</v>
      </c>
    </row>
    <row r="41" spans="1:5">
      <c r="A41" s="1945">
        <v>1</v>
      </c>
      <c r="B41" s="1946" t="s">
        <v>2805</v>
      </c>
      <c r="C41" s="1947"/>
      <c r="D41" s="1948">
        <v>96000000</v>
      </c>
      <c r="E41" s="1948">
        <v>96000000</v>
      </c>
    </row>
    <row r="42" spans="1:5">
      <c r="A42" s="1945">
        <v>2</v>
      </c>
      <c r="B42" s="1946" t="s">
        <v>131</v>
      </c>
      <c r="C42" s="1947">
        <v>12</v>
      </c>
      <c r="D42" s="1948">
        <v>300000</v>
      </c>
      <c r="E42" s="1948">
        <v>3600000</v>
      </c>
    </row>
    <row r="43" spans="1:5">
      <c r="A43" s="1945">
        <v>3</v>
      </c>
      <c r="B43" s="1946" t="s">
        <v>2804</v>
      </c>
      <c r="C43" s="1947">
        <v>12</v>
      </c>
      <c r="D43" s="1948">
        <v>1000000</v>
      </c>
      <c r="E43" s="1948">
        <v>12000000</v>
      </c>
    </row>
    <row r="44" spans="1:5">
      <c r="A44" s="1945">
        <v>4</v>
      </c>
      <c r="B44" s="1946" t="s">
        <v>21</v>
      </c>
      <c r="C44" s="1947">
        <v>12</v>
      </c>
      <c r="D44" s="1948">
        <v>6000000</v>
      </c>
      <c r="E44" s="1948">
        <v>72000000</v>
      </c>
    </row>
    <row r="45" spans="1:5" ht="33">
      <c r="A45" s="1942" t="s">
        <v>116</v>
      </c>
      <c r="B45" s="1941" t="s">
        <v>2803</v>
      </c>
      <c r="C45" s="1946"/>
      <c r="D45" s="1947"/>
      <c r="E45" s="1944">
        <v>2336250000</v>
      </c>
    </row>
    <row r="46" spans="1:5" ht="17.25">
      <c r="A46" s="1949" t="s">
        <v>135</v>
      </c>
      <c r="B46" s="1950" t="s">
        <v>136</v>
      </c>
      <c r="C46" s="1950"/>
      <c r="D46" s="1951"/>
      <c r="E46" s="1952">
        <v>283650000</v>
      </c>
    </row>
    <row r="48" spans="1:5">
      <c r="A48" s="1888"/>
      <c r="B48" s="1888" t="s">
        <v>25</v>
      </c>
      <c r="C48" s="1888"/>
      <c r="D48" s="1953">
        <v>1956600000</v>
      </c>
      <c r="E48" s="1888"/>
    </row>
    <row r="49" spans="1:5">
      <c r="A49" s="1888"/>
      <c r="B49" s="1888" t="s">
        <v>2802</v>
      </c>
      <c r="C49" s="1888"/>
      <c r="D49" s="1888">
        <v>1.2</v>
      </c>
      <c r="E49" s="1888"/>
    </row>
    <row r="50" spans="1:5">
      <c r="A50" s="1888"/>
      <c r="B50" s="1888" t="s">
        <v>2801</v>
      </c>
      <c r="C50" s="1888"/>
      <c r="D50" s="1954">
        <v>1630500000</v>
      </c>
      <c r="E50" s="1888"/>
    </row>
    <row r="51" spans="1:5">
      <c r="A51" s="1888"/>
      <c r="B51" s="1888" t="s">
        <v>2800</v>
      </c>
      <c r="C51" s="1888" t="s">
        <v>2799</v>
      </c>
      <c r="D51" s="1888">
        <v>1200000000</v>
      </c>
      <c r="E51" s="1888"/>
    </row>
    <row r="52" spans="1:5">
      <c r="A52" s="1888"/>
      <c r="B52" s="1888"/>
      <c r="C52" s="1888"/>
      <c r="D52" s="1955">
        <v>430500000</v>
      </c>
      <c r="E52" s="1888"/>
    </row>
  </sheetData>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Q59"/>
  <sheetViews>
    <sheetView workbookViewId="0">
      <selection activeCell="C2" sqref="C2"/>
    </sheetView>
  </sheetViews>
  <sheetFormatPr defaultRowHeight="16.5"/>
  <cols>
    <col min="1" max="1" width="9.28515625" style="381" bestFit="1" customWidth="1"/>
    <col min="2" max="2" width="27.85546875" style="381" customWidth="1"/>
    <col min="3" max="3" width="9.140625" style="381"/>
    <col min="4" max="4" width="9.28515625" style="381" bestFit="1" customWidth="1"/>
    <col min="5" max="5" width="12.7109375" style="381" bestFit="1" customWidth="1"/>
    <col min="6" max="6" width="16.140625" style="381" bestFit="1" customWidth="1"/>
    <col min="7" max="7" width="9.140625" style="381"/>
    <col min="8" max="8" width="14.42578125" style="381" bestFit="1" customWidth="1"/>
    <col min="9" max="9" width="9.140625" style="381"/>
    <col min="10" max="10" width="4.28515625" style="381" bestFit="1" customWidth="1"/>
    <col min="11" max="11" width="35.28515625" style="381" customWidth="1"/>
    <col min="12" max="12" width="9.140625" style="381"/>
    <col min="13" max="13" width="7.5703125" style="381" bestFit="1" customWidth="1"/>
    <col min="14" max="14" width="12.7109375" style="381" bestFit="1" customWidth="1"/>
    <col min="15" max="15" width="16.140625" style="381" bestFit="1" customWidth="1"/>
    <col min="16" max="16" width="9.140625" style="381"/>
    <col min="17" max="17" width="14.42578125" style="381" bestFit="1" customWidth="1"/>
    <col min="18" max="16384" width="9.140625" style="381"/>
  </cols>
  <sheetData>
    <row r="1" spans="1:17">
      <c r="C1" s="381" t="s">
        <v>948</v>
      </c>
      <c r="G1" s="438" t="s">
        <v>1020</v>
      </c>
    </row>
    <row r="4" spans="1:17" ht="33">
      <c r="A4" s="395" t="s">
        <v>0</v>
      </c>
      <c r="B4" s="395" t="s">
        <v>103</v>
      </c>
      <c r="C4" s="395" t="s">
        <v>2</v>
      </c>
      <c r="D4" s="395" t="s">
        <v>1</v>
      </c>
      <c r="E4" s="395" t="s">
        <v>3</v>
      </c>
      <c r="F4" s="395" t="s">
        <v>4</v>
      </c>
      <c r="J4" s="395" t="s">
        <v>0</v>
      </c>
      <c r="K4" s="395" t="s">
        <v>103</v>
      </c>
      <c r="L4" s="395" t="s">
        <v>2</v>
      </c>
      <c r="M4" s="395" t="s">
        <v>1</v>
      </c>
      <c r="N4" s="395" t="s">
        <v>3</v>
      </c>
      <c r="O4" s="395" t="s">
        <v>4</v>
      </c>
    </row>
    <row r="5" spans="1:17">
      <c r="A5" s="367" t="s">
        <v>109</v>
      </c>
      <c r="B5" s="365" t="s">
        <v>359</v>
      </c>
      <c r="C5" s="365"/>
      <c r="D5" s="365"/>
      <c r="E5" s="365"/>
      <c r="F5" s="403">
        <f>SUM(F6:F22)</f>
        <v>1008233333.3333334</v>
      </c>
      <c r="H5" s="405"/>
      <c r="J5" s="367" t="s">
        <v>109</v>
      </c>
      <c r="K5" s="365" t="s">
        <v>359</v>
      </c>
      <c r="L5" s="365"/>
      <c r="M5" s="365"/>
      <c r="N5" s="365"/>
      <c r="O5" s="403">
        <f>SUM(O6:O22)</f>
        <v>350225000</v>
      </c>
      <c r="Q5" s="405"/>
    </row>
    <row r="6" spans="1:17">
      <c r="A6" s="369">
        <v>1</v>
      </c>
      <c r="B6" s="370" t="s">
        <v>932</v>
      </c>
      <c r="C6" s="369" t="s">
        <v>108</v>
      </c>
      <c r="D6" s="42">
        <v>160</v>
      </c>
      <c r="E6" s="42">
        <v>270000</v>
      </c>
      <c r="F6" s="404">
        <f>E6*D6</f>
        <v>43200000</v>
      </c>
      <c r="G6" s="396"/>
      <c r="H6" s="405">
        <f>SUM(F6:F19)</f>
        <v>940900000</v>
      </c>
      <c r="J6" s="369">
        <v>1</v>
      </c>
      <c r="K6" s="370" t="s">
        <v>932</v>
      </c>
      <c r="L6" s="369" t="s">
        <v>108</v>
      </c>
      <c r="M6" s="42">
        <v>120</v>
      </c>
      <c r="N6" s="42">
        <v>270000</v>
      </c>
      <c r="O6" s="404">
        <f>N6*M6</f>
        <v>32400000</v>
      </c>
      <c r="P6" s="396"/>
      <c r="Q6" s="405">
        <f>SUM(O6:O19)</f>
        <v>319100000</v>
      </c>
    </row>
    <row r="7" spans="1:17">
      <c r="A7" s="369">
        <v>2</v>
      </c>
      <c r="B7" s="370" t="s">
        <v>933</v>
      </c>
      <c r="C7" s="369" t="s">
        <v>108</v>
      </c>
      <c r="D7" s="42">
        <v>130</v>
      </c>
      <c r="E7" s="42">
        <v>210000</v>
      </c>
      <c r="F7" s="404">
        <f t="shared" ref="F7:F14" si="0">E7*D7</f>
        <v>27300000</v>
      </c>
      <c r="G7" s="396"/>
      <c r="H7" s="405"/>
      <c r="J7" s="369">
        <v>2</v>
      </c>
      <c r="K7" s="370" t="s">
        <v>933</v>
      </c>
      <c r="L7" s="369" t="s">
        <v>108</v>
      </c>
      <c r="M7" s="42">
        <v>80</v>
      </c>
      <c r="N7" s="42">
        <v>210000</v>
      </c>
      <c r="O7" s="404">
        <f t="shared" ref="O7:O14" si="1">N7*M7</f>
        <v>16800000</v>
      </c>
      <c r="P7" s="396"/>
      <c r="Q7" s="405"/>
    </row>
    <row r="8" spans="1:17">
      <c r="A8" s="369">
        <v>3</v>
      </c>
      <c r="B8" s="370" t="s">
        <v>934</v>
      </c>
      <c r="C8" s="369" t="s">
        <v>108</v>
      </c>
      <c r="D8" s="42">
        <v>150</v>
      </c>
      <c r="E8" s="42">
        <v>190000</v>
      </c>
      <c r="F8" s="404">
        <f t="shared" si="0"/>
        <v>28500000</v>
      </c>
      <c r="G8" s="396"/>
      <c r="J8" s="369">
        <v>3</v>
      </c>
      <c r="K8" s="370" t="s">
        <v>934</v>
      </c>
      <c r="L8" s="369" t="s">
        <v>108</v>
      </c>
      <c r="M8" s="42">
        <v>60</v>
      </c>
      <c r="N8" s="42">
        <v>190000</v>
      </c>
      <c r="O8" s="404">
        <f t="shared" si="1"/>
        <v>11400000</v>
      </c>
      <c r="P8" s="396"/>
    </row>
    <row r="9" spans="1:17">
      <c r="A9" s="369">
        <v>4</v>
      </c>
      <c r="B9" s="370" t="s">
        <v>935</v>
      </c>
      <c r="C9" s="369" t="s">
        <v>108</v>
      </c>
      <c r="D9" s="42">
        <v>150</v>
      </c>
      <c r="E9" s="42">
        <v>450000</v>
      </c>
      <c r="F9" s="404">
        <f t="shared" si="0"/>
        <v>67500000</v>
      </c>
      <c r="G9" s="396"/>
      <c r="J9" s="369">
        <v>4</v>
      </c>
      <c r="K9" s="370" t="s">
        <v>935</v>
      </c>
      <c r="L9" s="369" t="s">
        <v>108</v>
      </c>
      <c r="M9" s="42">
        <v>40</v>
      </c>
      <c r="N9" s="42">
        <v>450000</v>
      </c>
      <c r="O9" s="404">
        <f t="shared" si="1"/>
        <v>18000000</v>
      </c>
      <c r="P9" s="396"/>
    </row>
    <row r="10" spans="1:17">
      <c r="A10" s="369">
        <v>5</v>
      </c>
      <c r="B10" s="370" t="s">
        <v>936</v>
      </c>
      <c r="C10" s="369" t="s">
        <v>108</v>
      </c>
      <c r="D10" s="42">
        <v>150</v>
      </c>
      <c r="E10" s="42">
        <v>230000</v>
      </c>
      <c r="F10" s="404">
        <f t="shared" si="0"/>
        <v>34500000</v>
      </c>
      <c r="G10" s="396"/>
      <c r="J10" s="369">
        <v>5</v>
      </c>
      <c r="K10" s="370" t="s">
        <v>936</v>
      </c>
      <c r="L10" s="369" t="s">
        <v>108</v>
      </c>
      <c r="M10" s="42">
        <v>120</v>
      </c>
      <c r="N10" s="42">
        <v>230000</v>
      </c>
      <c r="O10" s="404">
        <f t="shared" si="1"/>
        <v>27600000</v>
      </c>
      <c r="P10" s="396"/>
    </row>
    <row r="11" spans="1:17">
      <c r="A11" s="369">
        <v>6</v>
      </c>
      <c r="B11" s="370" t="s">
        <v>937</v>
      </c>
      <c r="C11" s="369" t="s">
        <v>139</v>
      </c>
      <c r="D11" s="42">
        <v>150</v>
      </c>
      <c r="E11" s="42">
        <v>110000</v>
      </c>
      <c r="F11" s="404">
        <f t="shared" si="0"/>
        <v>16500000</v>
      </c>
      <c r="G11" s="396"/>
      <c r="H11" s="405"/>
      <c r="J11" s="369">
        <v>6</v>
      </c>
      <c r="K11" s="370" t="s">
        <v>937</v>
      </c>
      <c r="L11" s="369" t="s">
        <v>139</v>
      </c>
      <c r="M11" s="42">
        <v>50</v>
      </c>
      <c r="N11" s="42">
        <v>110000</v>
      </c>
      <c r="O11" s="404">
        <f t="shared" si="1"/>
        <v>5500000</v>
      </c>
      <c r="P11" s="396"/>
      <c r="Q11" s="405"/>
    </row>
    <row r="12" spans="1:17">
      <c r="A12" s="369">
        <v>7</v>
      </c>
      <c r="B12" s="370" t="s">
        <v>938</v>
      </c>
      <c r="C12" s="369" t="s">
        <v>139</v>
      </c>
      <c r="D12" s="42">
        <v>200</v>
      </c>
      <c r="E12" s="42">
        <v>110000</v>
      </c>
      <c r="F12" s="404">
        <f t="shared" si="0"/>
        <v>22000000</v>
      </c>
      <c r="G12" s="396"/>
      <c r="J12" s="369">
        <v>7</v>
      </c>
      <c r="K12" s="370" t="s">
        <v>938</v>
      </c>
      <c r="L12" s="369" t="s">
        <v>139</v>
      </c>
      <c r="M12" s="42">
        <v>60</v>
      </c>
      <c r="N12" s="42">
        <v>110000</v>
      </c>
      <c r="O12" s="404">
        <f t="shared" si="1"/>
        <v>6600000</v>
      </c>
      <c r="P12" s="396"/>
    </row>
    <row r="13" spans="1:17">
      <c r="A13" s="369">
        <v>8</v>
      </c>
      <c r="B13" s="370" t="s">
        <v>939</v>
      </c>
      <c r="C13" s="369" t="s">
        <v>108</v>
      </c>
      <c r="D13" s="42">
        <v>200</v>
      </c>
      <c r="E13" s="42">
        <v>350000</v>
      </c>
      <c r="F13" s="404">
        <f t="shared" si="0"/>
        <v>70000000</v>
      </c>
      <c r="G13" s="396"/>
      <c r="J13" s="369">
        <v>8</v>
      </c>
      <c r="K13" s="370" t="s">
        <v>939</v>
      </c>
      <c r="L13" s="369" t="s">
        <v>108</v>
      </c>
      <c r="M13" s="42">
        <v>30</v>
      </c>
      <c r="N13" s="42">
        <v>350000</v>
      </c>
      <c r="O13" s="404">
        <f t="shared" si="1"/>
        <v>10500000</v>
      </c>
      <c r="P13" s="396"/>
    </row>
    <row r="14" spans="1:17">
      <c r="A14" s="369">
        <v>9</v>
      </c>
      <c r="B14" s="370" t="s">
        <v>940</v>
      </c>
      <c r="C14" s="369" t="s">
        <v>139</v>
      </c>
      <c r="D14" s="42">
        <v>200</v>
      </c>
      <c r="E14" s="42">
        <v>390000</v>
      </c>
      <c r="F14" s="404">
        <f t="shared" si="0"/>
        <v>78000000</v>
      </c>
      <c r="G14" s="396"/>
      <c r="J14" s="369">
        <v>9</v>
      </c>
      <c r="K14" s="370" t="s">
        <v>940</v>
      </c>
      <c r="L14" s="369" t="s">
        <v>139</v>
      </c>
      <c r="M14" s="42">
        <v>100</v>
      </c>
      <c r="N14" s="42">
        <v>390000</v>
      </c>
      <c r="O14" s="404">
        <f t="shared" si="1"/>
        <v>39000000</v>
      </c>
      <c r="P14" s="396"/>
    </row>
    <row r="15" spans="1:17">
      <c r="A15" s="369">
        <v>11</v>
      </c>
      <c r="B15" s="370" t="s">
        <v>941</v>
      </c>
      <c r="C15" s="369" t="s">
        <v>108</v>
      </c>
      <c r="D15" s="42">
        <v>200</v>
      </c>
      <c r="E15" s="42">
        <v>1100000</v>
      </c>
      <c r="F15" s="404">
        <f>E15*D15</f>
        <v>220000000</v>
      </c>
      <c r="H15" s="405"/>
      <c r="J15" s="369">
        <v>10</v>
      </c>
      <c r="K15" s="370" t="s">
        <v>941</v>
      </c>
      <c r="L15" s="369" t="s">
        <v>108</v>
      </c>
      <c r="M15" s="42">
        <v>60</v>
      </c>
      <c r="N15" s="42">
        <v>1100000</v>
      </c>
      <c r="O15" s="404">
        <f>N15*M15</f>
        <v>66000000</v>
      </c>
      <c r="Q15" s="405"/>
    </row>
    <row r="16" spans="1:17">
      <c r="A16" s="369">
        <v>12</v>
      </c>
      <c r="B16" s="370" t="s">
        <v>942</v>
      </c>
      <c r="C16" s="369" t="s">
        <v>108</v>
      </c>
      <c r="D16" s="42">
        <v>190</v>
      </c>
      <c r="E16" s="42">
        <v>600000</v>
      </c>
      <c r="F16" s="404">
        <f>E16*D16</f>
        <v>114000000</v>
      </c>
      <c r="H16" s="405"/>
      <c r="J16" s="369">
        <v>11</v>
      </c>
      <c r="K16" s="370" t="s">
        <v>942</v>
      </c>
      <c r="L16" s="369" t="s">
        <v>108</v>
      </c>
      <c r="M16" s="42">
        <v>60</v>
      </c>
      <c r="N16" s="42">
        <v>600000</v>
      </c>
      <c r="O16" s="404">
        <f>N16*M16</f>
        <v>36000000</v>
      </c>
      <c r="Q16" s="405"/>
    </row>
    <row r="17" spans="1:17">
      <c r="A17" s="369">
        <v>13</v>
      </c>
      <c r="B17" s="370" t="s">
        <v>943</v>
      </c>
      <c r="C17" s="369" t="s">
        <v>108</v>
      </c>
      <c r="D17" s="42">
        <v>200</v>
      </c>
      <c r="E17" s="42">
        <v>500000</v>
      </c>
      <c r="F17" s="404">
        <f>E17*D17</f>
        <v>100000000</v>
      </c>
      <c r="H17" s="405"/>
      <c r="J17" s="369">
        <v>12</v>
      </c>
      <c r="K17" s="370" t="s">
        <v>943</v>
      </c>
      <c r="L17" s="369" t="s">
        <v>108</v>
      </c>
      <c r="M17" s="42">
        <v>20</v>
      </c>
      <c r="N17" s="42">
        <v>500000</v>
      </c>
      <c r="O17" s="404">
        <f>N17*M17</f>
        <v>10000000</v>
      </c>
      <c r="Q17" s="405"/>
    </row>
    <row r="18" spans="1:17">
      <c r="A18" s="369">
        <v>14</v>
      </c>
      <c r="B18" s="370" t="s">
        <v>944</v>
      </c>
      <c r="C18" s="369" t="s">
        <v>108</v>
      </c>
      <c r="D18" s="42">
        <v>220</v>
      </c>
      <c r="E18" s="42">
        <v>150000</v>
      </c>
      <c r="F18" s="404">
        <f>E18*D18</f>
        <v>33000000</v>
      </c>
      <c r="H18" s="405"/>
      <c r="J18" s="369">
        <v>13</v>
      </c>
      <c r="K18" s="370" t="s">
        <v>944</v>
      </c>
      <c r="L18" s="369" t="s">
        <v>108</v>
      </c>
      <c r="M18" s="42">
        <v>70</v>
      </c>
      <c r="N18" s="42">
        <v>150000</v>
      </c>
      <c r="O18" s="404">
        <f>N18*M18</f>
        <v>10500000</v>
      </c>
      <c r="Q18" s="405"/>
    </row>
    <row r="19" spans="1:17">
      <c r="A19" s="369">
        <v>15</v>
      </c>
      <c r="B19" s="370" t="s">
        <v>945</v>
      </c>
      <c r="C19" s="369" t="s">
        <v>108</v>
      </c>
      <c r="D19" s="42">
        <v>180</v>
      </c>
      <c r="E19" s="42">
        <v>480000</v>
      </c>
      <c r="F19" s="404">
        <f>E19*D19</f>
        <v>86400000</v>
      </c>
      <c r="H19" s="405"/>
      <c r="J19" s="369">
        <v>14</v>
      </c>
      <c r="K19" s="370" t="s">
        <v>945</v>
      </c>
      <c r="L19" s="369" t="s">
        <v>108</v>
      </c>
      <c r="M19" s="42">
        <v>60</v>
      </c>
      <c r="N19" s="42">
        <v>480000</v>
      </c>
      <c r="O19" s="404">
        <f>N19*M19</f>
        <v>28800000</v>
      </c>
      <c r="Q19" s="405"/>
    </row>
    <row r="20" spans="1:17">
      <c r="A20" s="369">
        <v>17</v>
      </c>
      <c r="B20" s="370" t="s">
        <v>323</v>
      </c>
      <c r="C20" s="370"/>
      <c r="D20" s="370"/>
      <c r="E20" s="370"/>
      <c r="F20" s="404">
        <v>5000000</v>
      </c>
      <c r="H20" s="381">
        <v>800000000</v>
      </c>
      <c r="J20" s="369">
        <v>15</v>
      </c>
      <c r="K20" s="370" t="s">
        <v>323</v>
      </c>
      <c r="L20" s="370"/>
      <c r="M20" s="370"/>
      <c r="N20" s="370"/>
      <c r="O20" s="404">
        <v>5000000</v>
      </c>
      <c r="Q20" s="381">
        <v>300000000</v>
      </c>
    </row>
    <row r="21" spans="1:17">
      <c r="A21" s="369">
        <v>18</v>
      </c>
      <c r="B21" s="370" t="s">
        <v>291</v>
      </c>
      <c r="C21" s="370"/>
      <c r="D21" s="370"/>
      <c r="E21" s="370"/>
      <c r="F21" s="404">
        <f>(H20*6.5*5+H20*8.5*7)/1200</f>
        <v>61333333.333333336</v>
      </c>
      <c r="H21" s="405"/>
      <c r="J21" s="369">
        <v>16</v>
      </c>
      <c r="K21" s="370" t="s">
        <v>291</v>
      </c>
      <c r="L21" s="370"/>
      <c r="M21" s="370"/>
      <c r="N21" s="370"/>
      <c r="O21" s="404">
        <f>(Q20*7.5*5+Q20*9*7)/1200</f>
        <v>25125000</v>
      </c>
      <c r="Q21" s="405"/>
    </row>
    <row r="22" spans="1:17">
      <c r="A22" s="369">
        <v>19</v>
      </c>
      <c r="B22" s="370" t="s">
        <v>292</v>
      </c>
      <c r="C22" s="370"/>
      <c r="D22" s="370"/>
      <c r="E22" s="370"/>
      <c r="F22" s="404">
        <v>1000000</v>
      </c>
      <c r="J22" s="369">
        <v>17</v>
      </c>
      <c r="K22" s="370" t="s">
        <v>292</v>
      </c>
      <c r="L22" s="370"/>
      <c r="M22" s="370"/>
      <c r="N22" s="370"/>
      <c r="O22" s="404">
        <v>1000000</v>
      </c>
    </row>
    <row r="23" spans="1:17">
      <c r="A23" s="367" t="s">
        <v>116</v>
      </c>
      <c r="B23" s="365" t="s">
        <v>242</v>
      </c>
      <c r="C23" s="412"/>
      <c r="D23" s="413"/>
      <c r="E23" s="413"/>
      <c r="F23" s="414">
        <f>SUM(F24:F37)</f>
        <v>1054910000</v>
      </c>
      <c r="J23" s="367" t="s">
        <v>116</v>
      </c>
      <c r="K23" s="365" t="s">
        <v>242</v>
      </c>
      <c r="L23" s="412"/>
      <c r="M23" s="413"/>
      <c r="N23" s="413"/>
      <c r="O23" s="414">
        <f>SUM(O24:O37)</f>
        <v>370695000</v>
      </c>
    </row>
    <row r="24" spans="1:17">
      <c r="A24" s="369">
        <v>1</v>
      </c>
      <c r="B24" s="370" t="s">
        <v>932</v>
      </c>
      <c r="C24" s="369" t="s">
        <v>108</v>
      </c>
      <c r="D24" s="42">
        <f t="shared" ref="D24:D32" si="2">D6</f>
        <v>160</v>
      </c>
      <c r="E24" s="42">
        <v>300000</v>
      </c>
      <c r="F24" s="404">
        <f>E24*D24</f>
        <v>48000000</v>
      </c>
      <c r="J24" s="369">
        <v>1</v>
      </c>
      <c r="K24" s="370" t="s">
        <v>932</v>
      </c>
      <c r="L24" s="369" t="s">
        <v>108</v>
      </c>
      <c r="M24" s="42">
        <f>M6</f>
        <v>120</v>
      </c>
      <c r="N24" s="42">
        <v>300000</v>
      </c>
      <c r="O24" s="404">
        <f t="shared" ref="O24:O37" si="3">N24*M24</f>
        <v>36000000</v>
      </c>
    </row>
    <row r="25" spans="1:17">
      <c r="A25" s="369">
        <v>2</v>
      </c>
      <c r="B25" s="370" t="s">
        <v>933</v>
      </c>
      <c r="C25" s="369" t="s">
        <v>108</v>
      </c>
      <c r="D25" s="42">
        <f t="shared" si="2"/>
        <v>130</v>
      </c>
      <c r="E25" s="42">
        <v>250000</v>
      </c>
      <c r="F25" s="404">
        <f>E25*D25</f>
        <v>32500000</v>
      </c>
      <c r="J25" s="369">
        <v>2</v>
      </c>
      <c r="K25" s="370" t="s">
        <v>933</v>
      </c>
      <c r="L25" s="369" t="s">
        <v>108</v>
      </c>
      <c r="M25" s="42">
        <f t="shared" ref="M25:M37" si="4">M7</f>
        <v>80</v>
      </c>
      <c r="N25" s="42">
        <v>250000</v>
      </c>
      <c r="O25" s="404">
        <f t="shared" si="3"/>
        <v>20000000</v>
      </c>
    </row>
    <row r="26" spans="1:17">
      <c r="A26" s="369">
        <v>3</v>
      </c>
      <c r="B26" s="370" t="s">
        <v>934</v>
      </c>
      <c r="C26" s="369" t="s">
        <v>108</v>
      </c>
      <c r="D26" s="42">
        <f t="shared" si="2"/>
        <v>150</v>
      </c>
      <c r="E26" s="42">
        <v>210000</v>
      </c>
      <c r="F26" s="404">
        <f t="shared" ref="F26:F32" si="5">E26*D26</f>
        <v>31500000</v>
      </c>
      <c r="J26" s="369">
        <v>3</v>
      </c>
      <c r="K26" s="370" t="s">
        <v>934</v>
      </c>
      <c r="L26" s="369" t="s">
        <v>108</v>
      </c>
      <c r="M26" s="42">
        <f t="shared" si="4"/>
        <v>60</v>
      </c>
      <c r="N26" s="42">
        <v>210000</v>
      </c>
      <c r="O26" s="404">
        <f t="shared" si="3"/>
        <v>12600000</v>
      </c>
    </row>
    <row r="27" spans="1:17">
      <c r="A27" s="369">
        <v>4</v>
      </c>
      <c r="B27" s="370" t="s">
        <v>935</v>
      </c>
      <c r="C27" s="369" t="s">
        <v>108</v>
      </c>
      <c r="D27" s="42">
        <f t="shared" si="2"/>
        <v>150</v>
      </c>
      <c r="E27" s="42">
        <v>550000</v>
      </c>
      <c r="F27" s="404">
        <f t="shared" si="5"/>
        <v>82500000</v>
      </c>
      <c r="J27" s="369">
        <v>4</v>
      </c>
      <c r="K27" s="370" t="s">
        <v>935</v>
      </c>
      <c r="L27" s="369" t="s">
        <v>108</v>
      </c>
      <c r="M27" s="42">
        <f t="shared" si="4"/>
        <v>40</v>
      </c>
      <c r="N27" s="42">
        <v>550000</v>
      </c>
      <c r="O27" s="404">
        <f t="shared" si="3"/>
        <v>22000000</v>
      </c>
    </row>
    <row r="28" spans="1:17">
      <c r="A28" s="369">
        <v>5</v>
      </c>
      <c r="B28" s="370" t="s">
        <v>936</v>
      </c>
      <c r="C28" s="369" t="s">
        <v>108</v>
      </c>
      <c r="D28" s="42">
        <f t="shared" si="2"/>
        <v>150</v>
      </c>
      <c r="E28" s="42">
        <v>260000</v>
      </c>
      <c r="F28" s="404">
        <f t="shared" si="5"/>
        <v>39000000</v>
      </c>
      <c r="J28" s="369">
        <v>5</v>
      </c>
      <c r="K28" s="370" t="s">
        <v>936</v>
      </c>
      <c r="L28" s="369" t="s">
        <v>108</v>
      </c>
      <c r="M28" s="42">
        <f t="shared" si="4"/>
        <v>120</v>
      </c>
      <c r="N28" s="42">
        <v>260000</v>
      </c>
      <c r="O28" s="404">
        <f t="shared" si="3"/>
        <v>31200000</v>
      </c>
    </row>
    <row r="29" spans="1:17">
      <c r="A29" s="369">
        <v>6</v>
      </c>
      <c r="B29" s="370" t="s">
        <v>937</v>
      </c>
      <c r="C29" s="369" t="s">
        <v>139</v>
      </c>
      <c r="D29" s="42">
        <f t="shared" si="2"/>
        <v>150</v>
      </c>
      <c r="E29" s="42">
        <v>140000</v>
      </c>
      <c r="F29" s="404">
        <f t="shared" si="5"/>
        <v>21000000</v>
      </c>
      <c r="J29" s="369">
        <v>6</v>
      </c>
      <c r="K29" s="370" t="s">
        <v>937</v>
      </c>
      <c r="L29" s="369" t="s">
        <v>139</v>
      </c>
      <c r="M29" s="42">
        <f t="shared" si="4"/>
        <v>50</v>
      </c>
      <c r="N29" s="42">
        <v>140000</v>
      </c>
      <c r="O29" s="404">
        <f t="shared" si="3"/>
        <v>7000000</v>
      </c>
    </row>
    <row r="30" spans="1:17">
      <c r="A30" s="369">
        <v>7</v>
      </c>
      <c r="B30" s="370" t="s">
        <v>938</v>
      </c>
      <c r="C30" s="369" t="s">
        <v>139</v>
      </c>
      <c r="D30" s="42">
        <f t="shared" si="2"/>
        <v>200</v>
      </c>
      <c r="E30" s="42">
        <v>140000</v>
      </c>
      <c r="F30" s="404">
        <f>E30*D30</f>
        <v>28000000</v>
      </c>
      <c r="J30" s="369">
        <v>7</v>
      </c>
      <c r="K30" s="370" t="s">
        <v>938</v>
      </c>
      <c r="L30" s="369" t="s">
        <v>139</v>
      </c>
      <c r="M30" s="42">
        <f t="shared" si="4"/>
        <v>60</v>
      </c>
      <c r="N30" s="42">
        <v>140000</v>
      </c>
      <c r="O30" s="404">
        <f t="shared" si="3"/>
        <v>8400000</v>
      </c>
    </row>
    <row r="31" spans="1:17">
      <c r="A31" s="369">
        <v>8</v>
      </c>
      <c r="B31" s="370" t="s">
        <v>939</v>
      </c>
      <c r="C31" s="369" t="s">
        <v>108</v>
      </c>
      <c r="D31" s="42">
        <f t="shared" si="2"/>
        <v>200</v>
      </c>
      <c r="E31" s="42">
        <v>450000</v>
      </c>
      <c r="F31" s="404">
        <f t="shared" si="5"/>
        <v>90000000</v>
      </c>
      <c r="J31" s="369">
        <v>8</v>
      </c>
      <c r="K31" s="370" t="s">
        <v>939</v>
      </c>
      <c r="L31" s="369" t="s">
        <v>108</v>
      </c>
      <c r="M31" s="42">
        <f t="shared" si="4"/>
        <v>30</v>
      </c>
      <c r="N31" s="42">
        <v>450000</v>
      </c>
      <c r="O31" s="404">
        <f t="shared" si="3"/>
        <v>13500000</v>
      </c>
    </row>
    <row r="32" spans="1:17">
      <c r="A32" s="369">
        <v>9</v>
      </c>
      <c r="B32" s="370" t="s">
        <v>940</v>
      </c>
      <c r="C32" s="369" t="s">
        <v>139</v>
      </c>
      <c r="D32" s="42">
        <f t="shared" si="2"/>
        <v>200</v>
      </c>
      <c r="E32" s="42">
        <v>460000</v>
      </c>
      <c r="F32" s="404">
        <f t="shared" si="5"/>
        <v>92000000</v>
      </c>
      <c r="J32" s="369">
        <v>9</v>
      </c>
      <c r="K32" s="370" t="s">
        <v>940</v>
      </c>
      <c r="L32" s="369" t="s">
        <v>139</v>
      </c>
      <c r="M32" s="42">
        <f t="shared" si="4"/>
        <v>100</v>
      </c>
      <c r="N32" s="42">
        <v>460000</v>
      </c>
      <c r="O32" s="404">
        <f t="shared" si="3"/>
        <v>46000000</v>
      </c>
    </row>
    <row r="33" spans="1:17">
      <c r="A33" s="369">
        <v>11</v>
      </c>
      <c r="B33" s="370" t="s">
        <v>941</v>
      </c>
      <c r="C33" s="369" t="s">
        <v>108</v>
      </c>
      <c r="D33" s="42">
        <v>180</v>
      </c>
      <c r="E33" s="42">
        <f>E15*1.15</f>
        <v>1265000</v>
      </c>
      <c r="F33" s="404">
        <f>E33*D33</f>
        <v>227700000</v>
      </c>
      <c r="H33" s="405"/>
      <c r="J33" s="369">
        <v>11</v>
      </c>
      <c r="K33" s="370" t="s">
        <v>941</v>
      </c>
      <c r="L33" s="369" t="s">
        <v>108</v>
      </c>
      <c r="M33" s="42">
        <f t="shared" si="4"/>
        <v>60</v>
      </c>
      <c r="N33" s="42">
        <f>N15*1.15</f>
        <v>1265000</v>
      </c>
      <c r="O33" s="404">
        <f t="shared" si="3"/>
        <v>75900000</v>
      </c>
      <c r="Q33" s="405"/>
    </row>
    <row r="34" spans="1:17">
      <c r="A34" s="369">
        <v>12</v>
      </c>
      <c r="B34" s="370" t="s">
        <v>942</v>
      </c>
      <c r="C34" s="369" t="s">
        <v>108</v>
      </c>
      <c r="D34" s="42">
        <v>160</v>
      </c>
      <c r="E34" s="42">
        <f>E16*1.15</f>
        <v>690000</v>
      </c>
      <c r="F34" s="404">
        <f>E34*D34</f>
        <v>110400000</v>
      </c>
      <c r="H34" s="405"/>
      <c r="J34" s="369">
        <v>12</v>
      </c>
      <c r="K34" s="370" t="s">
        <v>942</v>
      </c>
      <c r="L34" s="369" t="s">
        <v>108</v>
      </c>
      <c r="M34" s="42">
        <f t="shared" si="4"/>
        <v>60</v>
      </c>
      <c r="N34" s="42">
        <f>N16*1.15</f>
        <v>690000</v>
      </c>
      <c r="O34" s="404">
        <f t="shared" si="3"/>
        <v>41400000</v>
      </c>
      <c r="Q34" s="405"/>
    </row>
    <row r="35" spans="1:17">
      <c r="A35" s="369">
        <v>13</v>
      </c>
      <c r="B35" s="370" t="s">
        <v>943</v>
      </c>
      <c r="C35" s="369" t="s">
        <v>108</v>
      </c>
      <c r="D35" s="42">
        <v>200</v>
      </c>
      <c r="E35" s="42">
        <f>E17*1.15</f>
        <v>575000</v>
      </c>
      <c r="F35" s="404">
        <f>E35*D35</f>
        <v>115000000</v>
      </c>
      <c r="H35" s="405"/>
      <c r="J35" s="369">
        <v>13</v>
      </c>
      <c r="K35" s="370" t="s">
        <v>943</v>
      </c>
      <c r="L35" s="369" t="s">
        <v>108</v>
      </c>
      <c r="M35" s="42">
        <f t="shared" si="4"/>
        <v>20</v>
      </c>
      <c r="N35" s="42">
        <f>N17*1.15</f>
        <v>575000</v>
      </c>
      <c r="O35" s="404">
        <f t="shared" si="3"/>
        <v>11500000</v>
      </c>
      <c r="Q35" s="405"/>
    </row>
    <row r="36" spans="1:17">
      <c r="A36" s="369">
        <v>14</v>
      </c>
      <c r="B36" s="370" t="s">
        <v>944</v>
      </c>
      <c r="C36" s="369" t="s">
        <v>108</v>
      </c>
      <c r="D36" s="42">
        <v>220</v>
      </c>
      <c r="E36" s="42">
        <f>E18*1.15</f>
        <v>172500</v>
      </c>
      <c r="F36" s="404">
        <f>E36*D36</f>
        <v>37950000</v>
      </c>
      <c r="H36" s="405"/>
      <c r="J36" s="369">
        <v>14</v>
      </c>
      <c r="K36" s="370" t="s">
        <v>944</v>
      </c>
      <c r="L36" s="369" t="s">
        <v>108</v>
      </c>
      <c r="M36" s="42">
        <f t="shared" si="4"/>
        <v>70</v>
      </c>
      <c r="N36" s="42">
        <f>N18*1.15</f>
        <v>172500</v>
      </c>
      <c r="O36" s="404">
        <f t="shared" si="3"/>
        <v>12075000</v>
      </c>
      <c r="Q36" s="405"/>
    </row>
    <row r="37" spans="1:17">
      <c r="A37" s="369">
        <v>15</v>
      </c>
      <c r="B37" s="370" t="s">
        <v>945</v>
      </c>
      <c r="C37" s="369" t="s">
        <v>108</v>
      </c>
      <c r="D37" s="42">
        <v>180</v>
      </c>
      <c r="E37" s="42">
        <f>E19*1.15</f>
        <v>552000</v>
      </c>
      <c r="F37" s="404">
        <f>E37*D37</f>
        <v>99360000</v>
      </c>
      <c r="H37" s="405"/>
      <c r="J37" s="369">
        <v>15</v>
      </c>
      <c r="K37" s="370" t="s">
        <v>945</v>
      </c>
      <c r="L37" s="369" t="s">
        <v>108</v>
      </c>
      <c r="M37" s="42">
        <f t="shared" si="4"/>
        <v>60</v>
      </c>
      <c r="N37" s="42">
        <f>N19*1.15</f>
        <v>552000</v>
      </c>
      <c r="O37" s="404">
        <f t="shared" si="3"/>
        <v>33120000</v>
      </c>
      <c r="Q37" s="405"/>
    </row>
    <row r="38" spans="1:17">
      <c r="A38" s="369" t="s">
        <v>135</v>
      </c>
      <c r="B38" s="365" t="s">
        <v>406</v>
      </c>
      <c r="C38" s="365"/>
      <c r="D38" s="365"/>
      <c r="E38" s="365"/>
      <c r="F38" s="403">
        <f>F23-F5</f>
        <v>46676666.666666627</v>
      </c>
      <c r="J38" s="369" t="s">
        <v>135</v>
      </c>
      <c r="K38" s="365" t="s">
        <v>406</v>
      </c>
      <c r="L38" s="365"/>
      <c r="M38" s="365"/>
      <c r="N38" s="365"/>
      <c r="O38" s="403">
        <f>O23-O5</f>
        <v>20470000</v>
      </c>
    </row>
    <row r="39" spans="1:17" ht="16.5" customHeight="1">
      <c r="A39" s="369"/>
      <c r="B39" s="2581" t="s">
        <v>222</v>
      </c>
      <c r="C39" s="2582"/>
      <c r="D39" s="415"/>
      <c r="E39" s="415"/>
      <c r="F39" s="95">
        <f>F38/F23</f>
        <v>4.4247060570727956E-2</v>
      </c>
      <c r="J39" s="369"/>
      <c r="K39" s="2323" t="s">
        <v>222</v>
      </c>
      <c r="L39" s="2324"/>
      <c r="M39" s="415"/>
      <c r="N39" s="415"/>
      <c r="O39" s="95">
        <f>O38/O23</f>
        <v>5.5220599144849537E-2</v>
      </c>
    </row>
    <row r="41" spans="1:17" ht="33">
      <c r="A41" s="395" t="s">
        <v>0</v>
      </c>
      <c r="B41" s="395" t="s">
        <v>103</v>
      </c>
      <c r="C41" s="395" t="s">
        <v>2</v>
      </c>
      <c r="D41" s="395" t="s">
        <v>1</v>
      </c>
      <c r="E41" s="395" t="s">
        <v>3</v>
      </c>
      <c r="F41" s="395" t="s">
        <v>4</v>
      </c>
      <c r="J41" s="395" t="s">
        <v>0</v>
      </c>
      <c r="K41" s="395" t="s">
        <v>103</v>
      </c>
      <c r="L41" s="395" t="s">
        <v>2</v>
      </c>
      <c r="M41" s="395" t="s">
        <v>1</v>
      </c>
      <c r="N41" s="395" t="s">
        <v>3</v>
      </c>
      <c r="O41" s="395" t="s">
        <v>4</v>
      </c>
    </row>
    <row r="42" spans="1:17">
      <c r="A42" s="367" t="s">
        <v>109</v>
      </c>
      <c r="B42" s="365" t="s">
        <v>359</v>
      </c>
      <c r="C42" s="365"/>
      <c r="D42" s="365"/>
      <c r="E42" s="365"/>
      <c r="F42" s="403">
        <f>SUM(F43:F51)</f>
        <v>280900000</v>
      </c>
      <c r="J42" s="367" t="s">
        <v>109</v>
      </c>
      <c r="K42" s="365" t="s">
        <v>359</v>
      </c>
      <c r="L42" s="365"/>
      <c r="M42" s="365"/>
      <c r="N42" s="365"/>
      <c r="O42" s="403">
        <f>SUM(O43:O51)</f>
        <v>280900000</v>
      </c>
    </row>
    <row r="43" spans="1:17">
      <c r="A43" s="369">
        <v>1</v>
      </c>
      <c r="B43" s="370" t="s">
        <v>932</v>
      </c>
      <c r="C43" s="369" t="s">
        <v>108</v>
      </c>
      <c r="D43" s="42">
        <v>160</v>
      </c>
      <c r="E43" s="42">
        <v>270000</v>
      </c>
      <c r="F43" s="404">
        <f>E43*D43</f>
        <v>43200000</v>
      </c>
      <c r="J43" s="369">
        <v>1</v>
      </c>
      <c r="K43" s="370" t="s">
        <v>932</v>
      </c>
      <c r="L43" s="369" t="s">
        <v>108</v>
      </c>
      <c r="M43" s="42">
        <v>160</v>
      </c>
      <c r="N43" s="42">
        <v>270000</v>
      </c>
      <c r="O43" s="404">
        <f>N43*M43</f>
        <v>43200000</v>
      </c>
    </row>
    <row r="44" spans="1:17">
      <c r="A44" s="369">
        <v>2</v>
      </c>
      <c r="B44" s="370" t="s">
        <v>933</v>
      </c>
      <c r="C44" s="369" t="s">
        <v>108</v>
      </c>
      <c r="D44" s="42">
        <v>130</v>
      </c>
      <c r="E44" s="42">
        <v>210000</v>
      </c>
      <c r="F44" s="404">
        <f>E44*D44</f>
        <v>27300000</v>
      </c>
      <c r="H44" s="405">
        <f>SUM(F43:F48)</f>
        <v>256500000</v>
      </c>
      <c r="J44" s="369">
        <v>2</v>
      </c>
      <c r="K44" s="370" t="s">
        <v>933</v>
      </c>
      <c r="L44" s="369" t="s">
        <v>108</v>
      </c>
      <c r="M44" s="42">
        <v>130</v>
      </c>
      <c r="N44" s="42">
        <v>210000</v>
      </c>
      <c r="O44" s="404">
        <f>N44*M44</f>
        <v>27300000</v>
      </c>
      <c r="Q44" s="405">
        <f>SUM(O43:O48)</f>
        <v>256500000</v>
      </c>
    </row>
    <row r="45" spans="1:17">
      <c r="A45" s="369">
        <v>3</v>
      </c>
      <c r="B45" s="370" t="s">
        <v>934</v>
      </c>
      <c r="C45" s="369" t="s">
        <v>108</v>
      </c>
      <c r="D45" s="42">
        <v>150</v>
      </c>
      <c r="E45" s="42">
        <v>190000</v>
      </c>
      <c r="F45" s="404">
        <f>E45*D45</f>
        <v>28500000</v>
      </c>
      <c r="J45" s="369">
        <v>3</v>
      </c>
      <c r="K45" s="370" t="s">
        <v>934</v>
      </c>
      <c r="L45" s="369" t="s">
        <v>108</v>
      </c>
      <c r="M45" s="42">
        <v>150</v>
      </c>
      <c r="N45" s="42">
        <v>190000</v>
      </c>
      <c r="O45" s="404">
        <f>N45*M45</f>
        <v>28500000</v>
      </c>
    </row>
    <row r="46" spans="1:17">
      <c r="A46" s="369">
        <v>4</v>
      </c>
      <c r="B46" s="370" t="s">
        <v>935</v>
      </c>
      <c r="C46" s="369" t="s">
        <v>108</v>
      </c>
      <c r="D46" s="42">
        <v>150</v>
      </c>
      <c r="E46" s="42">
        <v>450000</v>
      </c>
      <c r="F46" s="404">
        <f>E46*D46</f>
        <v>67500000</v>
      </c>
      <c r="J46" s="369">
        <v>4</v>
      </c>
      <c r="K46" s="370" t="s">
        <v>935</v>
      </c>
      <c r="L46" s="369" t="s">
        <v>108</v>
      </c>
      <c r="M46" s="42">
        <v>150</v>
      </c>
      <c r="N46" s="42">
        <v>450000</v>
      </c>
      <c r="O46" s="404">
        <f>N46*M46</f>
        <v>67500000</v>
      </c>
    </row>
    <row r="47" spans="1:17">
      <c r="A47" s="369">
        <v>5</v>
      </c>
      <c r="B47" s="370" t="s">
        <v>946</v>
      </c>
      <c r="C47" s="369"/>
      <c r="D47" s="42"/>
      <c r="E47" s="42"/>
      <c r="F47" s="404">
        <v>40000000</v>
      </c>
      <c r="J47" s="369">
        <v>5</v>
      </c>
      <c r="K47" s="370" t="s">
        <v>946</v>
      </c>
      <c r="L47" s="369"/>
      <c r="M47" s="42"/>
      <c r="N47" s="42"/>
      <c r="O47" s="404">
        <v>40000000</v>
      </c>
    </row>
    <row r="48" spans="1:17">
      <c r="A48" s="369">
        <v>6</v>
      </c>
      <c r="B48" s="370" t="s">
        <v>947</v>
      </c>
      <c r="C48" s="369"/>
      <c r="D48" s="42"/>
      <c r="E48" s="42"/>
      <c r="F48" s="404">
        <v>50000000</v>
      </c>
      <c r="J48" s="369">
        <v>6</v>
      </c>
      <c r="K48" s="370" t="s">
        <v>947</v>
      </c>
      <c r="L48" s="369"/>
      <c r="M48" s="42"/>
      <c r="N48" s="42"/>
      <c r="O48" s="404">
        <v>50000000</v>
      </c>
    </row>
    <row r="49" spans="1:17">
      <c r="A49" s="369">
        <v>7</v>
      </c>
      <c r="B49" s="370" t="s">
        <v>323</v>
      </c>
      <c r="C49" s="370"/>
      <c r="D49" s="370"/>
      <c r="E49" s="370"/>
      <c r="F49" s="404">
        <v>5000000</v>
      </c>
      <c r="H49" s="381">
        <v>240000000</v>
      </c>
      <c r="J49" s="369">
        <v>7</v>
      </c>
      <c r="K49" s="370" t="s">
        <v>323</v>
      </c>
      <c r="L49" s="370"/>
      <c r="M49" s="370"/>
      <c r="N49" s="370"/>
      <c r="O49" s="404">
        <v>5000000</v>
      </c>
      <c r="Q49" s="381">
        <v>240000000</v>
      </c>
    </row>
    <row r="50" spans="1:17">
      <c r="A50" s="369">
        <v>8</v>
      </c>
      <c r="B50" s="370" t="s">
        <v>291</v>
      </c>
      <c r="C50" s="370"/>
      <c r="D50" s="370"/>
      <c r="E50" s="370"/>
      <c r="F50" s="404">
        <f>(H49*6.5*5+H49*8.5*7)/1200</f>
        <v>18400000</v>
      </c>
      <c r="J50" s="369">
        <v>8</v>
      </c>
      <c r="K50" s="370" t="s">
        <v>291</v>
      </c>
      <c r="L50" s="370"/>
      <c r="M50" s="370"/>
      <c r="N50" s="370"/>
      <c r="O50" s="404">
        <f>(Q49*6.5*5+Q49*8.5*7)/1200</f>
        <v>18400000</v>
      </c>
    </row>
    <row r="51" spans="1:17">
      <c r="A51" s="369">
        <v>9</v>
      </c>
      <c r="B51" s="370" t="s">
        <v>292</v>
      </c>
      <c r="C51" s="370"/>
      <c r="D51" s="370"/>
      <c r="E51" s="370"/>
      <c r="F51" s="404">
        <v>1000000</v>
      </c>
      <c r="J51" s="369">
        <v>9</v>
      </c>
      <c r="K51" s="370" t="s">
        <v>292</v>
      </c>
      <c r="L51" s="370"/>
      <c r="M51" s="370"/>
      <c r="N51" s="370"/>
      <c r="O51" s="404">
        <v>1000000</v>
      </c>
    </row>
    <row r="52" spans="1:17">
      <c r="A52" s="367" t="s">
        <v>116</v>
      </c>
      <c r="B52" s="365" t="s">
        <v>242</v>
      </c>
      <c r="C52" s="412"/>
      <c r="D52" s="413"/>
      <c r="E52" s="413"/>
      <c r="F52" s="414">
        <f>SUM(F53:F58)</f>
        <v>299500000</v>
      </c>
      <c r="J52" s="367" t="s">
        <v>116</v>
      </c>
      <c r="K52" s="365" t="s">
        <v>242</v>
      </c>
      <c r="L52" s="412"/>
      <c r="M52" s="413"/>
      <c r="N52" s="413"/>
      <c r="O52" s="414">
        <f>SUM(O53:O58)</f>
        <v>299500000</v>
      </c>
    </row>
    <row r="53" spans="1:17">
      <c r="A53" s="369">
        <v>1</v>
      </c>
      <c r="B53" s="370" t="s">
        <v>932</v>
      </c>
      <c r="C53" s="369" t="s">
        <v>108</v>
      </c>
      <c r="D53" s="42">
        <f>D43</f>
        <v>160</v>
      </c>
      <c r="E53" s="42">
        <v>300000</v>
      </c>
      <c r="F53" s="404">
        <f>E53*D53</f>
        <v>48000000</v>
      </c>
      <c r="J53" s="369">
        <v>1</v>
      </c>
      <c r="K53" s="370" t="s">
        <v>932</v>
      </c>
      <c r="L53" s="369" t="s">
        <v>108</v>
      </c>
      <c r="M53" s="42">
        <f>M43</f>
        <v>160</v>
      </c>
      <c r="N53" s="42">
        <v>300000</v>
      </c>
      <c r="O53" s="404">
        <f>N53*M53</f>
        <v>48000000</v>
      </c>
    </row>
    <row r="54" spans="1:17">
      <c r="A54" s="369">
        <v>2</v>
      </c>
      <c r="B54" s="370" t="s">
        <v>933</v>
      </c>
      <c r="C54" s="369" t="s">
        <v>108</v>
      </c>
      <c r="D54" s="42">
        <f>D44</f>
        <v>130</v>
      </c>
      <c r="E54" s="42">
        <v>250000</v>
      </c>
      <c r="F54" s="404">
        <f>E54*D54</f>
        <v>32500000</v>
      </c>
      <c r="J54" s="369">
        <v>2</v>
      </c>
      <c r="K54" s="370" t="s">
        <v>933</v>
      </c>
      <c r="L54" s="369" t="s">
        <v>108</v>
      </c>
      <c r="M54" s="42">
        <f>M44</f>
        <v>130</v>
      </c>
      <c r="N54" s="42">
        <v>250000</v>
      </c>
      <c r="O54" s="404">
        <f>N54*M54</f>
        <v>32500000</v>
      </c>
    </row>
    <row r="55" spans="1:17">
      <c r="A55" s="369">
        <v>3</v>
      </c>
      <c r="B55" s="370" t="s">
        <v>934</v>
      </c>
      <c r="C55" s="369" t="s">
        <v>108</v>
      </c>
      <c r="D55" s="42">
        <f>D45</f>
        <v>150</v>
      </c>
      <c r="E55" s="42">
        <v>210000</v>
      </c>
      <c r="F55" s="404">
        <f>E55*D55</f>
        <v>31500000</v>
      </c>
      <c r="J55" s="369">
        <v>3</v>
      </c>
      <c r="K55" s="370" t="s">
        <v>934</v>
      </c>
      <c r="L55" s="369" t="s">
        <v>108</v>
      </c>
      <c r="M55" s="42">
        <f>M45</f>
        <v>150</v>
      </c>
      <c r="N55" s="42">
        <v>210000</v>
      </c>
      <c r="O55" s="404">
        <f>N55*M55</f>
        <v>31500000</v>
      </c>
    </row>
    <row r="56" spans="1:17">
      <c r="A56" s="369">
        <v>4</v>
      </c>
      <c r="B56" s="370" t="s">
        <v>935</v>
      </c>
      <c r="C56" s="369" t="s">
        <v>108</v>
      </c>
      <c r="D56" s="42">
        <f>D46</f>
        <v>150</v>
      </c>
      <c r="E56" s="42">
        <v>550000</v>
      </c>
      <c r="F56" s="404">
        <f>E56*D56</f>
        <v>82500000</v>
      </c>
      <c r="J56" s="369">
        <v>4</v>
      </c>
      <c r="K56" s="370" t="s">
        <v>935</v>
      </c>
      <c r="L56" s="369" t="s">
        <v>108</v>
      </c>
      <c r="M56" s="42">
        <f>M46</f>
        <v>150</v>
      </c>
      <c r="N56" s="42">
        <v>550000</v>
      </c>
      <c r="O56" s="404">
        <f>N56*M56</f>
        <v>82500000</v>
      </c>
    </row>
    <row r="57" spans="1:17">
      <c r="A57" s="369">
        <v>5</v>
      </c>
      <c r="B57" s="370" t="s">
        <v>946</v>
      </c>
      <c r="C57" s="369"/>
      <c r="D57" s="42">
        <f>D48</f>
        <v>0</v>
      </c>
      <c r="E57" s="42"/>
      <c r="F57" s="404">
        <v>45000000</v>
      </c>
      <c r="J57" s="369">
        <v>5</v>
      </c>
      <c r="K57" s="370" t="s">
        <v>946</v>
      </c>
      <c r="L57" s="369"/>
      <c r="M57" s="42">
        <f>M48</f>
        <v>0</v>
      </c>
      <c r="N57" s="42"/>
      <c r="O57" s="404">
        <v>45000000</v>
      </c>
    </row>
    <row r="58" spans="1:17">
      <c r="A58" s="369">
        <v>6</v>
      </c>
      <c r="B58" s="370" t="s">
        <v>947</v>
      </c>
      <c r="C58" s="416"/>
      <c r="D58" s="416"/>
      <c r="E58" s="416"/>
      <c r="F58" s="417">
        <v>60000000</v>
      </c>
      <c r="J58" s="369">
        <v>6</v>
      </c>
      <c r="K58" s="370" t="s">
        <v>947</v>
      </c>
      <c r="L58" s="416"/>
      <c r="M58" s="416"/>
      <c r="N58" s="416"/>
      <c r="O58" s="417">
        <v>60000000</v>
      </c>
    </row>
    <row r="59" spans="1:17">
      <c r="A59" s="367" t="s">
        <v>135</v>
      </c>
      <c r="B59" s="365" t="s">
        <v>406</v>
      </c>
      <c r="C59" s="365"/>
      <c r="D59" s="365"/>
      <c r="E59" s="365"/>
      <c r="F59" s="403">
        <f>F52-F42</f>
        <v>18600000</v>
      </c>
      <c r="J59" s="367" t="s">
        <v>135</v>
      </c>
      <c r="K59" s="365" t="s">
        <v>406</v>
      </c>
      <c r="L59" s="365"/>
      <c r="M59" s="365"/>
      <c r="N59" s="365"/>
      <c r="O59" s="403">
        <f>O52-O42</f>
        <v>18600000</v>
      </c>
    </row>
  </sheetData>
  <mergeCells count="1">
    <mergeCell ref="B39:C39"/>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dimension ref="A1:I63"/>
  <sheetViews>
    <sheetView topLeftCell="A4" workbookViewId="0">
      <selection activeCell="G8" sqref="G8"/>
    </sheetView>
  </sheetViews>
  <sheetFormatPr defaultRowHeight="16.5"/>
  <cols>
    <col min="1" max="1" width="7.5703125" style="311" customWidth="1"/>
    <col min="2" max="2" width="27.42578125" style="311" customWidth="1"/>
    <col min="3" max="3" width="6.85546875" style="311" customWidth="1"/>
    <col min="4" max="4" width="14.140625" style="318" customWidth="1"/>
    <col min="5" max="5" width="14.7109375" style="318" bestFit="1" customWidth="1"/>
    <col min="6" max="6" width="16.42578125" style="318" customWidth="1"/>
    <col min="7" max="16384" width="9.140625" style="311"/>
  </cols>
  <sheetData>
    <row r="1" spans="1:7">
      <c r="C1" s="311" t="s">
        <v>2443</v>
      </c>
      <c r="G1" s="309" t="s">
        <v>1020</v>
      </c>
    </row>
    <row r="6" spans="1:7">
      <c r="A6" s="295" t="s">
        <v>97</v>
      </c>
      <c r="B6" s="295" t="s">
        <v>2429</v>
      </c>
      <c r="C6" s="295" t="s">
        <v>2</v>
      </c>
      <c r="D6" s="1956" t="s">
        <v>1</v>
      </c>
      <c r="E6" s="1956" t="s">
        <v>3</v>
      </c>
      <c r="F6" s="1956" t="s">
        <v>4</v>
      </c>
    </row>
    <row r="7" spans="1:7">
      <c r="A7" s="295" t="s">
        <v>109</v>
      </c>
      <c r="B7" s="2352" t="s">
        <v>2428</v>
      </c>
      <c r="C7" s="295"/>
      <c r="D7" s="1956"/>
      <c r="E7" s="1956"/>
      <c r="F7" s="1957">
        <f>F8+F23</f>
        <v>2819500000</v>
      </c>
    </row>
    <row r="8" spans="1:7">
      <c r="A8" s="295" t="s">
        <v>480</v>
      </c>
      <c r="B8" s="2352" t="s">
        <v>2442</v>
      </c>
      <c r="C8" s="2352"/>
      <c r="D8" s="345"/>
      <c r="E8" s="345"/>
      <c r="F8" s="1957">
        <f>SUM(F9:F21)</f>
        <v>2688000000</v>
      </c>
    </row>
    <row r="9" spans="1:7">
      <c r="A9" s="299">
        <v>1</v>
      </c>
      <c r="B9" s="477" t="s">
        <v>2441</v>
      </c>
      <c r="C9" s="299" t="s">
        <v>2434</v>
      </c>
      <c r="D9" s="1958">
        <v>1000</v>
      </c>
      <c r="E9" s="1957">
        <v>180000</v>
      </c>
      <c r="F9" s="1957">
        <f t="shared" ref="F9:F16" si="0">D9*E9</f>
        <v>180000000</v>
      </c>
    </row>
    <row r="10" spans="1:7">
      <c r="A10" s="299">
        <v>2</v>
      </c>
      <c r="B10" s="477" t="s">
        <v>2440</v>
      </c>
      <c r="C10" s="299" t="s">
        <v>2434</v>
      </c>
      <c r="D10" s="1958">
        <v>1800</v>
      </c>
      <c r="E10" s="1957">
        <v>500000</v>
      </c>
      <c r="F10" s="1957">
        <f t="shared" si="0"/>
        <v>900000000</v>
      </c>
    </row>
    <row r="11" spans="1:7">
      <c r="A11" s="299">
        <v>3</v>
      </c>
      <c r="B11" s="477" t="s">
        <v>2439</v>
      </c>
      <c r="C11" s="299" t="s">
        <v>2434</v>
      </c>
      <c r="D11" s="1958">
        <v>1000</v>
      </c>
      <c r="E11" s="1957">
        <v>600000</v>
      </c>
      <c r="F11" s="1957">
        <f t="shared" si="0"/>
        <v>600000000</v>
      </c>
    </row>
    <row r="12" spans="1:7">
      <c r="A12" s="299">
        <v>4</v>
      </c>
      <c r="B12" s="477" t="s">
        <v>2438</v>
      </c>
      <c r="C12" s="299" t="s">
        <v>2434</v>
      </c>
      <c r="D12" s="1958">
        <v>1500</v>
      </c>
      <c r="E12" s="1957">
        <v>280000</v>
      </c>
      <c r="F12" s="1957">
        <f t="shared" si="0"/>
        <v>420000000</v>
      </c>
    </row>
    <row r="13" spans="1:7">
      <c r="A13" s="299">
        <v>5</v>
      </c>
      <c r="B13" s="477" t="s">
        <v>2437</v>
      </c>
      <c r="C13" s="299" t="s">
        <v>248</v>
      </c>
      <c r="D13" s="1958">
        <v>400</v>
      </c>
      <c r="E13" s="1957">
        <v>650000</v>
      </c>
      <c r="F13" s="1957">
        <f t="shared" si="0"/>
        <v>260000000</v>
      </c>
    </row>
    <row r="14" spans="1:7" ht="33">
      <c r="A14" s="299">
        <v>6</v>
      </c>
      <c r="B14" s="477" t="s">
        <v>2436</v>
      </c>
      <c r="C14" s="299" t="s">
        <v>244</v>
      </c>
      <c r="D14" s="1958">
        <v>200</v>
      </c>
      <c r="E14" s="1957">
        <v>400000</v>
      </c>
      <c r="F14" s="1957">
        <f t="shared" si="0"/>
        <v>80000000</v>
      </c>
    </row>
    <row r="15" spans="1:7">
      <c r="A15" s="299">
        <v>7</v>
      </c>
      <c r="B15" s="477" t="s">
        <v>2435</v>
      </c>
      <c r="C15" s="299" t="s">
        <v>2434</v>
      </c>
      <c r="D15" s="1958">
        <v>1000</v>
      </c>
      <c r="E15" s="1957">
        <v>40000</v>
      </c>
      <c r="F15" s="1957">
        <f t="shared" si="0"/>
        <v>40000000</v>
      </c>
    </row>
    <row r="16" spans="1:7">
      <c r="A16" s="299">
        <v>8</v>
      </c>
      <c r="B16" s="477" t="s">
        <v>2433</v>
      </c>
      <c r="C16" s="299" t="s">
        <v>248</v>
      </c>
      <c r="D16" s="1958">
        <v>30</v>
      </c>
      <c r="E16" s="1957">
        <v>1600000</v>
      </c>
      <c r="F16" s="1957">
        <f t="shared" si="0"/>
        <v>48000000</v>
      </c>
    </row>
    <row r="17" spans="1:6">
      <c r="A17" s="299">
        <v>9</v>
      </c>
      <c r="B17" s="477" t="s">
        <v>2432</v>
      </c>
      <c r="C17" s="299"/>
      <c r="D17" s="1958"/>
      <c r="E17" s="1957"/>
      <c r="F17" s="1957">
        <v>40000000</v>
      </c>
    </row>
    <row r="18" spans="1:6">
      <c r="A18" s="299">
        <v>10</v>
      </c>
      <c r="B18" s="298" t="s">
        <v>2328</v>
      </c>
      <c r="C18" s="299" t="s">
        <v>358</v>
      </c>
      <c r="D18" s="1959">
        <v>12</v>
      </c>
      <c r="E18" s="1957">
        <v>2000000</v>
      </c>
      <c r="F18" s="1957">
        <f>D18*E18</f>
        <v>24000000</v>
      </c>
    </row>
    <row r="19" spans="1:6">
      <c r="A19" s="299">
        <v>11</v>
      </c>
      <c r="B19" s="1960" t="s">
        <v>2417</v>
      </c>
      <c r="C19" s="298" t="s">
        <v>358</v>
      </c>
      <c r="D19" s="1959">
        <v>12</v>
      </c>
      <c r="E19" s="1957">
        <v>5000000</v>
      </c>
      <c r="F19" s="1957">
        <f>D19*E19</f>
        <v>60000000</v>
      </c>
    </row>
    <row r="20" spans="1:6">
      <c r="A20" s="299">
        <v>12</v>
      </c>
      <c r="B20" s="298" t="s">
        <v>131</v>
      </c>
      <c r="C20" s="298" t="s">
        <v>358</v>
      </c>
      <c r="D20" s="1959">
        <v>12</v>
      </c>
      <c r="E20" s="1957">
        <v>500000</v>
      </c>
      <c r="F20" s="1957">
        <f>D20*E20</f>
        <v>6000000</v>
      </c>
    </row>
    <row r="21" spans="1:6">
      <c r="A21" s="299">
        <v>13</v>
      </c>
      <c r="B21" s="298" t="s">
        <v>217</v>
      </c>
      <c r="C21" s="298"/>
      <c r="D21" s="1959"/>
      <c r="E21" s="1957"/>
      <c r="F21" s="1957">
        <v>30000000</v>
      </c>
    </row>
    <row r="22" spans="1:6">
      <c r="A22" s="299"/>
      <c r="B22" s="298"/>
      <c r="C22" s="298"/>
      <c r="D22" s="1959"/>
      <c r="E22" s="1957"/>
      <c r="F22" s="1957"/>
    </row>
    <row r="23" spans="1:6">
      <c r="A23" s="295" t="s">
        <v>485</v>
      </c>
      <c r="B23" s="2352" t="s">
        <v>217</v>
      </c>
      <c r="C23" s="298"/>
      <c r="D23" s="1958"/>
      <c r="E23" s="1957"/>
      <c r="F23" s="1957">
        <f>SUM(F24:F25)</f>
        <v>131500000</v>
      </c>
    </row>
    <row r="24" spans="1:6">
      <c r="A24" s="299">
        <v>1</v>
      </c>
      <c r="B24" s="298" t="s">
        <v>2416</v>
      </c>
      <c r="C24" s="1960" t="s">
        <v>45</v>
      </c>
      <c r="D24" s="346">
        <v>1300000000</v>
      </c>
      <c r="E24" s="1961">
        <v>9.5000000000000001E-2</v>
      </c>
      <c r="F24" s="1957">
        <f>D24*E24</f>
        <v>123500000</v>
      </c>
    </row>
    <row r="25" spans="1:6">
      <c r="A25" s="299">
        <v>2</v>
      </c>
      <c r="B25" s="298" t="s">
        <v>2431</v>
      </c>
      <c r="C25" s="298" t="s">
        <v>45</v>
      </c>
      <c r="D25" s="346">
        <v>80000000</v>
      </c>
      <c r="E25" s="1962">
        <v>10</v>
      </c>
      <c r="F25" s="1957">
        <f>D25/E25</f>
        <v>8000000</v>
      </c>
    </row>
    <row r="26" spans="1:6">
      <c r="A26" s="299"/>
      <c r="B26" s="298"/>
      <c r="C26" s="298"/>
      <c r="D26" s="346"/>
      <c r="E26" s="1962"/>
      <c r="F26" s="1957"/>
    </row>
    <row r="27" spans="1:6">
      <c r="A27" s="295" t="s">
        <v>116</v>
      </c>
      <c r="B27" s="2352" t="s">
        <v>242</v>
      </c>
      <c r="C27" s="2352"/>
      <c r="D27" s="345"/>
      <c r="E27" s="345"/>
      <c r="F27" s="1957">
        <f>F28</f>
        <v>3033600000</v>
      </c>
    </row>
    <row r="28" spans="1:6">
      <c r="A28" s="295" t="s">
        <v>480</v>
      </c>
      <c r="B28" s="2352" t="str">
        <f t="shared" ref="B28:B36" si="1">B8</f>
        <v>Kinh doanh rèm, màn khung, thảm chải sàn</v>
      </c>
      <c r="C28" s="295"/>
      <c r="D28" s="1956"/>
      <c r="E28" s="1963"/>
      <c r="F28" s="1963">
        <f>SUM(F29:F36)</f>
        <v>3033600000</v>
      </c>
    </row>
    <row r="29" spans="1:6">
      <c r="A29" s="299">
        <v>1</v>
      </c>
      <c r="B29" s="477" t="str">
        <f t="shared" si="1"/>
        <v>Rèm vải</v>
      </c>
      <c r="C29" s="298" t="str">
        <f t="shared" ref="C29:D36" si="2">C9</f>
        <v>M2</v>
      </c>
      <c r="D29" s="346">
        <f t="shared" si="2"/>
        <v>1000</v>
      </c>
      <c r="E29" s="1957">
        <f t="shared" ref="E29:E36" si="3">E9+(E9*20%)</f>
        <v>216000</v>
      </c>
      <c r="F29" s="1957">
        <f t="shared" ref="F29:F36" si="4">D29*E29</f>
        <v>216000000</v>
      </c>
    </row>
    <row r="30" spans="1:6">
      <c r="A30" s="299">
        <v>2</v>
      </c>
      <c r="B30" s="477" t="str">
        <f t="shared" si="1"/>
        <v>Rèm gỗ</v>
      </c>
      <c r="C30" s="298" t="str">
        <f t="shared" si="2"/>
        <v>M2</v>
      </c>
      <c r="D30" s="346">
        <f t="shared" si="2"/>
        <v>1800</v>
      </c>
      <c r="E30" s="1957">
        <f t="shared" si="3"/>
        <v>600000</v>
      </c>
      <c r="F30" s="1957">
        <f t="shared" si="4"/>
        <v>1080000000</v>
      </c>
    </row>
    <row r="31" spans="1:6">
      <c r="A31" s="299">
        <v>3</v>
      </c>
      <c r="B31" s="477" t="str">
        <f t="shared" si="1"/>
        <v>Rèm cầu vồng</v>
      </c>
      <c r="C31" s="298" t="str">
        <f t="shared" si="2"/>
        <v>M2</v>
      </c>
      <c r="D31" s="346">
        <f t="shared" si="2"/>
        <v>1000</v>
      </c>
      <c r="E31" s="1957">
        <f t="shared" si="3"/>
        <v>720000</v>
      </c>
      <c r="F31" s="1957">
        <f t="shared" si="4"/>
        <v>720000000</v>
      </c>
    </row>
    <row r="32" spans="1:6">
      <c r="A32" s="299">
        <v>4</v>
      </c>
      <c r="B32" s="477" t="str">
        <f t="shared" si="1"/>
        <v>Rèm che nắng hiên</v>
      </c>
      <c r="C32" s="298" t="str">
        <f t="shared" si="2"/>
        <v>M2</v>
      </c>
      <c r="D32" s="346">
        <f t="shared" si="2"/>
        <v>1500</v>
      </c>
      <c r="E32" s="1957">
        <f t="shared" si="3"/>
        <v>336000</v>
      </c>
      <c r="F32" s="1957">
        <f t="shared" si="4"/>
        <v>504000000</v>
      </c>
    </row>
    <row r="33" spans="1:9">
      <c r="A33" s="299">
        <v>5</v>
      </c>
      <c r="B33" s="477" t="str">
        <f t="shared" si="1"/>
        <v>Màn khung</v>
      </c>
      <c r="C33" s="298" t="str">
        <f t="shared" si="2"/>
        <v>Bộ</v>
      </c>
      <c r="D33" s="346">
        <f t="shared" si="2"/>
        <v>400</v>
      </c>
      <c r="E33" s="1957">
        <f t="shared" si="3"/>
        <v>780000</v>
      </c>
      <c r="F33" s="1957">
        <f t="shared" si="4"/>
        <v>312000000</v>
      </c>
    </row>
    <row r="34" spans="1:9" ht="33">
      <c r="A34" s="299">
        <v>6</v>
      </c>
      <c r="B34" s="477" t="str">
        <f t="shared" si="1"/>
        <v>Thảm chải sản phòng khách</v>
      </c>
      <c r="C34" s="298" t="str">
        <f t="shared" si="2"/>
        <v>Cái</v>
      </c>
      <c r="D34" s="346">
        <f t="shared" si="2"/>
        <v>200</v>
      </c>
      <c r="E34" s="1957">
        <f t="shared" si="3"/>
        <v>480000</v>
      </c>
      <c r="F34" s="1957">
        <f t="shared" si="4"/>
        <v>96000000</v>
      </c>
    </row>
    <row r="35" spans="1:9">
      <c r="A35" s="299">
        <v>7</v>
      </c>
      <c r="B35" s="477" t="str">
        <f t="shared" si="1"/>
        <v>Thảm chải sản hội trường</v>
      </c>
      <c r="C35" s="298" t="str">
        <f t="shared" si="2"/>
        <v>M2</v>
      </c>
      <c r="D35" s="346">
        <f t="shared" si="2"/>
        <v>1000</v>
      </c>
      <c r="E35" s="1957">
        <f t="shared" si="3"/>
        <v>48000</v>
      </c>
      <c r="F35" s="1957">
        <f t="shared" si="4"/>
        <v>48000000</v>
      </c>
    </row>
    <row r="36" spans="1:9">
      <c r="A36" s="299">
        <v>8</v>
      </c>
      <c r="B36" s="477" t="str">
        <f t="shared" si="1"/>
        <v>Đệm ghế</v>
      </c>
      <c r="C36" s="298" t="str">
        <f t="shared" si="2"/>
        <v>Bộ</v>
      </c>
      <c r="D36" s="346">
        <f t="shared" si="2"/>
        <v>30</v>
      </c>
      <c r="E36" s="1957">
        <f t="shared" si="3"/>
        <v>1920000</v>
      </c>
      <c r="F36" s="1957">
        <f t="shared" si="4"/>
        <v>57600000</v>
      </c>
    </row>
    <row r="37" spans="1:9">
      <c r="A37" s="299"/>
      <c r="B37" s="477"/>
      <c r="C37" s="298"/>
      <c r="D37" s="346"/>
      <c r="E37" s="1957"/>
      <c r="F37" s="1957"/>
    </row>
    <row r="38" spans="1:9">
      <c r="A38" s="295" t="s">
        <v>2413</v>
      </c>
      <c r="B38" s="2352" t="s">
        <v>24</v>
      </c>
      <c r="C38" s="2352"/>
      <c r="D38" s="345"/>
      <c r="E38" s="345"/>
      <c r="F38" s="1963">
        <f>F27-F7</f>
        <v>214100000</v>
      </c>
    </row>
    <row r="42" spans="1:9">
      <c r="A42" s="311" t="s">
        <v>2430</v>
      </c>
      <c r="D42" s="311"/>
      <c r="E42" s="1396">
        <v>1.5</v>
      </c>
      <c r="F42" s="311" t="s">
        <v>2411</v>
      </c>
      <c r="G42" s="318"/>
      <c r="H42" s="318"/>
    </row>
    <row r="43" spans="1:9">
      <c r="A43" s="1395" t="s">
        <v>2410</v>
      </c>
      <c r="D43" s="311"/>
      <c r="E43" s="2649">
        <f>F8</f>
        <v>2688000000</v>
      </c>
      <c r="F43" s="2649"/>
      <c r="G43" s="318" t="s">
        <v>202</v>
      </c>
      <c r="H43" s="318"/>
    </row>
    <row r="44" spans="1:9">
      <c r="A44" s="1394" t="str">
        <f>"- Vòng quay vốn lưu động kỳ trước: "&amp;E42&amp;" vòng/năm"</f>
        <v>- Vòng quay vốn lưu động kỳ trước: 1.5 vòng/năm</v>
      </c>
    </row>
    <row r="45" spans="1:9">
      <c r="A45" s="1394" t="str">
        <f>"- Vòng quay vốn lưu động dự kiến kỳ kế hoạch: "&amp;E42&amp;" vòng/năm"</f>
        <v>- Vòng quay vốn lưu động dự kiến kỳ kế hoạch: 1.5 vòng/năm</v>
      </c>
    </row>
    <row r="46" spans="1:9">
      <c r="A46" s="2650" t="s">
        <v>2409</v>
      </c>
      <c r="B46" s="2650"/>
      <c r="C46" s="2650"/>
      <c r="D46" s="2650"/>
      <c r="E46" s="2651">
        <f>E43/E42</f>
        <v>1792000000</v>
      </c>
      <c r="F46" s="2651"/>
      <c r="G46" s="1393" t="s">
        <v>202</v>
      </c>
      <c r="H46" s="318"/>
    </row>
    <row r="47" spans="1:9">
      <c r="A47" s="311" t="s">
        <v>559</v>
      </c>
      <c r="D47" s="311"/>
      <c r="E47" s="2649">
        <f>E46-D24</f>
        <v>492000000</v>
      </c>
      <c r="F47" s="2649"/>
      <c r="G47" s="1392">
        <f>E47/E46*100</f>
        <v>27.455357142857146</v>
      </c>
      <c r="H47" s="318"/>
      <c r="I47" s="318"/>
    </row>
    <row r="48" spans="1:9">
      <c r="A48" s="311" t="s">
        <v>2408</v>
      </c>
      <c r="D48" s="311"/>
      <c r="E48" s="2649">
        <f>E46-E47</f>
        <v>1300000000</v>
      </c>
      <c r="F48" s="2649"/>
      <c r="G48" s="1392">
        <f>E48/E46*100</f>
        <v>72.544642857142861</v>
      </c>
      <c r="H48" s="318"/>
      <c r="I48" s="318"/>
    </row>
    <row r="49" spans="1:6">
      <c r="A49" s="1391"/>
    </row>
    <row r="50" spans="1:6">
      <c r="A50" s="1391"/>
    </row>
    <row r="63" spans="1:6">
      <c r="D63" s="311"/>
      <c r="E63" s="311"/>
      <c r="F63" s="311"/>
    </row>
  </sheetData>
  <mergeCells count="5">
    <mergeCell ref="E43:F43"/>
    <mergeCell ref="A46:D46"/>
    <mergeCell ref="E46:F46"/>
    <mergeCell ref="E47:F47"/>
    <mergeCell ref="E48:F48"/>
  </mergeCells>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pageSetUpPr fitToPage="1"/>
  </sheetPr>
  <dimension ref="A1:G39"/>
  <sheetViews>
    <sheetView topLeftCell="A13" zoomScaleNormal="100" workbookViewId="0">
      <selection activeCell="J13" sqref="J13"/>
    </sheetView>
  </sheetViews>
  <sheetFormatPr defaultRowHeight="16.5"/>
  <cols>
    <col min="1" max="1" width="5.28515625" style="151" bestFit="1" customWidth="1"/>
    <col min="2" max="2" width="29.85546875" style="151" bestFit="1" customWidth="1"/>
    <col min="3" max="3" width="10" style="1109" bestFit="1" customWidth="1"/>
    <col min="4" max="4" width="11" style="163" bestFit="1" customWidth="1"/>
    <col min="5" max="5" width="16.85546875" style="163" bestFit="1" customWidth="1"/>
    <col min="6" max="6" width="20" style="163" bestFit="1" customWidth="1"/>
    <col min="7" max="7" width="11.28515625" style="163" bestFit="1" customWidth="1"/>
    <col min="8" max="16384" width="9.140625" style="151"/>
  </cols>
  <sheetData>
    <row r="1" spans="1:7">
      <c r="C1" s="1295" t="s">
        <v>2238</v>
      </c>
      <c r="G1" s="452" t="s">
        <v>1020</v>
      </c>
    </row>
    <row r="6" spans="1:7">
      <c r="A6" s="2608" t="s">
        <v>97</v>
      </c>
      <c r="B6" s="2608" t="s">
        <v>359</v>
      </c>
      <c r="C6" s="2608" t="s">
        <v>2223</v>
      </c>
      <c r="D6" s="2608"/>
      <c r="E6" s="2608"/>
      <c r="F6" s="2657" t="s">
        <v>2222</v>
      </c>
    </row>
    <row r="7" spans="1:7">
      <c r="A7" s="2608"/>
      <c r="B7" s="2608"/>
      <c r="C7" s="2326" t="s">
        <v>1</v>
      </c>
      <c r="D7" s="2326" t="s">
        <v>2</v>
      </c>
      <c r="E7" s="2326" t="s">
        <v>225</v>
      </c>
      <c r="F7" s="2657"/>
    </row>
    <row r="8" spans="1:7">
      <c r="A8" s="177">
        <v>1</v>
      </c>
      <c r="B8" s="1292" t="s">
        <v>2237</v>
      </c>
      <c r="C8" s="1291">
        <v>40000</v>
      </c>
      <c r="D8" s="177" t="s">
        <v>513</v>
      </c>
      <c r="E8" s="1291">
        <v>26500</v>
      </c>
      <c r="F8" s="1291">
        <f t="shared" ref="F8:F16" si="0">C8*E8</f>
        <v>1060000000</v>
      </c>
    </row>
    <row r="9" spans="1:7">
      <c r="A9" s="177">
        <v>2</v>
      </c>
      <c r="B9" s="1292" t="s">
        <v>2236</v>
      </c>
      <c r="C9" s="1291">
        <v>2000</v>
      </c>
      <c r="D9" s="177" t="s">
        <v>11</v>
      </c>
      <c r="E9" s="1291">
        <v>695000</v>
      </c>
      <c r="F9" s="1291">
        <f t="shared" si="0"/>
        <v>1390000000</v>
      </c>
    </row>
    <row r="10" spans="1:7">
      <c r="A10" s="177">
        <v>3</v>
      </c>
      <c r="B10" s="1292" t="s">
        <v>2235</v>
      </c>
      <c r="C10" s="1291">
        <v>2000</v>
      </c>
      <c r="D10" s="177" t="s">
        <v>11</v>
      </c>
      <c r="E10" s="1291">
        <v>420000</v>
      </c>
      <c r="F10" s="1291">
        <f t="shared" si="0"/>
        <v>840000000</v>
      </c>
    </row>
    <row r="11" spans="1:7">
      <c r="A11" s="177">
        <v>4</v>
      </c>
      <c r="B11" s="1292" t="s">
        <v>2234</v>
      </c>
      <c r="C11" s="1291">
        <v>2000</v>
      </c>
      <c r="D11" s="177" t="s">
        <v>11</v>
      </c>
      <c r="E11" s="1291">
        <v>455000</v>
      </c>
      <c r="F11" s="1291">
        <f t="shared" si="0"/>
        <v>910000000</v>
      </c>
    </row>
    <row r="12" spans="1:7">
      <c r="A12" s="177">
        <v>5</v>
      </c>
      <c r="B12" s="1292" t="s">
        <v>2233</v>
      </c>
      <c r="C12" s="1291">
        <v>1800</v>
      </c>
      <c r="D12" s="177" t="s">
        <v>443</v>
      </c>
      <c r="E12" s="1291">
        <v>70000</v>
      </c>
      <c r="F12" s="1291">
        <f t="shared" si="0"/>
        <v>126000000</v>
      </c>
    </row>
    <row r="13" spans="1:7">
      <c r="A13" s="177">
        <v>6</v>
      </c>
      <c r="B13" s="1292" t="s">
        <v>2232</v>
      </c>
      <c r="C13" s="1291">
        <v>1520</v>
      </c>
      <c r="D13" s="177" t="s">
        <v>443</v>
      </c>
      <c r="E13" s="1291">
        <v>100000</v>
      </c>
      <c r="F13" s="1291">
        <f t="shared" si="0"/>
        <v>152000000</v>
      </c>
    </row>
    <row r="14" spans="1:7">
      <c r="A14" s="177">
        <v>7</v>
      </c>
      <c r="B14" s="1292" t="s">
        <v>2231</v>
      </c>
      <c r="C14" s="1291">
        <v>1400</v>
      </c>
      <c r="D14" s="177" t="s">
        <v>443</v>
      </c>
      <c r="E14" s="1291">
        <v>130000</v>
      </c>
      <c r="F14" s="1291">
        <f t="shared" si="0"/>
        <v>182000000</v>
      </c>
    </row>
    <row r="15" spans="1:7">
      <c r="A15" s="177">
        <v>8</v>
      </c>
      <c r="B15" s="1292" t="s">
        <v>2230</v>
      </c>
      <c r="C15" s="1291">
        <v>1120</v>
      </c>
      <c r="D15" s="177" t="s">
        <v>443</v>
      </c>
      <c r="E15" s="1291">
        <v>150000</v>
      </c>
      <c r="F15" s="1291">
        <f t="shared" si="0"/>
        <v>168000000</v>
      </c>
    </row>
    <row r="16" spans="1:7">
      <c r="A16" s="177">
        <v>9</v>
      </c>
      <c r="B16" s="1292" t="s">
        <v>2229</v>
      </c>
      <c r="C16" s="1291">
        <v>800</v>
      </c>
      <c r="D16" s="177" t="s">
        <v>443</v>
      </c>
      <c r="E16" s="1291">
        <v>230000</v>
      </c>
      <c r="F16" s="1291">
        <f t="shared" si="0"/>
        <v>184000000</v>
      </c>
    </row>
    <row r="17" spans="1:7">
      <c r="A17" s="177">
        <v>10</v>
      </c>
      <c r="B17" s="1292" t="s">
        <v>2228</v>
      </c>
      <c r="C17" s="1291"/>
      <c r="D17" s="177"/>
      <c r="E17" s="1291"/>
      <c r="F17" s="1291">
        <v>300000000</v>
      </c>
    </row>
    <row r="18" spans="1:7">
      <c r="A18" s="177">
        <v>11</v>
      </c>
      <c r="B18" s="158" t="s">
        <v>1239</v>
      </c>
      <c r="C18" s="2656" t="s">
        <v>2227</v>
      </c>
      <c r="D18" s="2656"/>
      <c r="E18" s="2656"/>
      <c r="F18" s="160">
        <f>4*7000000*12</f>
        <v>336000000</v>
      </c>
    </row>
    <row r="19" spans="1:7">
      <c r="A19" s="177">
        <v>12</v>
      </c>
      <c r="B19" s="158" t="s">
        <v>2226</v>
      </c>
      <c r="C19" s="2656"/>
      <c r="D19" s="2656"/>
      <c r="E19" s="2656"/>
      <c r="F19" s="160">
        <v>124000000</v>
      </c>
    </row>
    <row r="20" spans="1:7">
      <c r="A20" s="177">
        <v>13</v>
      </c>
      <c r="B20" s="158" t="s">
        <v>2225</v>
      </c>
      <c r="C20" s="2653"/>
      <c r="D20" s="2654"/>
      <c r="E20" s="2655"/>
      <c r="F20" s="160">
        <v>20000000</v>
      </c>
    </row>
    <row r="21" spans="1:7">
      <c r="A21" s="177">
        <v>14</v>
      </c>
      <c r="B21" s="158" t="s">
        <v>19</v>
      </c>
      <c r="C21" s="2656" t="s">
        <v>2224</v>
      </c>
      <c r="D21" s="2656"/>
      <c r="E21" s="2656"/>
      <c r="F21" s="160">
        <f>2500000000*9%</f>
        <v>225000000</v>
      </c>
    </row>
    <row r="22" spans="1:7">
      <c r="A22" s="158"/>
      <c r="B22" s="2333" t="s">
        <v>253</v>
      </c>
      <c r="C22" s="2652"/>
      <c r="D22" s="2652"/>
      <c r="E22" s="2652"/>
      <c r="F22" s="1040">
        <f>SUM(F8:F21)</f>
        <v>6017000000</v>
      </c>
    </row>
    <row r="23" spans="1:7">
      <c r="A23" s="1036"/>
      <c r="B23" s="1294"/>
      <c r="C23" s="1294"/>
      <c r="D23" s="1294"/>
      <c r="E23" s="1294"/>
      <c r="F23" s="1293"/>
    </row>
    <row r="24" spans="1:7">
      <c r="A24" s="2608" t="s">
        <v>97</v>
      </c>
      <c r="B24" s="2608" t="s">
        <v>242</v>
      </c>
      <c r="C24" s="2608" t="s">
        <v>2223</v>
      </c>
      <c r="D24" s="2608"/>
      <c r="E24" s="2608"/>
      <c r="F24" s="2657" t="s">
        <v>2222</v>
      </c>
    </row>
    <row r="25" spans="1:7">
      <c r="A25" s="2608"/>
      <c r="B25" s="2608"/>
      <c r="C25" s="2326" t="s">
        <v>2</v>
      </c>
      <c r="D25" s="2335" t="s">
        <v>1</v>
      </c>
      <c r="E25" s="2335" t="s">
        <v>225</v>
      </c>
      <c r="F25" s="2657"/>
    </row>
    <row r="26" spans="1:7">
      <c r="A26" s="177">
        <v>1</v>
      </c>
      <c r="B26" s="1292" t="s">
        <v>2221</v>
      </c>
      <c r="C26" s="1291">
        <v>1500</v>
      </c>
      <c r="D26" s="177" t="s">
        <v>443</v>
      </c>
      <c r="E26" s="1291">
        <v>495000</v>
      </c>
      <c r="F26" s="1291">
        <f>C26*E26</f>
        <v>742500000</v>
      </c>
      <c r="G26" s="163">
        <f>E11*120%</f>
        <v>546000</v>
      </c>
    </row>
    <row r="27" spans="1:7">
      <c r="A27" s="177">
        <v>2</v>
      </c>
      <c r="B27" s="1292" t="s">
        <v>2220</v>
      </c>
      <c r="C27" s="1291">
        <v>1320</v>
      </c>
      <c r="D27" s="177" t="s">
        <v>443</v>
      </c>
      <c r="E27" s="1291">
        <v>775000</v>
      </c>
      <c r="F27" s="1291">
        <f>C27*E27</f>
        <v>1023000000</v>
      </c>
      <c r="G27" s="163" t="e">
        <f>#REF!*120%</f>
        <v>#REF!</v>
      </c>
    </row>
    <row r="28" spans="1:7">
      <c r="A28" s="177">
        <v>3</v>
      </c>
      <c r="B28" s="1292" t="s">
        <v>2219</v>
      </c>
      <c r="C28" s="1291">
        <v>1100</v>
      </c>
      <c r="D28" s="177" t="s">
        <v>443</v>
      </c>
      <c r="E28" s="1291">
        <v>955000</v>
      </c>
      <c r="F28" s="1291">
        <f>C28*E28</f>
        <v>1050500000</v>
      </c>
      <c r="G28" s="163" t="e">
        <f>#REF!*120%</f>
        <v>#REF!</v>
      </c>
    </row>
    <row r="29" spans="1:7">
      <c r="A29" s="177">
        <v>4</v>
      </c>
      <c r="B29" s="1292" t="s">
        <v>2218</v>
      </c>
      <c r="C29" s="1291">
        <v>1220</v>
      </c>
      <c r="D29" s="177" t="s">
        <v>443</v>
      </c>
      <c r="E29" s="1291">
        <v>1335000</v>
      </c>
      <c r="F29" s="1291">
        <f>C29*E29</f>
        <v>1628700000</v>
      </c>
      <c r="G29" s="163">
        <f>E12*120%</f>
        <v>84000</v>
      </c>
    </row>
    <row r="30" spans="1:7">
      <c r="A30" s="177">
        <v>5</v>
      </c>
      <c r="B30" s="1292" t="s">
        <v>2217</v>
      </c>
      <c r="C30" s="1291">
        <v>1000</v>
      </c>
      <c r="D30" s="177" t="s">
        <v>443</v>
      </c>
      <c r="E30" s="1291">
        <v>1945000</v>
      </c>
      <c r="F30" s="1291">
        <f>C30*E30</f>
        <v>1945000000</v>
      </c>
      <c r="G30" s="163">
        <f>E13*125%</f>
        <v>125000</v>
      </c>
    </row>
    <row r="31" spans="1:7">
      <c r="A31" s="158"/>
      <c r="B31" s="2333" t="s">
        <v>253</v>
      </c>
      <c r="C31" s="2652"/>
      <c r="D31" s="2652"/>
      <c r="E31" s="2652"/>
      <c r="F31" s="1040">
        <f>SUM(F26:F30)</f>
        <v>6389700000</v>
      </c>
    </row>
    <row r="33" spans="2:7">
      <c r="B33" s="158" t="s">
        <v>24</v>
      </c>
      <c r="C33" s="2334"/>
      <c r="D33" s="160"/>
      <c r="E33" s="160"/>
      <c r="F33" s="160">
        <f>F31-F22</f>
        <v>372700000</v>
      </c>
      <c r="G33" s="1290">
        <f>F33/F22*100</f>
        <v>6.194116669436597</v>
      </c>
    </row>
    <row r="34" spans="2:7">
      <c r="B34" s="158"/>
      <c r="C34" s="2334"/>
      <c r="D34" s="160"/>
      <c r="E34" s="160"/>
      <c r="F34" s="160"/>
      <c r="G34" s="160"/>
    </row>
    <row r="35" spans="2:7">
      <c r="B35" s="158" t="s">
        <v>2216</v>
      </c>
      <c r="C35" s="2334"/>
      <c r="D35" s="160"/>
      <c r="E35" s="160"/>
      <c r="F35" s="160">
        <f>SUM(F8:F19)</f>
        <v>5772000000</v>
      </c>
      <c r="G35" s="160"/>
    </row>
    <row r="36" spans="2:7">
      <c r="B36" s="158" t="s">
        <v>2215</v>
      </c>
      <c r="C36" s="2334"/>
      <c r="D36" s="160"/>
      <c r="E36" s="160"/>
      <c r="F36" s="160">
        <f>F35/1.5</f>
        <v>3848000000</v>
      </c>
      <c r="G36" s="160"/>
    </row>
    <row r="37" spans="2:7">
      <c r="B37" s="158" t="s">
        <v>2076</v>
      </c>
      <c r="C37" s="2334"/>
      <c r="D37" s="160"/>
      <c r="E37" s="160"/>
      <c r="F37" s="160">
        <v>2500000000</v>
      </c>
      <c r="G37" s="160"/>
    </row>
    <row r="38" spans="2:7">
      <c r="B38" s="158" t="s">
        <v>2021</v>
      </c>
      <c r="C38" s="2334"/>
      <c r="D38" s="160"/>
      <c r="E38" s="160"/>
      <c r="F38" s="160">
        <f>F36-F37</f>
        <v>1348000000</v>
      </c>
      <c r="G38" s="160"/>
    </row>
    <row r="39" spans="2:7">
      <c r="B39" s="158" t="s">
        <v>2214</v>
      </c>
      <c r="C39" s="2334"/>
      <c r="D39" s="160"/>
      <c r="E39" s="160"/>
      <c r="F39" s="1290">
        <f>F38/F36*100</f>
        <v>35.031185031185032</v>
      </c>
      <c r="G39" s="160"/>
    </row>
  </sheetData>
  <mergeCells count="14">
    <mergeCell ref="A24:A25"/>
    <mergeCell ref="B24:B25"/>
    <mergeCell ref="C24:E24"/>
    <mergeCell ref="A6:A7"/>
    <mergeCell ref="B6:B7"/>
    <mergeCell ref="C6:E6"/>
    <mergeCell ref="C31:E31"/>
    <mergeCell ref="C20:E20"/>
    <mergeCell ref="C21:E21"/>
    <mergeCell ref="C22:E22"/>
    <mergeCell ref="F6:F7"/>
    <mergeCell ref="C18:E18"/>
    <mergeCell ref="C19:E19"/>
    <mergeCell ref="F24:F25"/>
  </mergeCells>
  <pageMargins left="0" right="0" top="0.51181102362204722" bottom="0.74803149606299213" header="0.31496062992125984" footer="0.31496062992125984"/>
  <pageSetup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5"/>
  <dimension ref="A1:G39"/>
  <sheetViews>
    <sheetView workbookViewId="0">
      <selection activeCell="C2" sqref="C2"/>
    </sheetView>
  </sheetViews>
  <sheetFormatPr defaultRowHeight="16.5"/>
  <cols>
    <col min="1" max="1" width="7.140625" style="151" customWidth="1"/>
    <col min="2" max="2" width="27.5703125" style="163" customWidth="1"/>
    <col min="3" max="3" width="18" style="163" bestFit="1" customWidth="1"/>
    <col min="4" max="4" width="17.140625" style="163" bestFit="1" customWidth="1"/>
    <col min="5" max="5" width="15.42578125" style="163" bestFit="1" customWidth="1"/>
    <col min="6" max="6" width="17.85546875" style="163" bestFit="1" customWidth="1"/>
    <col min="7" max="255" width="9.140625" style="151"/>
    <col min="256" max="256" width="6.7109375" style="151" customWidth="1"/>
    <col min="257" max="257" width="11.140625" style="151" customWidth="1"/>
    <col min="258" max="258" width="17.42578125" style="151" customWidth="1"/>
    <col min="259" max="259" width="16.7109375" style="151" customWidth="1"/>
    <col min="260" max="260" width="16.85546875" style="151" customWidth="1"/>
    <col min="261" max="261" width="14.28515625" style="151" bestFit="1" customWidth="1"/>
    <col min="262" max="262" width="18.140625" style="151" customWidth="1"/>
    <col min="263" max="511" width="9.140625" style="151"/>
    <col min="512" max="512" width="6.7109375" style="151" customWidth="1"/>
    <col min="513" max="513" width="11.140625" style="151" customWidth="1"/>
    <col min="514" max="514" width="17.42578125" style="151" customWidth="1"/>
    <col min="515" max="515" width="16.7109375" style="151" customWidth="1"/>
    <col min="516" max="516" width="16.85546875" style="151" customWidth="1"/>
    <col min="517" max="517" width="14.28515625" style="151" bestFit="1" customWidth="1"/>
    <col min="518" max="518" width="18.140625" style="151" customWidth="1"/>
    <col min="519" max="767" width="9.140625" style="151"/>
    <col min="768" max="768" width="6.7109375" style="151" customWidth="1"/>
    <col min="769" max="769" width="11.140625" style="151" customWidth="1"/>
    <col min="770" max="770" width="17.42578125" style="151" customWidth="1"/>
    <col min="771" max="771" width="16.7109375" style="151" customWidth="1"/>
    <col min="772" max="772" width="16.85546875" style="151" customWidth="1"/>
    <col min="773" max="773" width="14.28515625" style="151" bestFit="1" customWidth="1"/>
    <col min="774" max="774" width="18.140625" style="151" customWidth="1"/>
    <col min="775" max="1023" width="9.140625" style="151"/>
    <col min="1024" max="1024" width="6.7109375" style="151" customWidth="1"/>
    <col min="1025" max="1025" width="11.140625" style="151" customWidth="1"/>
    <col min="1026" max="1026" width="17.42578125" style="151" customWidth="1"/>
    <col min="1027" max="1027" width="16.7109375" style="151" customWidth="1"/>
    <col min="1028" max="1028" width="16.85546875" style="151" customWidth="1"/>
    <col min="1029" max="1029" width="14.28515625" style="151" bestFit="1" customWidth="1"/>
    <col min="1030" max="1030" width="18.140625" style="151" customWidth="1"/>
    <col min="1031" max="1279" width="9.140625" style="151"/>
    <col min="1280" max="1280" width="6.7109375" style="151" customWidth="1"/>
    <col min="1281" max="1281" width="11.140625" style="151" customWidth="1"/>
    <col min="1282" max="1282" width="17.42578125" style="151" customWidth="1"/>
    <col min="1283" max="1283" width="16.7109375" style="151" customWidth="1"/>
    <col min="1284" max="1284" width="16.85546875" style="151" customWidth="1"/>
    <col min="1285" max="1285" width="14.28515625" style="151" bestFit="1" customWidth="1"/>
    <col min="1286" max="1286" width="18.140625" style="151" customWidth="1"/>
    <col min="1287" max="1535" width="9.140625" style="151"/>
    <col min="1536" max="1536" width="6.7109375" style="151" customWidth="1"/>
    <col min="1537" max="1537" width="11.140625" style="151" customWidth="1"/>
    <col min="1538" max="1538" width="17.42578125" style="151" customWidth="1"/>
    <col min="1539" max="1539" width="16.7109375" style="151" customWidth="1"/>
    <col min="1540" max="1540" width="16.85546875" style="151" customWidth="1"/>
    <col min="1541" max="1541" width="14.28515625" style="151" bestFit="1" customWidth="1"/>
    <col min="1542" max="1542" width="18.140625" style="151" customWidth="1"/>
    <col min="1543" max="1791" width="9.140625" style="151"/>
    <col min="1792" max="1792" width="6.7109375" style="151" customWidth="1"/>
    <col min="1793" max="1793" width="11.140625" style="151" customWidth="1"/>
    <col min="1794" max="1794" width="17.42578125" style="151" customWidth="1"/>
    <col min="1795" max="1795" width="16.7109375" style="151" customWidth="1"/>
    <col min="1796" max="1796" width="16.85546875" style="151" customWidth="1"/>
    <col min="1797" max="1797" width="14.28515625" style="151" bestFit="1" customWidth="1"/>
    <col min="1798" max="1798" width="18.140625" style="151" customWidth="1"/>
    <col min="1799" max="2047" width="9.140625" style="151"/>
    <col min="2048" max="2048" width="6.7109375" style="151" customWidth="1"/>
    <col min="2049" max="2049" width="11.140625" style="151" customWidth="1"/>
    <col min="2050" max="2050" width="17.42578125" style="151" customWidth="1"/>
    <col min="2051" max="2051" width="16.7109375" style="151" customWidth="1"/>
    <col min="2052" max="2052" width="16.85546875" style="151" customWidth="1"/>
    <col min="2053" max="2053" width="14.28515625" style="151" bestFit="1" customWidth="1"/>
    <col min="2054" max="2054" width="18.140625" style="151" customWidth="1"/>
    <col min="2055" max="2303" width="9.140625" style="151"/>
    <col min="2304" max="2304" width="6.7109375" style="151" customWidth="1"/>
    <col min="2305" max="2305" width="11.140625" style="151" customWidth="1"/>
    <col min="2306" max="2306" width="17.42578125" style="151" customWidth="1"/>
    <col min="2307" max="2307" width="16.7109375" style="151" customWidth="1"/>
    <col min="2308" max="2308" width="16.85546875" style="151" customWidth="1"/>
    <col min="2309" max="2309" width="14.28515625" style="151" bestFit="1" customWidth="1"/>
    <col min="2310" max="2310" width="18.140625" style="151" customWidth="1"/>
    <col min="2311" max="2559" width="9.140625" style="151"/>
    <col min="2560" max="2560" width="6.7109375" style="151" customWidth="1"/>
    <col min="2561" max="2561" width="11.140625" style="151" customWidth="1"/>
    <col min="2562" max="2562" width="17.42578125" style="151" customWidth="1"/>
    <col min="2563" max="2563" width="16.7109375" style="151" customWidth="1"/>
    <col min="2564" max="2564" width="16.85546875" style="151" customWidth="1"/>
    <col min="2565" max="2565" width="14.28515625" style="151" bestFit="1" customWidth="1"/>
    <col min="2566" max="2566" width="18.140625" style="151" customWidth="1"/>
    <col min="2567" max="2815" width="9.140625" style="151"/>
    <col min="2816" max="2816" width="6.7109375" style="151" customWidth="1"/>
    <col min="2817" max="2817" width="11.140625" style="151" customWidth="1"/>
    <col min="2818" max="2818" width="17.42578125" style="151" customWidth="1"/>
    <col min="2819" max="2819" width="16.7109375" style="151" customWidth="1"/>
    <col min="2820" max="2820" width="16.85546875" style="151" customWidth="1"/>
    <col min="2821" max="2821" width="14.28515625" style="151" bestFit="1" customWidth="1"/>
    <col min="2822" max="2822" width="18.140625" style="151" customWidth="1"/>
    <col min="2823" max="3071" width="9.140625" style="151"/>
    <col min="3072" max="3072" width="6.7109375" style="151" customWidth="1"/>
    <col min="3073" max="3073" width="11.140625" style="151" customWidth="1"/>
    <col min="3074" max="3074" width="17.42578125" style="151" customWidth="1"/>
    <col min="3075" max="3075" width="16.7109375" style="151" customWidth="1"/>
    <col min="3076" max="3076" width="16.85546875" style="151" customWidth="1"/>
    <col min="3077" max="3077" width="14.28515625" style="151" bestFit="1" customWidth="1"/>
    <col min="3078" max="3078" width="18.140625" style="151" customWidth="1"/>
    <col min="3079" max="3327" width="9.140625" style="151"/>
    <col min="3328" max="3328" width="6.7109375" style="151" customWidth="1"/>
    <col min="3329" max="3329" width="11.140625" style="151" customWidth="1"/>
    <col min="3330" max="3330" width="17.42578125" style="151" customWidth="1"/>
    <col min="3331" max="3331" width="16.7109375" style="151" customWidth="1"/>
    <col min="3332" max="3332" width="16.85546875" style="151" customWidth="1"/>
    <col min="3333" max="3333" width="14.28515625" style="151" bestFit="1" customWidth="1"/>
    <col min="3334" max="3334" width="18.140625" style="151" customWidth="1"/>
    <col min="3335" max="3583" width="9.140625" style="151"/>
    <col min="3584" max="3584" width="6.7109375" style="151" customWidth="1"/>
    <col min="3585" max="3585" width="11.140625" style="151" customWidth="1"/>
    <col min="3586" max="3586" width="17.42578125" style="151" customWidth="1"/>
    <col min="3587" max="3587" width="16.7109375" style="151" customWidth="1"/>
    <col min="3588" max="3588" width="16.85546875" style="151" customWidth="1"/>
    <col min="3589" max="3589" width="14.28515625" style="151" bestFit="1" customWidth="1"/>
    <col min="3590" max="3590" width="18.140625" style="151" customWidth="1"/>
    <col min="3591" max="3839" width="9.140625" style="151"/>
    <col min="3840" max="3840" width="6.7109375" style="151" customWidth="1"/>
    <col min="3841" max="3841" width="11.140625" style="151" customWidth="1"/>
    <col min="3842" max="3842" width="17.42578125" style="151" customWidth="1"/>
    <col min="3843" max="3843" width="16.7109375" style="151" customWidth="1"/>
    <col min="3844" max="3844" width="16.85546875" style="151" customWidth="1"/>
    <col min="3845" max="3845" width="14.28515625" style="151" bestFit="1" customWidth="1"/>
    <col min="3846" max="3846" width="18.140625" style="151" customWidth="1"/>
    <col min="3847" max="4095" width="9.140625" style="151"/>
    <col min="4096" max="4096" width="6.7109375" style="151" customWidth="1"/>
    <col min="4097" max="4097" width="11.140625" style="151" customWidth="1"/>
    <col min="4098" max="4098" width="17.42578125" style="151" customWidth="1"/>
    <col min="4099" max="4099" width="16.7109375" style="151" customWidth="1"/>
    <col min="4100" max="4100" width="16.85546875" style="151" customWidth="1"/>
    <col min="4101" max="4101" width="14.28515625" style="151" bestFit="1" customWidth="1"/>
    <col min="4102" max="4102" width="18.140625" style="151" customWidth="1"/>
    <col min="4103" max="4351" width="9.140625" style="151"/>
    <col min="4352" max="4352" width="6.7109375" style="151" customWidth="1"/>
    <col min="4353" max="4353" width="11.140625" style="151" customWidth="1"/>
    <col min="4354" max="4354" width="17.42578125" style="151" customWidth="1"/>
    <col min="4355" max="4355" width="16.7109375" style="151" customWidth="1"/>
    <col min="4356" max="4356" width="16.85546875" style="151" customWidth="1"/>
    <col min="4357" max="4357" width="14.28515625" style="151" bestFit="1" customWidth="1"/>
    <col min="4358" max="4358" width="18.140625" style="151" customWidth="1"/>
    <col min="4359" max="4607" width="9.140625" style="151"/>
    <col min="4608" max="4608" width="6.7109375" style="151" customWidth="1"/>
    <col min="4609" max="4609" width="11.140625" style="151" customWidth="1"/>
    <col min="4610" max="4610" width="17.42578125" style="151" customWidth="1"/>
    <col min="4611" max="4611" width="16.7109375" style="151" customWidth="1"/>
    <col min="4612" max="4612" width="16.85546875" style="151" customWidth="1"/>
    <col min="4613" max="4613" width="14.28515625" style="151" bestFit="1" customWidth="1"/>
    <col min="4614" max="4614" width="18.140625" style="151" customWidth="1"/>
    <col min="4615" max="4863" width="9.140625" style="151"/>
    <col min="4864" max="4864" width="6.7109375" style="151" customWidth="1"/>
    <col min="4865" max="4865" width="11.140625" style="151" customWidth="1"/>
    <col min="4866" max="4866" width="17.42578125" style="151" customWidth="1"/>
    <col min="4867" max="4867" width="16.7109375" style="151" customWidth="1"/>
    <col min="4868" max="4868" width="16.85546875" style="151" customWidth="1"/>
    <col min="4869" max="4869" width="14.28515625" style="151" bestFit="1" customWidth="1"/>
    <col min="4870" max="4870" width="18.140625" style="151" customWidth="1"/>
    <col min="4871" max="5119" width="9.140625" style="151"/>
    <col min="5120" max="5120" width="6.7109375" style="151" customWidth="1"/>
    <col min="5121" max="5121" width="11.140625" style="151" customWidth="1"/>
    <col min="5122" max="5122" width="17.42578125" style="151" customWidth="1"/>
    <col min="5123" max="5123" width="16.7109375" style="151" customWidth="1"/>
    <col min="5124" max="5124" width="16.85546875" style="151" customWidth="1"/>
    <col min="5125" max="5125" width="14.28515625" style="151" bestFit="1" customWidth="1"/>
    <col min="5126" max="5126" width="18.140625" style="151" customWidth="1"/>
    <col min="5127" max="5375" width="9.140625" style="151"/>
    <col min="5376" max="5376" width="6.7109375" style="151" customWidth="1"/>
    <col min="5377" max="5377" width="11.140625" style="151" customWidth="1"/>
    <col min="5378" max="5378" width="17.42578125" style="151" customWidth="1"/>
    <col min="5379" max="5379" width="16.7109375" style="151" customWidth="1"/>
    <col min="5380" max="5380" width="16.85546875" style="151" customWidth="1"/>
    <col min="5381" max="5381" width="14.28515625" style="151" bestFit="1" customWidth="1"/>
    <col min="5382" max="5382" width="18.140625" style="151" customWidth="1"/>
    <col min="5383" max="5631" width="9.140625" style="151"/>
    <col min="5632" max="5632" width="6.7109375" style="151" customWidth="1"/>
    <col min="5633" max="5633" width="11.140625" style="151" customWidth="1"/>
    <col min="5634" max="5634" width="17.42578125" style="151" customWidth="1"/>
    <col min="5635" max="5635" width="16.7109375" style="151" customWidth="1"/>
    <col min="5636" max="5636" width="16.85546875" style="151" customWidth="1"/>
    <col min="5637" max="5637" width="14.28515625" style="151" bestFit="1" customWidth="1"/>
    <col min="5638" max="5638" width="18.140625" style="151" customWidth="1"/>
    <col min="5639" max="5887" width="9.140625" style="151"/>
    <col min="5888" max="5888" width="6.7109375" style="151" customWidth="1"/>
    <col min="5889" max="5889" width="11.140625" style="151" customWidth="1"/>
    <col min="5890" max="5890" width="17.42578125" style="151" customWidth="1"/>
    <col min="5891" max="5891" width="16.7109375" style="151" customWidth="1"/>
    <col min="5892" max="5892" width="16.85546875" style="151" customWidth="1"/>
    <col min="5893" max="5893" width="14.28515625" style="151" bestFit="1" customWidth="1"/>
    <col min="5894" max="5894" width="18.140625" style="151" customWidth="1"/>
    <col min="5895" max="6143" width="9.140625" style="151"/>
    <col min="6144" max="6144" width="6.7109375" style="151" customWidth="1"/>
    <col min="6145" max="6145" width="11.140625" style="151" customWidth="1"/>
    <col min="6146" max="6146" width="17.42578125" style="151" customWidth="1"/>
    <col min="6147" max="6147" width="16.7109375" style="151" customWidth="1"/>
    <col min="6148" max="6148" width="16.85546875" style="151" customWidth="1"/>
    <col min="6149" max="6149" width="14.28515625" style="151" bestFit="1" customWidth="1"/>
    <col min="6150" max="6150" width="18.140625" style="151" customWidth="1"/>
    <col min="6151" max="6399" width="9.140625" style="151"/>
    <col min="6400" max="6400" width="6.7109375" style="151" customWidth="1"/>
    <col min="6401" max="6401" width="11.140625" style="151" customWidth="1"/>
    <col min="6402" max="6402" width="17.42578125" style="151" customWidth="1"/>
    <col min="6403" max="6403" width="16.7109375" style="151" customWidth="1"/>
    <col min="6404" max="6404" width="16.85546875" style="151" customWidth="1"/>
    <col min="6405" max="6405" width="14.28515625" style="151" bestFit="1" customWidth="1"/>
    <col min="6406" max="6406" width="18.140625" style="151" customWidth="1"/>
    <col min="6407" max="6655" width="9.140625" style="151"/>
    <col min="6656" max="6656" width="6.7109375" style="151" customWidth="1"/>
    <col min="6657" max="6657" width="11.140625" style="151" customWidth="1"/>
    <col min="6658" max="6658" width="17.42578125" style="151" customWidth="1"/>
    <col min="6659" max="6659" width="16.7109375" style="151" customWidth="1"/>
    <col min="6660" max="6660" width="16.85546875" style="151" customWidth="1"/>
    <col min="6661" max="6661" width="14.28515625" style="151" bestFit="1" customWidth="1"/>
    <col min="6662" max="6662" width="18.140625" style="151" customWidth="1"/>
    <col min="6663" max="6911" width="9.140625" style="151"/>
    <col min="6912" max="6912" width="6.7109375" style="151" customWidth="1"/>
    <col min="6913" max="6913" width="11.140625" style="151" customWidth="1"/>
    <col min="6914" max="6914" width="17.42578125" style="151" customWidth="1"/>
    <col min="6915" max="6915" width="16.7109375" style="151" customWidth="1"/>
    <col min="6916" max="6916" width="16.85546875" style="151" customWidth="1"/>
    <col min="6917" max="6917" width="14.28515625" style="151" bestFit="1" customWidth="1"/>
    <col min="6918" max="6918" width="18.140625" style="151" customWidth="1"/>
    <col min="6919" max="7167" width="9.140625" style="151"/>
    <col min="7168" max="7168" width="6.7109375" style="151" customWidth="1"/>
    <col min="7169" max="7169" width="11.140625" style="151" customWidth="1"/>
    <col min="7170" max="7170" width="17.42578125" style="151" customWidth="1"/>
    <col min="7171" max="7171" width="16.7109375" style="151" customWidth="1"/>
    <col min="7172" max="7172" width="16.85546875" style="151" customWidth="1"/>
    <col min="7173" max="7173" width="14.28515625" style="151" bestFit="1" customWidth="1"/>
    <col min="7174" max="7174" width="18.140625" style="151" customWidth="1"/>
    <col min="7175" max="7423" width="9.140625" style="151"/>
    <col min="7424" max="7424" width="6.7109375" style="151" customWidth="1"/>
    <col min="7425" max="7425" width="11.140625" style="151" customWidth="1"/>
    <col min="7426" max="7426" width="17.42578125" style="151" customWidth="1"/>
    <col min="7427" max="7427" width="16.7109375" style="151" customWidth="1"/>
    <col min="7428" max="7428" width="16.85546875" style="151" customWidth="1"/>
    <col min="7429" max="7429" width="14.28515625" style="151" bestFit="1" customWidth="1"/>
    <col min="7430" max="7430" width="18.140625" style="151" customWidth="1"/>
    <col min="7431" max="7679" width="9.140625" style="151"/>
    <col min="7680" max="7680" width="6.7109375" style="151" customWidth="1"/>
    <col min="7681" max="7681" width="11.140625" style="151" customWidth="1"/>
    <col min="7682" max="7682" width="17.42578125" style="151" customWidth="1"/>
    <col min="7683" max="7683" width="16.7109375" style="151" customWidth="1"/>
    <col min="7684" max="7684" width="16.85546875" style="151" customWidth="1"/>
    <col min="7685" max="7685" width="14.28515625" style="151" bestFit="1" customWidth="1"/>
    <col min="7686" max="7686" width="18.140625" style="151" customWidth="1"/>
    <col min="7687" max="7935" width="9.140625" style="151"/>
    <col min="7936" max="7936" width="6.7109375" style="151" customWidth="1"/>
    <col min="7937" max="7937" width="11.140625" style="151" customWidth="1"/>
    <col min="7938" max="7938" width="17.42578125" style="151" customWidth="1"/>
    <col min="7939" max="7939" width="16.7109375" style="151" customWidth="1"/>
    <col min="7940" max="7940" width="16.85546875" style="151" customWidth="1"/>
    <col min="7941" max="7941" width="14.28515625" style="151" bestFit="1" customWidth="1"/>
    <col min="7942" max="7942" width="18.140625" style="151" customWidth="1"/>
    <col min="7943" max="8191" width="9.140625" style="151"/>
    <col min="8192" max="8192" width="6.7109375" style="151" customWidth="1"/>
    <col min="8193" max="8193" width="11.140625" style="151" customWidth="1"/>
    <col min="8194" max="8194" width="17.42578125" style="151" customWidth="1"/>
    <col min="8195" max="8195" width="16.7109375" style="151" customWidth="1"/>
    <col min="8196" max="8196" width="16.85546875" style="151" customWidth="1"/>
    <col min="8197" max="8197" width="14.28515625" style="151" bestFit="1" customWidth="1"/>
    <col min="8198" max="8198" width="18.140625" style="151" customWidth="1"/>
    <col min="8199" max="8447" width="9.140625" style="151"/>
    <col min="8448" max="8448" width="6.7109375" style="151" customWidth="1"/>
    <col min="8449" max="8449" width="11.140625" style="151" customWidth="1"/>
    <col min="8450" max="8450" width="17.42578125" style="151" customWidth="1"/>
    <col min="8451" max="8451" width="16.7109375" style="151" customWidth="1"/>
    <col min="8452" max="8452" width="16.85546875" style="151" customWidth="1"/>
    <col min="8453" max="8453" width="14.28515625" style="151" bestFit="1" customWidth="1"/>
    <col min="8454" max="8454" width="18.140625" style="151" customWidth="1"/>
    <col min="8455" max="8703" width="9.140625" style="151"/>
    <col min="8704" max="8704" width="6.7109375" style="151" customWidth="1"/>
    <col min="8705" max="8705" width="11.140625" style="151" customWidth="1"/>
    <col min="8706" max="8706" width="17.42578125" style="151" customWidth="1"/>
    <col min="8707" max="8707" width="16.7109375" style="151" customWidth="1"/>
    <col min="8708" max="8708" width="16.85546875" style="151" customWidth="1"/>
    <col min="8709" max="8709" width="14.28515625" style="151" bestFit="1" customWidth="1"/>
    <col min="8710" max="8710" width="18.140625" style="151" customWidth="1"/>
    <col min="8711" max="8959" width="9.140625" style="151"/>
    <col min="8960" max="8960" width="6.7109375" style="151" customWidth="1"/>
    <col min="8961" max="8961" width="11.140625" style="151" customWidth="1"/>
    <col min="8962" max="8962" width="17.42578125" style="151" customWidth="1"/>
    <col min="8963" max="8963" width="16.7109375" style="151" customWidth="1"/>
    <col min="8964" max="8964" width="16.85546875" style="151" customWidth="1"/>
    <col min="8965" max="8965" width="14.28515625" style="151" bestFit="1" customWidth="1"/>
    <col min="8966" max="8966" width="18.140625" style="151" customWidth="1"/>
    <col min="8967" max="9215" width="9.140625" style="151"/>
    <col min="9216" max="9216" width="6.7109375" style="151" customWidth="1"/>
    <col min="9217" max="9217" width="11.140625" style="151" customWidth="1"/>
    <col min="9218" max="9218" width="17.42578125" style="151" customWidth="1"/>
    <col min="9219" max="9219" width="16.7109375" style="151" customWidth="1"/>
    <col min="9220" max="9220" width="16.85546875" style="151" customWidth="1"/>
    <col min="9221" max="9221" width="14.28515625" style="151" bestFit="1" customWidth="1"/>
    <col min="9222" max="9222" width="18.140625" style="151" customWidth="1"/>
    <col min="9223" max="9471" width="9.140625" style="151"/>
    <col min="9472" max="9472" width="6.7109375" style="151" customWidth="1"/>
    <col min="9473" max="9473" width="11.140625" style="151" customWidth="1"/>
    <col min="9474" max="9474" width="17.42578125" style="151" customWidth="1"/>
    <col min="9475" max="9475" width="16.7109375" style="151" customWidth="1"/>
    <col min="9476" max="9476" width="16.85546875" style="151" customWidth="1"/>
    <col min="9477" max="9477" width="14.28515625" style="151" bestFit="1" customWidth="1"/>
    <col min="9478" max="9478" width="18.140625" style="151" customWidth="1"/>
    <col min="9479" max="9727" width="9.140625" style="151"/>
    <col min="9728" max="9728" width="6.7109375" style="151" customWidth="1"/>
    <col min="9729" max="9729" width="11.140625" style="151" customWidth="1"/>
    <col min="9730" max="9730" width="17.42578125" style="151" customWidth="1"/>
    <col min="9731" max="9731" width="16.7109375" style="151" customWidth="1"/>
    <col min="9732" max="9732" width="16.85546875" style="151" customWidth="1"/>
    <col min="9733" max="9733" width="14.28515625" style="151" bestFit="1" customWidth="1"/>
    <col min="9734" max="9734" width="18.140625" style="151" customWidth="1"/>
    <col min="9735" max="9983" width="9.140625" style="151"/>
    <col min="9984" max="9984" width="6.7109375" style="151" customWidth="1"/>
    <col min="9985" max="9985" width="11.140625" style="151" customWidth="1"/>
    <col min="9986" max="9986" width="17.42578125" style="151" customWidth="1"/>
    <col min="9987" max="9987" width="16.7109375" style="151" customWidth="1"/>
    <col min="9988" max="9988" width="16.85546875" style="151" customWidth="1"/>
    <col min="9989" max="9989" width="14.28515625" style="151" bestFit="1" customWidth="1"/>
    <col min="9990" max="9990" width="18.140625" style="151" customWidth="1"/>
    <col min="9991" max="10239" width="9.140625" style="151"/>
    <col min="10240" max="10240" width="6.7109375" style="151" customWidth="1"/>
    <col min="10241" max="10241" width="11.140625" style="151" customWidth="1"/>
    <col min="10242" max="10242" width="17.42578125" style="151" customWidth="1"/>
    <col min="10243" max="10243" width="16.7109375" style="151" customWidth="1"/>
    <col min="10244" max="10244" width="16.85546875" style="151" customWidth="1"/>
    <col min="10245" max="10245" width="14.28515625" style="151" bestFit="1" customWidth="1"/>
    <col min="10246" max="10246" width="18.140625" style="151" customWidth="1"/>
    <col min="10247" max="10495" width="9.140625" style="151"/>
    <col min="10496" max="10496" width="6.7109375" style="151" customWidth="1"/>
    <col min="10497" max="10497" width="11.140625" style="151" customWidth="1"/>
    <col min="10498" max="10498" width="17.42578125" style="151" customWidth="1"/>
    <col min="10499" max="10499" width="16.7109375" style="151" customWidth="1"/>
    <col min="10500" max="10500" width="16.85546875" style="151" customWidth="1"/>
    <col min="10501" max="10501" width="14.28515625" style="151" bestFit="1" customWidth="1"/>
    <col min="10502" max="10502" width="18.140625" style="151" customWidth="1"/>
    <col min="10503" max="10751" width="9.140625" style="151"/>
    <col min="10752" max="10752" width="6.7109375" style="151" customWidth="1"/>
    <col min="10753" max="10753" width="11.140625" style="151" customWidth="1"/>
    <col min="10754" max="10754" width="17.42578125" style="151" customWidth="1"/>
    <col min="10755" max="10755" width="16.7109375" style="151" customWidth="1"/>
    <col min="10756" max="10756" width="16.85546875" style="151" customWidth="1"/>
    <col min="10757" max="10757" width="14.28515625" style="151" bestFit="1" customWidth="1"/>
    <col min="10758" max="10758" width="18.140625" style="151" customWidth="1"/>
    <col min="10759" max="11007" width="9.140625" style="151"/>
    <col min="11008" max="11008" width="6.7109375" style="151" customWidth="1"/>
    <col min="11009" max="11009" width="11.140625" style="151" customWidth="1"/>
    <col min="11010" max="11010" width="17.42578125" style="151" customWidth="1"/>
    <col min="11011" max="11011" width="16.7109375" style="151" customWidth="1"/>
    <col min="11012" max="11012" width="16.85546875" style="151" customWidth="1"/>
    <col min="11013" max="11013" width="14.28515625" style="151" bestFit="1" customWidth="1"/>
    <col min="11014" max="11014" width="18.140625" style="151" customWidth="1"/>
    <col min="11015" max="11263" width="9.140625" style="151"/>
    <col min="11264" max="11264" width="6.7109375" style="151" customWidth="1"/>
    <col min="11265" max="11265" width="11.140625" style="151" customWidth="1"/>
    <col min="11266" max="11266" width="17.42578125" style="151" customWidth="1"/>
    <col min="11267" max="11267" width="16.7109375" style="151" customWidth="1"/>
    <col min="11268" max="11268" width="16.85546875" style="151" customWidth="1"/>
    <col min="11269" max="11269" width="14.28515625" style="151" bestFit="1" customWidth="1"/>
    <col min="11270" max="11270" width="18.140625" style="151" customWidth="1"/>
    <col min="11271" max="11519" width="9.140625" style="151"/>
    <col min="11520" max="11520" width="6.7109375" style="151" customWidth="1"/>
    <col min="11521" max="11521" width="11.140625" style="151" customWidth="1"/>
    <col min="11522" max="11522" width="17.42578125" style="151" customWidth="1"/>
    <col min="11523" max="11523" width="16.7109375" style="151" customWidth="1"/>
    <col min="11524" max="11524" width="16.85546875" style="151" customWidth="1"/>
    <col min="11525" max="11525" width="14.28515625" style="151" bestFit="1" customWidth="1"/>
    <col min="11526" max="11526" width="18.140625" style="151" customWidth="1"/>
    <col min="11527" max="11775" width="9.140625" style="151"/>
    <col min="11776" max="11776" width="6.7109375" style="151" customWidth="1"/>
    <col min="11777" max="11777" width="11.140625" style="151" customWidth="1"/>
    <col min="11778" max="11778" width="17.42578125" style="151" customWidth="1"/>
    <col min="11779" max="11779" width="16.7109375" style="151" customWidth="1"/>
    <col min="11780" max="11780" width="16.85546875" style="151" customWidth="1"/>
    <col min="11781" max="11781" width="14.28515625" style="151" bestFit="1" customWidth="1"/>
    <col min="11782" max="11782" width="18.140625" style="151" customWidth="1"/>
    <col min="11783" max="12031" width="9.140625" style="151"/>
    <col min="12032" max="12032" width="6.7109375" style="151" customWidth="1"/>
    <col min="12033" max="12033" width="11.140625" style="151" customWidth="1"/>
    <col min="12034" max="12034" width="17.42578125" style="151" customWidth="1"/>
    <col min="12035" max="12035" width="16.7109375" style="151" customWidth="1"/>
    <col min="12036" max="12036" width="16.85546875" style="151" customWidth="1"/>
    <col min="12037" max="12037" width="14.28515625" style="151" bestFit="1" customWidth="1"/>
    <col min="12038" max="12038" width="18.140625" style="151" customWidth="1"/>
    <col min="12039" max="12287" width="9.140625" style="151"/>
    <col min="12288" max="12288" width="6.7109375" style="151" customWidth="1"/>
    <col min="12289" max="12289" width="11.140625" style="151" customWidth="1"/>
    <col min="12290" max="12290" width="17.42578125" style="151" customWidth="1"/>
    <col min="12291" max="12291" width="16.7109375" style="151" customWidth="1"/>
    <col min="12292" max="12292" width="16.85546875" style="151" customWidth="1"/>
    <col min="12293" max="12293" width="14.28515625" style="151" bestFit="1" customWidth="1"/>
    <col min="12294" max="12294" width="18.140625" style="151" customWidth="1"/>
    <col min="12295" max="12543" width="9.140625" style="151"/>
    <col min="12544" max="12544" width="6.7109375" style="151" customWidth="1"/>
    <col min="12545" max="12545" width="11.140625" style="151" customWidth="1"/>
    <col min="12546" max="12546" width="17.42578125" style="151" customWidth="1"/>
    <col min="12547" max="12547" width="16.7109375" style="151" customWidth="1"/>
    <col min="12548" max="12548" width="16.85546875" style="151" customWidth="1"/>
    <col min="12549" max="12549" width="14.28515625" style="151" bestFit="1" customWidth="1"/>
    <col min="12550" max="12550" width="18.140625" style="151" customWidth="1"/>
    <col min="12551" max="12799" width="9.140625" style="151"/>
    <col min="12800" max="12800" width="6.7109375" style="151" customWidth="1"/>
    <col min="12801" max="12801" width="11.140625" style="151" customWidth="1"/>
    <col min="12802" max="12802" width="17.42578125" style="151" customWidth="1"/>
    <col min="12803" max="12803" width="16.7109375" style="151" customWidth="1"/>
    <col min="12804" max="12804" width="16.85546875" style="151" customWidth="1"/>
    <col min="12805" max="12805" width="14.28515625" style="151" bestFit="1" customWidth="1"/>
    <col min="12806" max="12806" width="18.140625" style="151" customWidth="1"/>
    <col min="12807" max="13055" width="9.140625" style="151"/>
    <col min="13056" max="13056" width="6.7109375" style="151" customWidth="1"/>
    <col min="13057" max="13057" width="11.140625" style="151" customWidth="1"/>
    <col min="13058" max="13058" width="17.42578125" style="151" customWidth="1"/>
    <col min="13059" max="13059" width="16.7109375" style="151" customWidth="1"/>
    <col min="13060" max="13060" width="16.85546875" style="151" customWidth="1"/>
    <col min="13061" max="13061" width="14.28515625" style="151" bestFit="1" customWidth="1"/>
    <col min="13062" max="13062" width="18.140625" style="151" customWidth="1"/>
    <col min="13063" max="13311" width="9.140625" style="151"/>
    <col min="13312" max="13312" width="6.7109375" style="151" customWidth="1"/>
    <col min="13313" max="13313" width="11.140625" style="151" customWidth="1"/>
    <col min="13314" max="13314" width="17.42578125" style="151" customWidth="1"/>
    <col min="13315" max="13315" width="16.7109375" style="151" customWidth="1"/>
    <col min="13316" max="13316" width="16.85546875" style="151" customWidth="1"/>
    <col min="13317" max="13317" width="14.28515625" style="151" bestFit="1" customWidth="1"/>
    <col min="13318" max="13318" width="18.140625" style="151" customWidth="1"/>
    <col min="13319" max="13567" width="9.140625" style="151"/>
    <col min="13568" max="13568" width="6.7109375" style="151" customWidth="1"/>
    <col min="13569" max="13569" width="11.140625" style="151" customWidth="1"/>
    <col min="13570" max="13570" width="17.42578125" style="151" customWidth="1"/>
    <col min="13571" max="13571" width="16.7109375" style="151" customWidth="1"/>
    <col min="13572" max="13572" width="16.85546875" style="151" customWidth="1"/>
    <col min="13573" max="13573" width="14.28515625" style="151" bestFit="1" customWidth="1"/>
    <col min="13574" max="13574" width="18.140625" style="151" customWidth="1"/>
    <col min="13575" max="13823" width="9.140625" style="151"/>
    <col min="13824" max="13824" width="6.7109375" style="151" customWidth="1"/>
    <col min="13825" max="13825" width="11.140625" style="151" customWidth="1"/>
    <col min="13826" max="13826" width="17.42578125" style="151" customWidth="1"/>
    <col min="13827" max="13827" width="16.7109375" style="151" customWidth="1"/>
    <col min="13828" max="13828" width="16.85546875" style="151" customWidth="1"/>
    <col min="13829" max="13829" width="14.28515625" style="151" bestFit="1" customWidth="1"/>
    <col min="13830" max="13830" width="18.140625" style="151" customWidth="1"/>
    <col min="13831" max="14079" width="9.140625" style="151"/>
    <col min="14080" max="14080" width="6.7109375" style="151" customWidth="1"/>
    <col min="14081" max="14081" width="11.140625" style="151" customWidth="1"/>
    <col min="14082" max="14082" width="17.42578125" style="151" customWidth="1"/>
    <col min="14083" max="14083" width="16.7109375" style="151" customWidth="1"/>
    <col min="14084" max="14084" width="16.85546875" style="151" customWidth="1"/>
    <col min="14085" max="14085" width="14.28515625" style="151" bestFit="1" customWidth="1"/>
    <col min="14086" max="14086" width="18.140625" style="151" customWidth="1"/>
    <col min="14087" max="14335" width="9.140625" style="151"/>
    <col min="14336" max="14336" width="6.7109375" style="151" customWidth="1"/>
    <col min="14337" max="14337" width="11.140625" style="151" customWidth="1"/>
    <col min="14338" max="14338" width="17.42578125" style="151" customWidth="1"/>
    <col min="14339" max="14339" width="16.7109375" style="151" customWidth="1"/>
    <col min="14340" max="14340" width="16.85546875" style="151" customWidth="1"/>
    <col min="14341" max="14341" width="14.28515625" style="151" bestFit="1" customWidth="1"/>
    <col min="14342" max="14342" width="18.140625" style="151" customWidth="1"/>
    <col min="14343" max="14591" width="9.140625" style="151"/>
    <col min="14592" max="14592" width="6.7109375" style="151" customWidth="1"/>
    <col min="14593" max="14593" width="11.140625" style="151" customWidth="1"/>
    <col min="14594" max="14594" width="17.42578125" style="151" customWidth="1"/>
    <col min="14595" max="14595" width="16.7109375" style="151" customWidth="1"/>
    <col min="14596" max="14596" width="16.85546875" style="151" customWidth="1"/>
    <col min="14597" max="14597" width="14.28515625" style="151" bestFit="1" customWidth="1"/>
    <col min="14598" max="14598" width="18.140625" style="151" customWidth="1"/>
    <col min="14599" max="14847" width="9.140625" style="151"/>
    <col min="14848" max="14848" width="6.7109375" style="151" customWidth="1"/>
    <col min="14849" max="14849" width="11.140625" style="151" customWidth="1"/>
    <col min="14850" max="14850" width="17.42578125" style="151" customWidth="1"/>
    <col min="14851" max="14851" width="16.7109375" style="151" customWidth="1"/>
    <col min="14852" max="14852" width="16.85546875" style="151" customWidth="1"/>
    <col min="14853" max="14853" width="14.28515625" style="151" bestFit="1" customWidth="1"/>
    <col min="14854" max="14854" width="18.140625" style="151" customWidth="1"/>
    <col min="14855" max="15103" width="9.140625" style="151"/>
    <col min="15104" max="15104" width="6.7109375" style="151" customWidth="1"/>
    <col min="15105" max="15105" width="11.140625" style="151" customWidth="1"/>
    <col min="15106" max="15106" width="17.42578125" style="151" customWidth="1"/>
    <col min="15107" max="15107" width="16.7109375" style="151" customWidth="1"/>
    <col min="15108" max="15108" width="16.85546875" style="151" customWidth="1"/>
    <col min="15109" max="15109" width="14.28515625" style="151" bestFit="1" customWidth="1"/>
    <col min="15110" max="15110" width="18.140625" style="151" customWidth="1"/>
    <col min="15111" max="15359" width="9.140625" style="151"/>
    <col min="15360" max="15360" width="6.7109375" style="151" customWidth="1"/>
    <col min="15361" max="15361" width="11.140625" style="151" customWidth="1"/>
    <col min="15362" max="15362" width="17.42578125" style="151" customWidth="1"/>
    <col min="15363" max="15363" width="16.7109375" style="151" customWidth="1"/>
    <col min="15364" max="15364" width="16.85546875" style="151" customWidth="1"/>
    <col min="15365" max="15365" width="14.28515625" style="151" bestFit="1" customWidth="1"/>
    <col min="15366" max="15366" width="18.140625" style="151" customWidth="1"/>
    <col min="15367" max="15615" width="9.140625" style="151"/>
    <col min="15616" max="15616" width="6.7109375" style="151" customWidth="1"/>
    <col min="15617" max="15617" width="11.140625" style="151" customWidth="1"/>
    <col min="15618" max="15618" width="17.42578125" style="151" customWidth="1"/>
    <col min="15619" max="15619" width="16.7109375" style="151" customWidth="1"/>
    <col min="15620" max="15620" width="16.85546875" style="151" customWidth="1"/>
    <col min="15621" max="15621" width="14.28515625" style="151" bestFit="1" customWidth="1"/>
    <col min="15622" max="15622" width="18.140625" style="151" customWidth="1"/>
    <col min="15623" max="15871" width="9.140625" style="151"/>
    <col min="15872" max="15872" width="6.7109375" style="151" customWidth="1"/>
    <col min="15873" max="15873" width="11.140625" style="151" customWidth="1"/>
    <col min="15874" max="15874" width="17.42578125" style="151" customWidth="1"/>
    <col min="15875" max="15875" width="16.7109375" style="151" customWidth="1"/>
    <col min="15876" max="15876" width="16.85546875" style="151" customWidth="1"/>
    <col min="15877" max="15877" width="14.28515625" style="151" bestFit="1" customWidth="1"/>
    <col min="15878" max="15878" width="18.140625" style="151" customWidth="1"/>
    <col min="15879" max="16127" width="9.140625" style="151"/>
    <col min="16128" max="16128" width="6.7109375" style="151" customWidth="1"/>
    <col min="16129" max="16129" width="11.140625" style="151" customWidth="1"/>
    <col min="16130" max="16130" width="17.42578125" style="151" customWidth="1"/>
    <col min="16131" max="16131" width="16.7109375" style="151" customWidth="1"/>
    <col min="16132" max="16132" width="16.85546875" style="151" customWidth="1"/>
    <col min="16133" max="16133" width="14.28515625" style="151" bestFit="1" customWidth="1"/>
    <col min="16134" max="16134" width="18.140625" style="151" customWidth="1"/>
    <col min="16135" max="16384" width="9.140625" style="151"/>
  </cols>
  <sheetData>
    <row r="1" spans="1:7">
      <c r="C1" s="163" t="s">
        <v>2782</v>
      </c>
      <c r="G1" s="309" t="s">
        <v>1020</v>
      </c>
    </row>
    <row r="6" spans="1:7">
      <c r="A6" s="2554" t="s">
        <v>2671</v>
      </c>
      <c r="B6" s="2554"/>
      <c r="C6" s="2554"/>
      <c r="D6" s="2554"/>
      <c r="E6" s="2554"/>
      <c r="F6" s="2554"/>
    </row>
    <row r="7" spans="1:7">
      <c r="A7" s="2318" t="s">
        <v>0</v>
      </c>
      <c r="B7" s="2318" t="s">
        <v>1963</v>
      </c>
      <c r="C7" s="2318" t="s">
        <v>2666</v>
      </c>
      <c r="D7" s="2318" t="s">
        <v>1</v>
      </c>
      <c r="E7" s="1525" t="s">
        <v>2665</v>
      </c>
      <c r="F7" s="1528" t="s">
        <v>4</v>
      </c>
    </row>
    <row r="8" spans="1:7">
      <c r="A8" s="338">
        <v>1</v>
      </c>
      <c r="B8" s="2317" t="s">
        <v>2781</v>
      </c>
      <c r="C8" s="338" t="s">
        <v>1125</v>
      </c>
      <c r="D8" s="338">
        <v>12</v>
      </c>
      <c r="E8" s="1527">
        <v>30000000</v>
      </c>
      <c r="F8" s="339">
        <f>E8*D8</f>
        <v>360000000</v>
      </c>
    </row>
    <row r="9" spans="1:7">
      <c r="A9" s="338">
        <v>2</v>
      </c>
      <c r="B9" s="2317" t="s">
        <v>2780</v>
      </c>
      <c r="C9" s="338" t="s">
        <v>1125</v>
      </c>
      <c r="D9" s="338">
        <v>3</v>
      </c>
      <c r="E9" s="1527">
        <v>350000000</v>
      </c>
      <c r="F9" s="339">
        <f>D9*E9</f>
        <v>1050000000</v>
      </c>
    </row>
    <row r="10" spans="1:7">
      <c r="A10" s="338">
        <v>3</v>
      </c>
      <c r="B10" s="2317" t="s">
        <v>2779</v>
      </c>
      <c r="C10" s="338" t="s">
        <v>1125</v>
      </c>
      <c r="D10" s="338">
        <v>9</v>
      </c>
      <c r="E10" s="1527">
        <v>120000000</v>
      </c>
      <c r="F10" s="339">
        <f>E10*D10</f>
        <v>1080000000</v>
      </c>
    </row>
    <row r="11" spans="1:7">
      <c r="A11" s="338">
        <v>4</v>
      </c>
      <c r="B11" s="2317" t="s">
        <v>2778</v>
      </c>
      <c r="C11" s="338"/>
      <c r="D11" s="338"/>
      <c r="E11" s="1527"/>
      <c r="F11" s="339">
        <v>50000000</v>
      </c>
    </row>
    <row r="12" spans="1:7">
      <c r="A12" s="2318"/>
      <c r="B12" s="1526" t="s">
        <v>288</v>
      </c>
      <c r="C12" s="2318"/>
      <c r="D12" s="2318"/>
      <c r="E12" s="1525"/>
      <c r="F12" s="343">
        <f>SUM(F8:F11)</f>
        <v>2540000000</v>
      </c>
    </row>
    <row r="13" spans="1:7">
      <c r="A13" s="2554" t="s">
        <v>2777</v>
      </c>
      <c r="B13" s="2554"/>
      <c r="C13" s="2554"/>
      <c r="D13" s="2554"/>
      <c r="E13" s="2554"/>
      <c r="F13" s="2554"/>
    </row>
    <row r="14" spans="1:7">
      <c r="A14" s="2318" t="s">
        <v>0</v>
      </c>
      <c r="B14" s="2318" t="s">
        <v>1963</v>
      </c>
      <c r="C14" s="2318" t="s">
        <v>2666</v>
      </c>
      <c r="D14" s="2318" t="s">
        <v>1</v>
      </c>
      <c r="E14" s="1525" t="s">
        <v>2665</v>
      </c>
      <c r="F14" s="1528" t="s">
        <v>4</v>
      </c>
    </row>
    <row r="15" spans="1:7">
      <c r="A15" s="338">
        <v>1</v>
      </c>
      <c r="B15" s="2317" t="s">
        <v>2776</v>
      </c>
      <c r="C15" s="338" t="s">
        <v>108</v>
      </c>
      <c r="D15" s="1527">
        <v>1000</v>
      </c>
      <c r="E15" s="1527">
        <v>300000</v>
      </c>
      <c r="F15" s="339">
        <f t="shared" ref="F15:F20" si="0">E15*D15</f>
        <v>300000000</v>
      </c>
    </row>
    <row r="16" spans="1:7">
      <c r="A16" s="338">
        <v>2</v>
      </c>
      <c r="B16" s="2317" t="s">
        <v>2775</v>
      </c>
      <c r="C16" s="338" t="s">
        <v>108</v>
      </c>
      <c r="D16" s="1527">
        <v>500</v>
      </c>
      <c r="E16" s="1527">
        <v>700000</v>
      </c>
      <c r="F16" s="339">
        <f t="shared" si="0"/>
        <v>350000000</v>
      </c>
    </row>
    <row r="17" spans="1:6">
      <c r="A17" s="338">
        <v>3</v>
      </c>
      <c r="B17" s="2317" t="s">
        <v>2774</v>
      </c>
      <c r="C17" s="338" t="s">
        <v>108</v>
      </c>
      <c r="D17" s="1527">
        <v>1000</v>
      </c>
      <c r="E17" s="1527">
        <v>500000</v>
      </c>
      <c r="F17" s="339">
        <f t="shared" si="0"/>
        <v>500000000</v>
      </c>
    </row>
    <row r="18" spans="1:6">
      <c r="A18" s="338">
        <v>4</v>
      </c>
      <c r="B18" s="2317" t="s">
        <v>2773</v>
      </c>
      <c r="C18" s="338" t="s">
        <v>108</v>
      </c>
      <c r="D18" s="1527">
        <v>1000</v>
      </c>
      <c r="E18" s="1527">
        <v>800000</v>
      </c>
      <c r="F18" s="339">
        <f t="shared" si="0"/>
        <v>800000000</v>
      </c>
    </row>
    <row r="19" spans="1:6">
      <c r="A19" s="338">
        <v>5</v>
      </c>
      <c r="B19" s="2317" t="s">
        <v>2772</v>
      </c>
      <c r="C19" s="338" t="s">
        <v>108</v>
      </c>
      <c r="D19" s="1527">
        <v>300</v>
      </c>
      <c r="E19" s="1527">
        <v>1500000</v>
      </c>
      <c r="F19" s="339">
        <f t="shared" si="0"/>
        <v>450000000</v>
      </c>
    </row>
    <row r="20" spans="1:6">
      <c r="A20" s="338">
        <v>6</v>
      </c>
      <c r="B20" s="2317" t="s">
        <v>2771</v>
      </c>
      <c r="C20" s="338" t="s">
        <v>108</v>
      </c>
      <c r="D20" s="1527">
        <v>600</v>
      </c>
      <c r="E20" s="1527">
        <v>1200000</v>
      </c>
      <c r="F20" s="339">
        <f t="shared" si="0"/>
        <v>720000000</v>
      </c>
    </row>
    <row r="21" spans="1:6">
      <c r="A21" s="338">
        <v>7</v>
      </c>
      <c r="B21" s="2317" t="s">
        <v>868</v>
      </c>
      <c r="C21" s="338"/>
      <c r="D21" s="338"/>
      <c r="E21" s="1527"/>
      <c r="F21" s="339">
        <v>60000000</v>
      </c>
    </row>
    <row r="22" spans="1:6">
      <c r="A22" s="2318"/>
      <c r="B22" s="1526" t="s">
        <v>288</v>
      </c>
      <c r="C22" s="2318"/>
      <c r="D22" s="2318"/>
      <c r="E22" s="1525"/>
      <c r="F22" s="343">
        <f>SUM(F15:F21)</f>
        <v>3180000000</v>
      </c>
    </row>
    <row r="23" spans="1:6" ht="17.100000000000001" customHeight="1">
      <c r="A23" s="2555" t="s">
        <v>2770</v>
      </c>
      <c r="B23" s="2555"/>
      <c r="C23" s="2555"/>
      <c r="D23" s="2555"/>
      <c r="E23" s="2555"/>
      <c r="F23" s="2555"/>
    </row>
    <row r="24" spans="1:6" ht="17.100000000000001" customHeight="1">
      <c r="A24" s="2556" t="s">
        <v>2663</v>
      </c>
      <c r="B24" s="2556"/>
      <c r="C24" s="2556"/>
      <c r="D24" s="2556"/>
      <c r="E24" s="2556"/>
      <c r="F24" s="160">
        <v>10000000</v>
      </c>
    </row>
    <row r="25" spans="1:6" ht="17.100000000000001" customHeight="1">
      <c r="A25" s="2556" t="s">
        <v>2769</v>
      </c>
      <c r="B25" s="2556"/>
      <c r="C25" s="2556"/>
      <c r="D25" s="2556"/>
      <c r="E25" s="2556"/>
      <c r="F25" s="160">
        <f>4000000*2*12</f>
        <v>96000000</v>
      </c>
    </row>
    <row r="26" spans="1:6" ht="17.100000000000001" customHeight="1">
      <c r="A26" s="2556" t="s">
        <v>2768</v>
      </c>
      <c r="B26" s="2556"/>
      <c r="C26" s="2556"/>
      <c r="D26" s="2556"/>
      <c r="E26" s="2556"/>
      <c r="F26" s="160">
        <f>C37*E37</f>
        <v>180000000</v>
      </c>
    </row>
    <row r="27" spans="1:6" ht="17.100000000000001" customHeight="1">
      <c r="A27" s="2556" t="s">
        <v>2662</v>
      </c>
      <c r="B27" s="2556"/>
      <c r="C27" s="2556"/>
      <c r="D27" s="2556"/>
      <c r="E27" s="2556"/>
      <c r="F27" s="160">
        <v>5000000</v>
      </c>
    </row>
    <row r="28" spans="1:6" s="1036" customFormat="1" ht="17.100000000000001" customHeight="1">
      <c r="A28" s="2556" t="s">
        <v>2661</v>
      </c>
      <c r="B28" s="2556"/>
      <c r="C28" s="2556"/>
      <c r="D28" s="2556"/>
      <c r="E28" s="2556"/>
      <c r="F28" s="160">
        <v>20000000</v>
      </c>
    </row>
    <row r="29" spans="1:6" s="1498" customFormat="1" ht="17.100000000000001" customHeight="1">
      <c r="A29" s="2557" t="s">
        <v>288</v>
      </c>
      <c r="B29" s="2557"/>
      <c r="C29" s="2557"/>
      <c r="D29" s="2557"/>
      <c r="E29" s="2557"/>
      <c r="F29" s="1040">
        <f>SUM(F24:F28)</f>
        <v>311000000</v>
      </c>
    </row>
    <row r="30" spans="1:6" s="1498" customFormat="1" ht="17.100000000000001" customHeight="1">
      <c r="A30" s="1524" t="s">
        <v>2660</v>
      </c>
      <c r="B30" s="1523">
        <f>F12</f>
        <v>2540000000</v>
      </c>
      <c r="C30" s="1522" t="s">
        <v>2659</v>
      </c>
      <c r="D30" s="1521">
        <f>F29</f>
        <v>311000000</v>
      </c>
      <c r="E30" s="1522"/>
      <c r="F30" s="160">
        <f>B30+D30</f>
        <v>2851000000</v>
      </c>
    </row>
    <row r="31" spans="1:6" s="1498" customFormat="1" ht="17.100000000000001" customHeight="1">
      <c r="A31" s="1524" t="s">
        <v>2658</v>
      </c>
      <c r="B31" s="1523">
        <f>F22</f>
        <v>3180000000</v>
      </c>
      <c r="C31" s="1522" t="s">
        <v>615</v>
      </c>
      <c r="D31" s="1521">
        <f>F30</f>
        <v>2851000000</v>
      </c>
      <c r="E31" s="1520"/>
      <c r="F31" s="1040">
        <f>B31-D31</f>
        <v>329000000</v>
      </c>
    </row>
    <row r="32" spans="1:6" ht="17.100000000000001" customHeight="1">
      <c r="A32" s="2315" t="s">
        <v>2598</v>
      </c>
      <c r="B32" s="1519"/>
      <c r="C32" s="1519"/>
      <c r="D32" s="1519"/>
    </row>
    <row r="33" spans="1:6" ht="17.100000000000001" customHeight="1">
      <c r="A33" s="1497" t="s">
        <v>2597</v>
      </c>
      <c r="C33" s="163">
        <f>F30-F24-F26</f>
        <v>2661000000</v>
      </c>
      <c r="D33" s="1518" t="s">
        <v>1270</v>
      </c>
    </row>
    <row r="34" spans="1:6" ht="17.100000000000001" customHeight="1">
      <c r="A34" s="1497" t="s">
        <v>2596</v>
      </c>
      <c r="C34" s="1517">
        <v>1.2</v>
      </c>
      <c r="D34" s="163" t="s">
        <v>2411</v>
      </c>
    </row>
    <row r="35" spans="1:6" ht="17.100000000000001" customHeight="1">
      <c r="A35" s="1497" t="s">
        <v>2595</v>
      </c>
      <c r="C35" s="163">
        <f>ROUND(C33/C34,-3)</f>
        <v>2217500000</v>
      </c>
      <c r="D35" s="163" t="s">
        <v>1270</v>
      </c>
      <c r="F35" s="1516"/>
    </row>
    <row r="36" spans="1:6" ht="17.100000000000001" customHeight="1">
      <c r="A36" s="1497" t="s">
        <v>2594</v>
      </c>
      <c r="C36" s="163">
        <f>C35-C37</f>
        <v>217500000</v>
      </c>
      <c r="D36" s="163" t="s">
        <v>1270</v>
      </c>
      <c r="E36" s="1515" t="s">
        <v>13</v>
      </c>
    </row>
    <row r="37" spans="1:6" ht="17.100000000000001" customHeight="1">
      <c r="A37" s="1497" t="s">
        <v>2593</v>
      </c>
      <c r="C37" s="163">
        <v>2000000000</v>
      </c>
      <c r="D37" s="163" t="s">
        <v>1270</v>
      </c>
      <c r="E37" s="1514">
        <v>0.09</v>
      </c>
    </row>
    <row r="38" spans="1:6" ht="17.100000000000001" customHeight="1">
      <c r="A38" s="1497" t="s">
        <v>2592</v>
      </c>
      <c r="C38" s="163">
        <v>12</v>
      </c>
      <c r="D38" s="163" t="s">
        <v>74</v>
      </c>
    </row>
    <row r="39" spans="1:6">
      <c r="C39" s="1298">
        <f>C36/C35*100</f>
        <v>9.8083427282976317</v>
      </c>
    </row>
  </sheetData>
  <mergeCells count="9">
    <mergeCell ref="A27:E27"/>
    <mergeCell ref="A28:E28"/>
    <mergeCell ref="A29:E29"/>
    <mergeCell ref="A6:F6"/>
    <mergeCell ref="A13:F13"/>
    <mergeCell ref="A23:F23"/>
    <mergeCell ref="A24:E24"/>
    <mergeCell ref="A25:E25"/>
    <mergeCell ref="A26:E26"/>
  </mergeCells>
  <pageMargins left="0.7" right="0.7" top="0.75" bottom="0.75" header="0.3" footer="0.3"/>
  <pageSetup paperSize="9" orientation="portrait" verticalDpi="0"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H111"/>
  <sheetViews>
    <sheetView zoomScaleNormal="100" workbookViewId="0">
      <selection activeCell="H20" sqref="H20"/>
    </sheetView>
  </sheetViews>
  <sheetFormatPr defaultRowHeight="16.5"/>
  <cols>
    <col min="1" max="1" width="9.140625" style="963"/>
    <col min="2" max="2" width="26" style="963" customWidth="1"/>
    <col min="3" max="3" width="9.140625" style="963" customWidth="1"/>
    <col min="4" max="4" width="11.28515625" style="963" customWidth="1"/>
    <col min="5" max="5" width="15.85546875" style="963" customWidth="1"/>
    <col min="6" max="6" width="19.5703125" style="963" customWidth="1"/>
    <col min="7" max="7" width="35.42578125" style="963" customWidth="1"/>
    <col min="8" max="8" width="31" style="963" customWidth="1"/>
    <col min="9" max="9" width="24" style="963" customWidth="1"/>
    <col min="10" max="257" width="9.140625" style="963"/>
    <col min="258" max="258" width="26" style="963" customWidth="1"/>
    <col min="259" max="259" width="9.140625" style="963" customWidth="1"/>
    <col min="260" max="260" width="11.28515625" style="963" customWidth="1"/>
    <col min="261" max="261" width="15.85546875" style="963" customWidth="1"/>
    <col min="262" max="262" width="19.5703125" style="963" customWidth="1"/>
    <col min="263" max="263" width="35.42578125" style="963" customWidth="1"/>
    <col min="264" max="264" width="31" style="963" customWidth="1"/>
    <col min="265" max="265" width="24" style="963" customWidth="1"/>
    <col min="266" max="513" width="9.140625" style="963"/>
    <col min="514" max="514" width="26" style="963" customWidth="1"/>
    <col min="515" max="515" width="9.140625" style="963" customWidth="1"/>
    <col min="516" max="516" width="11.28515625" style="963" customWidth="1"/>
    <col min="517" max="517" width="15.85546875" style="963" customWidth="1"/>
    <col min="518" max="518" width="19.5703125" style="963" customWidth="1"/>
    <col min="519" max="519" width="35.42578125" style="963" customWidth="1"/>
    <col min="520" max="520" width="31" style="963" customWidth="1"/>
    <col min="521" max="521" width="24" style="963" customWidth="1"/>
    <col min="522" max="769" width="9.140625" style="963"/>
    <col min="770" max="770" width="26" style="963" customWidth="1"/>
    <col min="771" max="771" width="9.140625" style="963" customWidth="1"/>
    <col min="772" max="772" width="11.28515625" style="963" customWidth="1"/>
    <col min="773" max="773" width="15.85546875" style="963" customWidth="1"/>
    <col min="774" max="774" width="19.5703125" style="963" customWidth="1"/>
    <col min="775" max="775" width="35.42578125" style="963" customWidth="1"/>
    <col min="776" max="776" width="31" style="963" customWidth="1"/>
    <col min="777" max="777" width="24" style="963" customWidth="1"/>
    <col min="778" max="1025" width="9.140625" style="963"/>
    <col min="1026" max="1026" width="26" style="963" customWidth="1"/>
    <col min="1027" max="1027" width="9.140625" style="963" customWidth="1"/>
    <col min="1028" max="1028" width="11.28515625" style="963" customWidth="1"/>
    <col min="1029" max="1029" width="15.85546875" style="963" customWidth="1"/>
    <col min="1030" max="1030" width="19.5703125" style="963" customWidth="1"/>
    <col min="1031" max="1031" width="35.42578125" style="963" customWidth="1"/>
    <col min="1032" max="1032" width="31" style="963" customWidth="1"/>
    <col min="1033" max="1033" width="24" style="963" customWidth="1"/>
    <col min="1034" max="1281" width="9.140625" style="963"/>
    <col min="1282" max="1282" width="26" style="963" customWidth="1"/>
    <col min="1283" max="1283" width="9.140625" style="963" customWidth="1"/>
    <col min="1284" max="1284" width="11.28515625" style="963" customWidth="1"/>
    <col min="1285" max="1285" width="15.85546875" style="963" customWidth="1"/>
    <col min="1286" max="1286" width="19.5703125" style="963" customWidth="1"/>
    <col min="1287" max="1287" width="35.42578125" style="963" customWidth="1"/>
    <col min="1288" max="1288" width="31" style="963" customWidth="1"/>
    <col min="1289" max="1289" width="24" style="963" customWidth="1"/>
    <col min="1290" max="1537" width="9.140625" style="963"/>
    <col min="1538" max="1538" width="26" style="963" customWidth="1"/>
    <col min="1539" max="1539" width="9.140625" style="963" customWidth="1"/>
    <col min="1540" max="1540" width="11.28515625" style="963" customWidth="1"/>
    <col min="1541" max="1541" width="15.85546875" style="963" customWidth="1"/>
    <col min="1542" max="1542" width="19.5703125" style="963" customWidth="1"/>
    <col min="1543" max="1543" width="35.42578125" style="963" customWidth="1"/>
    <col min="1544" max="1544" width="31" style="963" customWidth="1"/>
    <col min="1545" max="1545" width="24" style="963" customWidth="1"/>
    <col min="1546" max="1793" width="9.140625" style="963"/>
    <col min="1794" max="1794" width="26" style="963" customWidth="1"/>
    <col min="1795" max="1795" width="9.140625" style="963" customWidth="1"/>
    <col min="1796" max="1796" width="11.28515625" style="963" customWidth="1"/>
    <col min="1797" max="1797" width="15.85546875" style="963" customWidth="1"/>
    <col min="1798" max="1798" width="19.5703125" style="963" customWidth="1"/>
    <col min="1799" max="1799" width="35.42578125" style="963" customWidth="1"/>
    <col min="1800" max="1800" width="31" style="963" customWidth="1"/>
    <col min="1801" max="1801" width="24" style="963" customWidth="1"/>
    <col min="1802" max="2049" width="9.140625" style="963"/>
    <col min="2050" max="2050" width="26" style="963" customWidth="1"/>
    <col min="2051" max="2051" width="9.140625" style="963" customWidth="1"/>
    <col min="2052" max="2052" width="11.28515625" style="963" customWidth="1"/>
    <col min="2053" max="2053" width="15.85546875" style="963" customWidth="1"/>
    <col min="2054" max="2054" width="19.5703125" style="963" customWidth="1"/>
    <col min="2055" max="2055" width="35.42578125" style="963" customWidth="1"/>
    <col min="2056" max="2056" width="31" style="963" customWidth="1"/>
    <col min="2057" max="2057" width="24" style="963" customWidth="1"/>
    <col min="2058" max="2305" width="9.140625" style="963"/>
    <col min="2306" max="2306" width="26" style="963" customWidth="1"/>
    <col min="2307" max="2307" width="9.140625" style="963" customWidth="1"/>
    <col min="2308" max="2308" width="11.28515625" style="963" customWidth="1"/>
    <col min="2309" max="2309" width="15.85546875" style="963" customWidth="1"/>
    <col min="2310" max="2310" width="19.5703125" style="963" customWidth="1"/>
    <col min="2311" max="2311" width="35.42578125" style="963" customWidth="1"/>
    <col min="2312" max="2312" width="31" style="963" customWidth="1"/>
    <col min="2313" max="2313" width="24" style="963" customWidth="1"/>
    <col min="2314" max="2561" width="9.140625" style="963"/>
    <col min="2562" max="2562" width="26" style="963" customWidth="1"/>
    <col min="2563" max="2563" width="9.140625" style="963" customWidth="1"/>
    <col min="2564" max="2564" width="11.28515625" style="963" customWidth="1"/>
    <col min="2565" max="2565" width="15.85546875" style="963" customWidth="1"/>
    <col min="2566" max="2566" width="19.5703125" style="963" customWidth="1"/>
    <col min="2567" max="2567" width="35.42578125" style="963" customWidth="1"/>
    <col min="2568" max="2568" width="31" style="963" customWidth="1"/>
    <col min="2569" max="2569" width="24" style="963" customWidth="1"/>
    <col min="2570" max="2817" width="9.140625" style="963"/>
    <col min="2818" max="2818" width="26" style="963" customWidth="1"/>
    <col min="2819" max="2819" width="9.140625" style="963" customWidth="1"/>
    <col min="2820" max="2820" width="11.28515625" style="963" customWidth="1"/>
    <col min="2821" max="2821" width="15.85546875" style="963" customWidth="1"/>
    <col min="2822" max="2822" width="19.5703125" style="963" customWidth="1"/>
    <col min="2823" max="2823" width="35.42578125" style="963" customWidth="1"/>
    <col min="2824" max="2824" width="31" style="963" customWidth="1"/>
    <col min="2825" max="2825" width="24" style="963" customWidth="1"/>
    <col min="2826" max="3073" width="9.140625" style="963"/>
    <col min="3074" max="3074" width="26" style="963" customWidth="1"/>
    <col min="3075" max="3075" width="9.140625" style="963" customWidth="1"/>
    <col min="3076" max="3076" width="11.28515625" style="963" customWidth="1"/>
    <col min="3077" max="3077" width="15.85546875" style="963" customWidth="1"/>
    <col min="3078" max="3078" width="19.5703125" style="963" customWidth="1"/>
    <col min="3079" max="3079" width="35.42578125" style="963" customWidth="1"/>
    <col min="3080" max="3080" width="31" style="963" customWidth="1"/>
    <col min="3081" max="3081" width="24" style="963" customWidth="1"/>
    <col min="3082" max="3329" width="9.140625" style="963"/>
    <col min="3330" max="3330" width="26" style="963" customWidth="1"/>
    <col min="3331" max="3331" width="9.140625" style="963" customWidth="1"/>
    <col min="3332" max="3332" width="11.28515625" style="963" customWidth="1"/>
    <col min="3333" max="3333" width="15.85546875" style="963" customWidth="1"/>
    <col min="3334" max="3334" width="19.5703125" style="963" customWidth="1"/>
    <col min="3335" max="3335" width="35.42578125" style="963" customWidth="1"/>
    <col min="3336" max="3336" width="31" style="963" customWidth="1"/>
    <col min="3337" max="3337" width="24" style="963" customWidth="1"/>
    <col min="3338" max="3585" width="9.140625" style="963"/>
    <col min="3586" max="3586" width="26" style="963" customWidth="1"/>
    <col min="3587" max="3587" width="9.140625" style="963" customWidth="1"/>
    <col min="3588" max="3588" width="11.28515625" style="963" customWidth="1"/>
    <col min="3589" max="3589" width="15.85546875" style="963" customWidth="1"/>
    <col min="3590" max="3590" width="19.5703125" style="963" customWidth="1"/>
    <col min="3591" max="3591" width="35.42578125" style="963" customWidth="1"/>
    <col min="3592" max="3592" width="31" style="963" customWidth="1"/>
    <col min="3593" max="3593" width="24" style="963" customWidth="1"/>
    <col min="3594" max="3841" width="9.140625" style="963"/>
    <col min="3842" max="3842" width="26" style="963" customWidth="1"/>
    <col min="3843" max="3843" width="9.140625" style="963" customWidth="1"/>
    <col min="3844" max="3844" width="11.28515625" style="963" customWidth="1"/>
    <col min="3845" max="3845" width="15.85546875" style="963" customWidth="1"/>
    <col min="3846" max="3846" width="19.5703125" style="963" customWidth="1"/>
    <col min="3847" max="3847" width="35.42578125" style="963" customWidth="1"/>
    <col min="3848" max="3848" width="31" style="963" customWidth="1"/>
    <col min="3849" max="3849" width="24" style="963" customWidth="1"/>
    <col min="3850" max="4097" width="9.140625" style="963"/>
    <col min="4098" max="4098" width="26" style="963" customWidth="1"/>
    <col min="4099" max="4099" width="9.140625" style="963" customWidth="1"/>
    <col min="4100" max="4100" width="11.28515625" style="963" customWidth="1"/>
    <col min="4101" max="4101" width="15.85546875" style="963" customWidth="1"/>
    <col min="4102" max="4102" width="19.5703125" style="963" customWidth="1"/>
    <col min="4103" max="4103" width="35.42578125" style="963" customWidth="1"/>
    <col min="4104" max="4104" width="31" style="963" customWidth="1"/>
    <col min="4105" max="4105" width="24" style="963" customWidth="1"/>
    <col min="4106" max="4353" width="9.140625" style="963"/>
    <col min="4354" max="4354" width="26" style="963" customWidth="1"/>
    <col min="4355" max="4355" width="9.140625" style="963" customWidth="1"/>
    <col min="4356" max="4356" width="11.28515625" style="963" customWidth="1"/>
    <col min="4357" max="4357" width="15.85546875" style="963" customWidth="1"/>
    <col min="4358" max="4358" width="19.5703125" style="963" customWidth="1"/>
    <col min="4359" max="4359" width="35.42578125" style="963" customWidth="1"/>
    <col min="4360" max="4360" width="31" style="963" customWidth="1"/>
    <col min="4361" max="4361" width="24" style="963" customWidth="1"/>
    <col min="4362" max="4609" width="9.140625" style="963"/>
    <col min="4610" max="4610" width="26" style="963" customWidth="1"/>
    <col min="4611" max="4611" width="9.140625" style="963" customWidth="1"/>
    <col min="4612" max="4612" width="11.28515625" style="963" customWidth="1"/>
    <col min="4613" max="4613" width="15.85546875" style="963" customWidth="1"/>
    <col min="4614" max="4614" width="19.5703125" style="963" customWidth="1"/>
    <col min="4615" max="4615" width="35.42578125" style="963" customWidth="1"/>
    <col min="4616" max="4616" width="31" style="963" customWidth="1"/>
    <col min="4617" max="4617" width="24" style="963" customWidth="1"/>
    <col min="4618" max="4865" width="9.140625" style="963"/>
    <col min="4866" max="4866" width="26" style="963" customWidth="1"/>
    <col min="4867" max="4867" width="9.140625" style="963" customWidth="1"/>
    <col min="4868" max="4868" width="11.28515625" style="963" customWidth="1"/>
    <col min="4869" max="4869" width="15.85546875" style="963" customWidth="1"/>
    <col min="4870" max="4870" width="19.5703125" style="963" customWidth="1"/>
    <col min="4871" max="4871" width="35.42578125" style="963" customWidth="1"/>
    <col min="4872" max="4872" width="31" style="963" customWidth="1"/>
    <col min="4873" max="4873" width="24" style="963" customWidth="1"/>
    <col min="4874" max="5121" width="9.140625" style="963"/>
    <col min="5122" max="5122" width="26" style="963" customWidth="1"/>
    <col min="5123" max="5123" width="9.140625" style="963" customWidth="1"/>
    <col min="5124" max="5124" width="11.28515625" style="963" customWidth="1"/>
    <col min="5125" max="5125" width="15.85546875" style="963" customWidth="1"/>
    <col min="5126" max="5126" width="19.5703125" style="963" customWidth="1"/>
    <col min="5127" max="5127" width="35.42578125" style="963" customWidth="1"/>
    <col min="5128" max="5128" width="31" style="963" customWidth="1"/>
    <col min="5129" max="5129" width="24" style="963" customWidth="1"/>
    <col min="5130" max="5377" width="9.140625" style="963"/>
    <col min="5378" max="5378" width="26" style="963" customWidth="1"/>
    <col min="5379" max="5379" width="9.140625" style="963" customWidth="1"/>
    <col min="5380" max="5380" width="11.28515625" style="963" customWidth="1"/>
    <col min="5381" max="5381" width="15.85546875" style="963" customWidth="1"/>
    <col min="5382" max="5382" width="19.5703125" style="963" customWidth="1"/>
    <col min="5383" max="5383" width="35.42578125" style="963" customWidth="1"/>
    <col min="5384" max="5384" width="31" style="963" customWidth="1"/>
    <col min="5385" max="5385" width="24" style="963" customWidth="1"/>
    <col min="5386" max="5633" width="9.140625" style="963"/>
    <col min="5634" max="5634" width="26" style="963" customWidth="1"/>
    <col min="5635" max="5635" width="9.140625" style="963" customWidth="1"/>
    <col min="5636" max="5636" width="11.28515625" style="963" customWidth="1"/>
    <col min="5637" max="5637" width="15.85546875" style="963" customWidth="1"/>
    <col min="5638" max="5638" width="19.5703125" style="963" customWidth="1"/>
    <col min="5639" max="5639" width="35.42578125" style="963" customWidth="1"/>
    <col min="5640" max="5640" width="31" style="963" customWidth="1"/>
    <col min="5641" max="5641" width="24" style="963" customWidth="1"/>
    <col min="5642" max="5889" width="9.140625" style="963"/>
    <col min="5890" max="5890" width="26" style="963" customWidth="1"/>
    <col min="5891" max="5891" width="9.140625" style="963" customWidth="1"/>
    <col min="5892" max="5892" width="11.28515625" style="963" customWidth="1"/>
    <col min="5893" max="5893" width="15.85546875" style="963" customWidth="1"/>
    <col min="5894" max="5894" width="19.5703125" style="963" customWidth="1"/>
    <col min="5895" max="5895" width="35.42578125" style="963" customWidth="1"/>
    <col min="5896" max="5896" width="31" style="963" customWidth="1"/>
    <col min="5897" max="5897" width="24" style="963" customWidth="1"/>
    <col min="5898" max="6145" width="9.140625" style="963"/>
    <col min="6146" max="6146" width="26" style="963" customWidth="1"/>
    <col min="6147" max="6147" width="9.140625" style="963" customWidth="1"/>
    <col min="6148" max="6148" width="11.28515625" style="963" customWidth="1"/>
    <col min="6149" max="6149" width="15.85546875" style="963" customWidth="1"/>
    <col min="6150" max="6150" width="19.5703125" style="963" customWidth="1"/>
    <col min="6151" max="6151" width="35.42578125" style="963" customWidth="1"/>
    <col min="6152" max="6152" width="31" style="963" customWidth="1"/>
    <col min="6153" max="6153" width="24" style="963" customWidth="1"/>
    <col min="6154" max="6401" width="9.140625" style="963"/>
    <col min="6402" max="6402" width="26" style="963" customWidth="1"/>
    <col min="6403" max="6403" width="9.140625" style="963" customWidth="1"/>
    <col min="6404" max="6404" width="11.28515625" style="963" customWidth="1"/>
    <col min="6405" max="6405" width="15.85546875" style="963" customWidth="1"/>
    <col min="6406" max="6406" width="19.5703125" style="963" customWidth="1"/>
    <col min="6407" max="6407" width="35.42578125" style="963" customWidth="1"/>
    <col min="6408" max="6408" width="31" style="963" customWidth="1"/>
    <col min="6409" max="6409" width="24" style="963" customWidth="1"/>
    <col min="6410" max="6657" width="9.140625" style="963"/>
    <col min="6658" max="6658" width="26" style="963" customWidth="1"/>
    <col min="6659" max="6659" width="9.140625" style="963" customWidth="1"/>
    <col min="6660" max="6660" width="11.28515625" style="963" customWidth="1"/>
    <col min="6661" max="6661" width="15.85546875" style="963" customWidth="1"/>
    <col min="6662" max="6662" width="19.5703125" style="963" customWidth="1"/>
    <col min="6663" max="6663" width="35.42578125" style="963" customWidth="1"/>
    <col min="6664" max="6664" width="31" style="963" customWidth="1"/>
    <col min="6665" max="6665" width="24" style="963" customWidth="1"/>
    <col min="6666" max="6913" width="9.140625" style="963"/>
    <col min="6914" max="6914" width="26" style="963" customWidth="1"/>
    <col min="6915" max="6915" width="9.140625" style="963" customWidth="1"/>
    <col min="6916" max="6916" width="11.28515625" style="963" customWidth="1"/>
    <col min="6917" max="6917" width="15.85546875" style="963" customWidth="1"/>
    <col min="6918" max="6918" width="19.5703125" style="963" customWidth="1"/>
    <col min="6919" max="6919" width="35.42578125" style="963" customWidth="1"/>
    <col min="6920" max="6920" width="31" style="963" customWidth="1"/>
    <col min="6921" max="6921" width="24" style="963" customWidth="1"/>
    <col min="6922" max="7169" width="9.140625" style="963"/>
    <col min="7170" max="7170" width="26" style="963" customWidth="1"/>
    <col min="7171" max="7171" width="9.140625" style="963" customWidth="1"/>
    <col min="7172" max="7172" width="11.28515625" style="963" customWidth="1"/>
    <col min="7173" max="7173" width="15.85546875" style="963" customWidth="1"/>
    <col min="7174" max="7174" width="19.5703125" style="963" customWidth="1"/>
    <col min="7175" max="7175" width="35.42578125" style="963" customWidth="1"/>
    <col min="7176" max="7176" width="31" style="963" customWidth="1"/>
    <col min="7177" max="7177" width="24" style="963" customWidth="1"/>
    <col min="7178" max="7425" width="9.140625" style="963"/>
    <col min="7426" max="7426" width="26" style="963" customWidth="1"/>
    <col min="7427" max="7427" width="9.140625" style="963" customWidth="1"/>
    <col min="7428" max="7428" width="11.28515625" style="963" customWidth="1"/>
    <col min="7429" max="7429" width="15.85546875" style="963" customWidth="1"/>
    <col min="7430" max="7430" width="19.5703125" style="963" customWidth="1"/>
    <col min="7431" max="7431" width="35.42578125" style="963" customWidth="1"/>
    <col min="7432" max="7432" width="31" style="963" customWidth="1"/>
    <col min="7433" max="7433" width="24" style="963" customWidth="1"/>
    <col min="7434" max="7681" width="9.140625" style="963"/>
    <col min="7682" max="7682" width="26" style="963" customWidth="1"/>
    <col min="7683" max="7683" width="9.140625" style="963" customWidth="1"/>
    <col min="7684" max="7684" width="11.28515625" style="963" customWidth="1"/>
    <col min="7685" max="7685" width="15.85546875" style="963" customWidth="1"/>
    <col min="7686" max="7686" width="19.5703125" style="963" customWidth="1"/>
    <col min="7687" max="7687" width="35.42578125" style="963" customWidth="1"/>
    <col min="7688" max="7688" width="31" style="963" customWidth="1"/>
    <col min="7689" max="7689" width="24" style="963" customWidth="1"/>
    <col min="7690" max="7937" width="9.140625" style="963"/>
    <col min="7938" max="7938" width="26" style="963" customWidth="1"/>
    <col min="7939" max="7939" width="9.140625" style="963" customWidth="1"/>
    <col min="7940" max="7940" width="11.28515625" style="963" customWidth="1"/>
    <col min="7941" max="7941" width="15.85546875" style="963" customWidth="1"/>
    <col min="7942" max="7942" width="19.5703125" style="963" customWidth="1"/>
    <col min="7943" max="7943" width="35.42578125" style="963" customWidth="1"/>
    <col min="7944" max="7944" width="31" style="963" customWidth="1"/>
    <col min="7945" max="7945" width="24" style="963" customWidth="1"/>
    <col min="7946" max="8193" width="9.140625" style="963"/>
    <col min="8194" max="8194" width="26" style="963" customWidth="1"/>
    <col min="8195" max="8195" width="9.140625" style="963" customWidth="1"/>
    <col min="8196" max="8196" width="11.28515625" style="963" customWidth="1"/>
    <col min="8197" max="8197" width="15.85546875" style="963" customWidth="1"/>
    <col min="8198" max="8198" width="19.5703125" style="963" customWidth="1"/>
    <col min="8199" max="8199" width="35.42578125" style="963" customWidth="1"/>
    <col min="8200" max="8200" width="31" style="963" customWidth="1"/>
    <col min="8201" max="8201" width="24" style="963" customWidth="1"/>
    <col min="8202" max="8449" width="9.140625" style="963"/>
    <col min="8450" max="8450" width="26" style="963" customWidth="1"/>
    <col min="8451" max="8451" width="9.140625" style="963" customWidth="1"/>
    <col min="8452" max="8452" width="11.28515625" style="963" customWidth="1"/>
    <col min="8453" max="8453" width="15.85546875" style="963" customWidth="1"/>
    <col min="8454" max="8454" width="19.5703125" style="963" customWidth="1"/>
    <col min="8455" max="8455" width="35.42578125" style="963" customWidth="1"/>
    <col min="8456" max="8456" width="31" style="963" customWidth="1"/>
    <col min="8457" max="8457" width="24" style="963" customWidth="1"/>
    <col min="8458" max="8705" width="9.140625" style="963"/>
    <col min="8706" max="8706" width="26" style="963" customWidth="1"/>
    <col min="8707" max="8707" width="9.140625" style="963" customWidth="1"/>
    <col min="8708" max="8708" width="11.28515625" style="963" customWidth="1"/>
    <col min="8709" max="8709" width="15.85546875" style="963" customWidth="1"/>
    <col min="8710" max="8710" width="19.5703125" style="963" customWidth="1"/>
    <col min="8711" max="8711" width="35.42578125" style="963" customWidth="1"/>
    <col min="8712" max="8712" width="31" style="963" customWidth="1"/>
    <col min="8713" max="8713" width="24" style="963" customWidth="1"/>
    <col min="8714" max="8961" width="9.140625" style="963"/>
    <col min="8962" max="8962" width="26" style="963" customWidth="1"/>
    <col min="8963" max="8963" width="9.140625" style="963" customWidth="1"/>
    <col min="8964" max="8964" width="11.28515625" style="963" customWidth="1"/>
    <col min="8965" max="8965" width="15.85546875" style="963" customWidth="1"/>
    <col min="8966" max="8966" width="19.5703125" style="963" customWidth="1"/>
    <col min="8967" max="8967" width="35.42578125" style="963" customWidth="1"/>
    <col min="8968" max="8968" width="31" style="963" customWidth="1"/>
    <col min="8969" max="8969" width="24" style="963" customWidth="1"/>
    <col min="8970" max="9217" width="9.140625" style="963"/>
    <col min="9218" max="9218" width="26" style="963" customWidth="1"/>
    <col min="9219" max="9219" width="9.140625" style="963" customWidth="1"/>
    <col min="9220" max="9220" width="11.28515625" style="963" customWidth="1"/>
    <col min="9221" max="9221" width="15.85546875" style="963" customWidth="1"/>
    <col min="9222" max="9222" width="19.5703125" style="963" customWidth="1"/>
    <col min="9223" max="9223" width="35.42578125" style="963" customWidth="1"/>
    <col min="9224" max="9224" width="31" style="963" customWidth="1"/>
    <col min="9225" max="9225" width="24" style="963" customWidth="1"/>
    <col min="9226" max="9473" width="9.140625" style="963"/>
    <col min="9474" max="9474" width="26" style="963" customWidth="1"/>
    <col min="9475" max="9475" width="9.140625" style="963" customWidth="1"/>
    <col min="9476" max="9476" width="11.28515625" style="963" customWidth="1"/>
    <col min="9477" max="9477" width="15.85546875" style="963" customWidth="1"/>
    <col min="9478" max="9478" width="19.5703125" style="963" customWidth="1"/>
    <col min="9479" max="9479" width="35.42578125" style="963" customWidth="1"/>
    <col min="9480" max="9480" width="31" style="963" customWidth="1"/>
    <col min="9481" max="9481" width="24" style="963" customWidth="1"/>
    <col min="9482" max="9729" width="9.140625" style="963"/>
    <col min="9730" max="9730" width="26" style="963" customWidth="1"/>
    <col min="9731" max="9731" width="9.140625" style="963" customWidth="1"/>
    <col min="9732" max="9732" width="11.28515625" style="963" customWidth="1"/>
    <col min="9733" max="9733" width="15.85546875" style="963" customWidth="1"/>
    <col min="9734" max="9734" width="19.5703125" style="963" customWidth="1"/>
    <col min="9735" max="9735" width="35.42578125" style="963" customWidth="1"/>
    <col min="9736" max="9736" width="31" style="963" customWidth="1"/>
    <col min="9737" max="9737" width="24" style="963" customWidth="1"/>
    <col min="9738" max="9985" width="9.140625" style="963"/>
    <col min="9986" max="9986" width="26" style="963" customWidth="1"/>
    <col min="9987" max="9987" width="9.140625" style="963" customWidth="1"/>
    <col min="9988" max="9988" width="11.28515625" style="963" customWidth="1"/>
    <col min="9989" max="9989" width="15.85546875" style="963" customWidth="1"/>
    <col min="9990" max="9990" width="19.5703125" style="963" customWidth="1"/>
    <col min="9991" max="9991" width="35.42578125" style="963" customWidth="1"/>
    <col min="9992" max="9992" width="31" style="963" customWidth="1"/>
    <col min="9993" max="9993" width="24" style="963" customWidth="1"/>
    <col min="9994" max="10241" width="9.140625" style="963"/>
    <col min="10242" max="10242" width="26" style="963" customWidth="1"/>
    <col min="10243" max="10243" width="9.140625" style="963" customWidth="1"/>
    <col min="10244" max="10244" width="11.28515625" style="963" customWidth="1"/>
    <col min="10245" max="10245" width="15.85546875" style="963" customWidth="1"/>
    <col min="10246" max="10246" width="19.5703125" style="963" customWidth="1"/>
    <col min="10247" max="10247" width="35.42578125" style="963" customWidth="1"/>
    <col min="10248" max="10248" width="31" style="963" customWidth="1"/>
    <col min="10249" max="10249" width="24" style="963" customWidth="1"/>
    <col min="10250" max="10497" width="9.140625" style="963"/>
    <col min="10498" max="10498" width="26" style="963" customWidth="1"/>
    <col min="10499" max="10499" width="9.140625" style="963" customWidth="1"/>
    <col min="10500" max="10500" width="11.28515625" style="963" customWidth="1"/>
    <col min="10501" max="10501" width="15.85546875" style="963" customWidth="1"/>
    <col min="10502" max="10502" width="19.5703125" style="963" customWidth="1"/>
    <col min="10503" max="10503" width="35.42578125" style="963" customWidth="1"/>
    <col min="10504" max="10504" width="31" style="963" customWidth="1"/>
    <col min="10505" max="10505" width="24" style="963" customWidth="1"/>
    <col min="10506" max="10753" width="9.140625" style="963"/>
    <col min="10754" max="10754" width="26" style="963" customWidth="1"/>
    <col min="10755" max="10755" width="9.140625" style="963" customWidth="1"/>
    <col min="10756" max="10756" width="11.28515625" style="963" customWidth="1"/>
    <col min="10757" max="10757" width="15.85546875" style="963" customWidth="1"/>
    <col min="10758" max="10758" width="19.5703125" style="963" customWidth="1"/>
    <col min="10759" max="10759" width="35.42578125" style="963" customWidth="1"/>
    <col min="10760" max="10760" width="31" style="963" customWidth="1"/>
    <col min="10761" max="10761" width="24" style="963" customWidth="1"/>
    <col min="10762" max="11009" width="9.140625" style="963"/>
    <col min="11010" max="11010" width="26" style="963" customWidth="1"/>
    <col min="11011" max="11011" width="9.140625" style="963" customWidth="1"/>
    <col min="11012" max="11012" width="11.28515625" style="963" customWidth="1"/>
    <col min="11013" max="11013" width="15.85546875" style="963" customWidth="1"/>
    <col min="11014" max="11014" width="19.5703125" style="963" customWidth="1"/>
    <col min="11015" max="11015" width="35.42578125" style="963" customWidth="1"/>
    <col min="11016" max="11016" width="31" style="963" customWidth="1"/>
    <col min="11017" max="11017" width="24" style="963" customWidth="1"/>
    <col min="11018" max="11265" width="9.140625" style="963"/>
    <col min="11266" max="11266" width="26" style="963" customWidth="1"/>
    <col min="11267" max="11267" width="9.140625" style="963" customWidth="1"/>
    <col min="11268" max="11268" width="11.28515625" style="963" customWidth="1"/>
    <col min="11269" max="11269" width="15.85546875" style="963" customWidth="1"/>
    <col min="11270" max="11270" width="19.5703125" style="963" customWidth="1"/>
    <col min="11271" max="11271" width="35.42578125" style="963" customWidth="1"/>
    <col min="11272" max="11272" width="31" style="963" customWidth="1"/>
    <col min="11273" max="11273" width="24" style="963" customWidth="1"/>
    <col min="11274" max="11521" width="9.140625" style="963"/>
    <col min="11522" max="11522" width="26" style="963" customWidth="1"/>
    <col min="11523" max="11523" width="9.140625" style="963" customWidth="1"/>
    <col min="11524" max="11524" width="11.28515625" style="963" customWidth="1"/>
    <col min="11525" max="11525" width="15.85546875" style="963" customWidth="1"/>
    <col min="11526" max="11526" width="19.5703125" style="963" customWidth="1"/>
    <col min="11527" max="11527" width="35.42578125" style="963" customWidth="1"/>
    <col min="11528" max="11528" width="31" style="963" customWidth="1"/>
    <col min="11529" max="11529" width="24" style="963" customWidth="1"/>
    <col min="11530" max="11777" width="9.140625" style="963"/>
    <col min="11778" max="11778" width="26" style="963" customWidth="1"/>
    <col min="11779" max="11779" width="9.140625" style="963" customWidth="1"/>
    <col min="11780" max="11780" width="11.28515625" style="963" customWidth="1"/>
    <col min="11781" max="11781" width="15.85546875" style="963" customWidth="1"/>
    <col min="11782" max="11782" width="19.5703125" style="963" customWidth="1"/>
    <col min="11783" max="11783" width="35.42578125" style="963" customWidth="1"/>
    <col min="11784" max="11784" width="31" style="963" customWidth="1"/>
    <col min="11785" max="11785" width="24" style="963" customWidth="1"/>
    <col min="11786" max="12033" width="9.140625" style="963"/>
    <col min="12034" max="12034" width="26" style="963" customWidth="1"/>
    <col min="12035" max="12035" width="9.140625" style="963" customWidth="1"/>
    <col min="12036" max="12036" width="11.28515625" style="963" customWidth="1"/>
    <col min="12037" max="12037" width="15.85546875" style="963" customWidth="1"/>
    <col min="12038" max="12038" width="19.5703125" style="963" customWidth="1"/>
    <col min="12039" max="12039" width="35.42578125" style="963" customWidth="1"/>
    <col min="12040" max="12040" width="31" style="963" customWidth="1"/>
    <col min="12041" max="12041" width="24" style="963" customWidth="1"/>
    <col min="12042" max="12289" width="9.140625" style="963"/>
    <col min="12290" max="12290" width="26" style="963" customWidth="1"/>
    <col min="12291" max="12291" width="9.140625" style="963" customWidth="1"/>
    <col min="12292" max="12292" width="11.28515625" style="963" customWidth="1"/>
    <col min="12293" max="12293" width="15.85546875" style="963" customWidth="1"/>
    <col min="12294" max="12294" width="19.5703125" style="963" customWidth="1"/>
    <col min="12295" max="12295" width="35.42578125" style="963" customWidth="1"/>
    <col min="12296" max="12296" width="31" style="963" customWidth="1"/>
    <col min="12297" max="12297" width="24" style="963" customWidth="1"/>
    <col min="12298" max="12545" width="9.140625" style="963"/>
    <col min="12546" max="12546" width="26" style="963" customWidth="1"/>
    <col min="12547" max="12547" width="9.140625" style="963" customWidth="1"/>
    <col min="12548" max="12548" width="11.28515625" style="963" customWidth="1"/>
    <col min="12549" max="12549" width="15.85546875" style="963" customWidth="1"/>
    <col min="12550" max="12550" width="19.5703125" style="963" customWidth="1"/>
    <col min="12551" max="12551" width="35.42578125" style="963" customWidth="1"/>
    <col min="12552" max="12552" width="31" style="963" customWidth="1"/>
    <col min="12553" max="12553" width="24" style="963" customWidth="1"/>
    <col min="12554" max="12801" width="9.140625" style="963"/>
    <col min="12802" max="12802" width="26" style="963" customWidth="1"/>
    <col min="12803" max="12803" width="9.140625" style="963" customWidth="1"/>
    <col min="12804" max="12804" width="11.28515625" style="963" customWidth="1"/>
    <col min="12805" max="12805" width="15.85546875" style="963" customWidth="1"/>
    <col min="12806" max="12806" width="19.5703125" style="963" customWidth="1"/>
    <col min="12807" max="12807" width="35.42578125" style="963" customWidth="1"/>
    <col min="12808" max="12808" width="31" style="963" customWidth="1"/>
    <col min="12809" max="12809" width="24" style="963" customWidth="1"/>
    <col min="12810" max="13057" width="9.140625" style="963"/>
    <col min="13058" max="13058" width="26" style="963" customWidth="1"/>
    <col min="13059" max="13059" width="9.140625" style="963" customWidth="1"/>
    <col min="13060" max="13060" width="11.28515625" style="963" customWidth="1"/>
    <col min="13061" max="13061" width="15.85546875" style="963" customWidth="1"/>
    <col min="13062" max="13062" width="19.5703125" style="963" customWidth="1"/>
    <col min="13063" max="13063" width="35.42578125" style="963" customWidth="1"/>
    <col min="13064" max="13064" width="31" style="963" customWidth="1"/>
    <col min="13065" max="13065" width="24" style="963" customWidth="1"/>
    <col min="13066" max="13313" width="9.140625" style="963"/>
    <col min="13314" max="13314" width="26" style="963" customWidth="1"/>
    <col min="13315" max="13315" width="9.140625" style="963" customWidth="1"/>
    <col min="13316" max="13316" width="11.28515625" style="963" customWidth="1"/>
    <col min="13317" max="13317" width="15.85546875" style="963" customWidth="1"/>
    <col min="13318" max="13318" width="19.5703125" style="963" customWidth="1"/>
    <col min="13319" max="13319" width="35.42578125" style="963" customWidth="1"/>
    <col min="13320" max="13320" width="31" style="963" customWidth="1"/>
    <col min="13321" max="13321" width="24" style="963" customWidth="1"/>
    <col min="13322" max="13569" width="9.140625" style="963"/>
    <col min="13570" max="13570" width="26" style="963" customWidth="1"/>
    <col min="13571" max="13571" width="9.140625" style="963" customWidth="1"/>
    <col min="13572" max="13572" width="11.28515625" style="963" customWidth="1"/>
    <col min="13573" max="13573" width="15.85546875" style="963" customWidth="1"/>
    <col min="13574" max="13574" width="19.5703125" style="963" customWidth="1"/>
    <col min="13575" max="13575" width="35.42578125" style="963" customWidth="1"/>
    <col min="13576" max="13576" width="31" style="963" customWidth="1"/>
    <col min="13577" max="13577" width="24" style="963" customWidth="1"/>
    <col min="13578" max="13825" width="9.140625" style="963"/>
    <col min="13826" max="13826" width="26" style="963" customWidth="1"/>
    <col min="13827" max="13827" width="9.140625" style="963" customWidth="1"/>
    <col min="13828" max="13828" width="11.28515625" style="963" customWidth="1"/>
    <col min="13829" max="13829" width="15.85546875" style="963" customWidth="1"/>
    <col min="13830" max="13830" width="19.5703125" style="963" customWidth="1"/>
    <col min="13831" max="13831" width="35.42578125" style="963" customWidth="1"/>
    <col min="13832" max="13832" width="31" style="963" customWidth="1"/>
    <col min="13833" max="13833" width="24" style="963" customWidth="1"/>
    <col min="13834" max="14081" width="9.140625" style="963"/>
    <col min="14082" max="14082" width="26" style="963" customWidth="1"/>
    <col min="14083" max="14083" width="9.140625" style="963" customWidth="1"/>
    <col min="14084" max="14084" width="11.28515625" style="963" customWidth="1"/>
    <col min="14085" max="14085" width="15.85546875" style="963" customWidth="1"/>
    <col min="14086" max="14086" width="19.5703125" style="963" customWidth="1"/>
    <col min="14087" max="14087" width="35.42578125" style="963" customWidth="1"/>
    <col min="14088" max="14088" width="31" style="963" customWidth="1"/>
    <col min="14089" max="14089" width="24" style="963" customWidth="1"/>
    <col min="14090" max="14337" width="9.140625" style="963"/>
    <col min="14338" max="14338" width="26" style="963" customWidth="1"/>
    <col min="14339" max="14339" width="9.140625" style="963" customWidth="1"/>
    <col min="14340" max="14340" width="11.28515625" style="963" customWidth="1"/>
    <col min="14341" max="14341" width="15.85546875" style="963" customWidth="1"/>
    <col min="14342" max="14342" width="19.5703125" style="963" customWidth="1"/>
    <col min="14343" max="14343" width="35.42578125" style="963" customWidth="1"/>
    <col min="14344" max="14344" width="31" style="963" customWidth="1"/>
    <col min="14345" max="14345" width="24" style="963" customWidth="1"/>
    <col min="14346" max="14593" width="9.140625" style="963"/>
    <col min="14594" max="14594" width="26" style="963" customWidth="1"/>
    <col min="14595" max="14595" width="9.140625" style="963" customWidth="1"/>
    <col min="14596" max="14596" width="11.28515625" style="963" customWidth="1"/>
    <col min="14597" max="14597" width="15.85546875" style="963" customWidth="1"/>
    <col min="14598" max="14598" width="19.5703125" style="963" customWidth="1"/>
    <col min="14599" max="14599" width="35.42578125" style="963" customWidth="1"/>
    <col min="14600" max="14600" width="31" style="963" customWidth="1"/>
    <col min="14601" max="14601" width="24" style="963" customWidth="1"/>
    <col min="14602" max="14849" width="9.140625" style="963"/>
    <col min="14850" max="14850" width="26" style="963" customWidth="1"/>
    <col min="14851" max="14851" width="9.140625" style="963" customWidth="1"/>
    <col min="14852" max="14852" width="11.28515625" style="963" customWidth="1"/>
    <col min="14853" max="14853" width="15.85546875" style="963" customWidth="1"/>
    <col min="14854" max="14854" width="19.5703125" style="963" customWidth="1"/>
    <col min="14855" max="14855" width="35.42578125" style="963" customWidth="1"/>
    <col min="14856" max="14856" width="31" style="963" customWidth="1"/>
    <col min="14857" max="14857" width="24" style="963" customWidth="1"/>
    <col min="14858" max="15105" width="9.140625" style="963"/>
    <col min="15106" max="15106" width="26" style="963" customWidth="1"/>
    <col min="15107" max="15107" width="9.140625" style="963" customWidth="1"/>
    <col min="15108" max="15108" width="11.28515625" style="963" customWidth="1"/>
    <col min="15109" max="15109" width="15.85546875" style="963" customWidth="1"/>
    <col min="15110" max="15110" width="19.5703125" style="963" customWidth="1"/>
    <col min="15111" max="15111" width="35.42578125" style="963" customWidth="1"/>
    <col min="15112" max="15112" width="31" style="963" customWidth="1"/>
    <col min="15113" max="15113" width="24" style="963" customWidth="1"/>
    <col min="15114" max="15361" width="9.140625" style="963"/>
    <col min="15362" max="15362" width="26" style="963" customWidth="1"/>
    <col min="15363" max="15363" width="9.140625" style="963" customWidth="1"/>
    <col min="15364" max="15364" width="11.28515625" style="963" customWidth="1"/>
    <col min="15365" max="15365" width="15.85546875" style="963" customWidth="1"/>
    <col min="15366" max="15366" width="19.5703125" style="963" customWidth="1"/>
    <col min="15367" max="15367" width="35.42578125" style="963" customWidth="1"/>
    <col min="15368" max="15368" width="31" style="963" customWidth="1"/>
    <col min="15369" max="15369" width="24" style="963" customWidth="1"/>
    <col min="15370" max="15617" width="9.140625" style="963"/>
    <col min="15618" max="15618" width="26" style="963" customWidth="1"/>
    <col min="15619" max="15619" width="9.140625" style="963" customWidth="1"/>
    <col min="15620" max="15620" width="11.28515625" style="963" customWidth="1"/>
    <col min="15621" max="15621" width="15.85546875" style="963" customWidth="1"/>
    <col min="15622" max="15622" width="19.5703125" style="963" customWidth="1"/>
    <col min="15623" max="15623" width="35.42578125" style="963" customWidth="1"/>
    <col min="15624" max="15624" width="31" style="963" customWidth="1"/>
    <col min="15625" max="15625" width="24" style="963" customWidth="1"/>
    <col min="15626" max="15873" width="9.140625" style="963"/>
    <col min="15874" max="15874" width="26" style="963" customWidth="1"/>
    <col min="15875" max="15875" width="9.140625" style="963" customWidth="1"/>
    <col min="15876" max="15876" width="11.28515625" style="963" customWidth="1"/>
    <col min="15877" max="15877" width="15.85546875" style="963" customWidth="1"/>
    <col min="15878" max="15878" width="19.5703125" style="963" customWidth="1"/>
    <col min="15879" max="15879" width="35.42578125" style="963" customWidth="1"/>
    <col min="15880" max="15880" width="31" style="963" customWidth="1"/>
    <col min="15881" max="15881" width="24" style="963" customWidth="1"/>
    <col min="15882" max="16129" width="9.140625" style="963"/>
    <col min="16130" max="16130" width="26" style="963" customWidth="1"/>
    <col min="16131" max="16131" width="9.140625" style="963" customWidth="1"/>
    <col min="16132" max="16132" width="11.28515625" style="963" customWidth="1"/>
    <col min="16133" max="16133" width="15.85546875" style="963" customWidth="1"/>
    <col min="16134" max="16134" width="19.5703125" style="963" customWidth="1"/>
    <col min="16135" max="16135" width="35.42578125" style="963" customWidth="1"/>
    <col min="16136" max="16136" width="31" style="963" customWidth="1"/>
    <col min="16137" max="16137" width="24" style="963" customWidth="1"/>
    <col min="16138" max="16384" width="9.140625" style="963"/>
  </cols>
  <sheetData>
    <row r="1" spans="1:8">
      <c r="C1" s="963" t="s">
        <v>1854</v>
      </c>
      <c r="G1" s="1382" t="s">
        <v>1020</v>
      </c>
    </row>
    <row r="5" spans="1:8" ht="35.25" customHeight="1">
      <c r="A5" s="974" t="s">
        <v>97</v>
      </c>
      <c r="B5" s="974" t="s">
        <v>1853</v>
      </c>
      <c r="C5" s="974" t="s">
        <v>100</v>
      </c>
      <c r="D5" s="974" t="s">
        <v>1</v>
      </c>
      <c r="E5" s="974" t="s">
        <v>3</v>
      </c>
      <c r="F5" s="974" t="s">
        <v>4</v>
      </c>
    </row>
    <row r="6" spans="1:8" ht="33">
      <c r="A6" s="974" t="s">
        <v>109</v>
      </c>
      <c r="B6" s="990" t="s">
        <v>1852</v>
      </c>
      <c r="C6" s="988"/>
      <c r="D6" s="988"/>
      <c r="E6" s="988"/>
      <c r="F6" s="984">
        <f>F7+F47</f>
        <v>5217050000</v>
      </c>
    </row>
    <row r="7" spans="1:8" ht="17.25">
      <c r="A7" s="974" t="s">
        <v>480</v>
      </c>
      <c r="B7" s="988" t="s">
        <v>1851</v>
      </c>
      <c r="C7" s="989"/>
      <c r="D7" s="988"/>
      <c r="E7" s="988"/>
      <c r="F7" s="975">
        <f>SUM(F8:F46)</f>
        <v>4945050000</v>
      </c>
    </row>
    <row r="8" spans="1:8">
      <c r="A8" s="2336">
        <v>1</v>
      </c>
      <c r="B8" s="973" t="s">
        <v>1837</v>
      </c>
      <c r="C8" s="979" t="s">
        <v>443</v>
      </c>
      <c r="D8" s="978">
        <v>15</v>
      </c>
      <c r="E8" s="977">
        <v>110000</v>
      </c>
      <c r="F8" s="976">
        <f t="shared" ref="F8:F46" si="0">E8*D8</f>
        <v>1650000</v>
      </c>
      <c r="H8" s="987">
        <f>E8*D8</f>
        <v>1650000</v>
      </c>
    </row>
    <row r="9" spans="1:8">
      <c r="A9" s="2336">
        <v>2</v>
      </c>
      <c r="B9" s="973" t="s">
        <v>1843</v>
      </c>
      <c r="C9" s="979" t="s">
        <v>443</v>
      </c>
      <c r="D9" s="978">
        <v>15</v>
      </c>
      <c r="E9" s="977">
        <v>380000</v>
      </c>
      <c r="F9" s="976">
        <f t="shared" si="0"/>
        <v>5700000</v>
      </c>
      <c r="H9" s="987"/>
    </row>
    <row r="10" spans="1:8">
      <c r="A10" s="2336">
        <v>3</v>
      </c>
      <c r="B10" s="973" t="s">
        <v>1842</v>
      </c>
      <c r="C10" s="979" t="s">
        <v>443</v>
      </c>
      <c r="D10" s="978">
        <v>15</v>
      </c>
      <c r="E10" s="977">
        <v>440000</v>
      </c>
      <c r="F10" s="976">
        <f t="shared" si="0"/>
        <v>6600000</v>
      </c>
      <c r="H10" s="987"/>
    </row>
    <row r="11" spans="1:8">
      <c r="A11" s="2336">
        <v>4</v>
      </c>
      <c r="B11" s="973" t="s">
        <v>1841</v>
      </c>
      <c r="C11" s="979" t="s">
        <v>443</v>
      </c>
      <c r="D11" s="978">
        <v>15</v>
      </c>
      <c r="E11" s="977">
        <v>290000</v>
      </c>
      <c r="F11" s="976">
        <f t="shared" si="0"/>
        <v>4350000</v>
      </c>
      <c r="H11" s="987"/>
    </row>
    <row r="12" spans="1:8">
      <c r="A12" s="2336">
        <v>5</v>
      </c>
      <c r="B12" s="973" t="s">
        <v>1840</v>
      </c>
      <c r="C12" s="979" t="s">
        <v>443</v>
      </c>
      <c r="D12" s="978">
        <v>15</v>
      </c>
      <c r="E12" s="977">
        <v>690000</v>
      </c>
      <c r="F12" s="976">
        <f t="shared" si="0"/>
        <v>10350000</v>
      </c>
      <c r="H12" s="987"/>
    </row>
    <row r="13" spans="1:8">
      <c r="A13" s="2336">
        <v>6</v>
      </c>
      <c r="B13" s="973" t="s">
        <v>1839</v>
      </c>
      <c r="C13" s="979" t="s">
        <v>443</v>
      </c>
      <c r="D13" s="978">
        <v>15</v>
      </c>
      <c r="E13" s="977">
        <v>700000</v>
      </c>
      <c r="F13" s="976">
        <f t="shared" si="0"/>
        <v>10500000</v>
      </c>
      <c r="H13" s="987"/>
    </row>
    <row r="14" spans="1:8">
      <c r="A14" s="2336">
        <v>7</v>
      </c>
      <c r="B14" s="973" t="s">
        <v>1838</v>
      </c>
      <c r="C14" s="979" t="s">
        <v>443</v>
      </c>
      <c r="D14" s="978">
        <v>15</v>
      </c>
      <c r="E14" s="977">
        <v>670000</v>
      </c>
      <c r="F14" s="976">
        <f t="shared" si="0"/>
        <v>10050000</v>
      </c>
      <c r="H14" s="987"/>
    </row>
    <row r="15" spans="1:8">
      <c r="A15" s="2336">
        <v>8</v>
      </c>
      <c r="B15" s="973" t="s">
        <v>1837</v>
      </c>
      <c r="C15" s="979" t="s">
        <v>443</v>
      </c>
      <c r="D15" s="978">
        <v>15</v>
      </c>
      <c r="E15" s="977">
        <v>110000</v>
      </c>
      <c r="F15" s="976">
        <f t="shared" si="0"/>
        <v>1650000</v>
      </c>
      <c r="H15" s="987"/>
    </row>
    <row r="16" spans="1:8">
      <c r="A16" s="2336">
        <v>9</v>
      </c>
      <c r="B16" s="973" t="s">
        <v>1836</v>
      </c>
      <c r="C16" s="979" t="s">
        <v>139</v>
      </c>
      <c r="D16" s="978">
        <v>15</v>
      </c>
      <c r="E16" s="977">
        <v>690000</v>
      </c>
      <c r="F16" s="976">
        <f t="shared" si="0"/>
        <v>10350000</v>
      </c>
      <c r="H16" s="987"/>
    </row>
    <row r="17" spans="1:8">
      <c r="A17" s="2336">
        <v>10</v>
      </c>
      <c r="B17" s="980" t="s">
        <v>1835</v>
      </c>
      <c r="C17" s="979" t="s">
        <v>139</v>
      </c>
      <c r="D17" s="978">
        <v>15</v>
      </c>
      <c r="E17" s="977">
        <v>1110000</v>
      </c>
      <c r="F17" s="976">
        <f t="shared" si="0"/>
        <v>16650000</v>
      </c>
      <c r="H17" s="987"/>
    </row>
    <row r="18" spans="1:8">
      <c r="A18" s="2336">
        <v>11</v>
      </c>
      <c r="B18" s="973" t="s">
        <v>1834</v>
      </c>
      <c r="C18" s="979" t="s">
        <v>139</v>
      </c>
      <c r="D18" s="978">
        <v>15</v>
      </c>
      <c r="E18" s="977">
        <v>2320000</v>
      </c>
      <c r="F18" s="976">
        <f t="shared" si="0"/>
        <v>34800000</v>
      </c>
      <c r="H18" s="987"/>
    </row>
    <row r="19" spans="1:8">
      <c r="A19" s="2336">
        <v>12</v>
      </c>
      <c r="B19" s="973" t="s">
        <v>1833</v>
      </c>
      <c r="C19" s="979" t="s">
        <v>139</v>
      </c>
      <c r="D19" s="978">
        <v>15</v>
      </c>
      <c r="E19" s="977">
        <v>1720000</v>
      </c>
      <c r="F19" s="976">
        <f t="shared" si="0"/>
        <v>25800000</v>
      </c>
      <c r="H19" s="987"/>
    </row>
    <row r="20" spans="1:8">
      <c r="A20" s="2336">
        <v>13</v>
      </c>
      <c r="B20" s="973" t="s">
        <v>1832</v>
      </c>
      <c r="C20" s="979" t="s">
        <v>443</v>
      </c>
      <c r="D20" s="978">
        <v>15</v>
      </c>
      <c r="E20" s="977">
        <v>15100000</v>
      </c>
      <c r="F20" s="976">
        <f t="shared" si="0"/>
        <v>226500000</v>
      </c>
      <c r="H20" s="987"/>
    </row>
    <row r="21" spans="1:8">
      <c r="A21" s="2336">
        <v>14</v>
      </c>
      <c r="B21" s="973" t="s">
        <v>1824</v>
      </c>
      <c r="C21" s="979" t="s">
        <v>443</v>
      </c>
      <c r="D21" s="978">
        <v>15</v>
      </c>
      <c r="E21" s="977">
        <v>16500000</v>
      </c>
      <c r="F21" s="976">
        <f t="shared" si="0"/>
        <v>247500000</v>
      </c>
      <c r="H21" s="987"/>
    </row>
    <row r="22" spans="1:8">
      <c r="A22" s="2336">
        <v>15</v>
      </c>
      <c r="B22" s="973" t="s">
        <v>1831</v>
      </c>
      <c r="C22" s="979" t="s">
        <v>443</v>
      </c>
      <c r="D22" s="978">
        <v>15</v>
      </c>
      <c r="E22" s="977">
        <v>5500000</v>
      </c>
      <c r="F22" s="976">
        <f t="shared" si="0"/>
        <v>82500000</v>
      </c>
      <c r="H22" s="987"/>
    </row>
    <row r="23" spans="1:8">
      <c r="A23" s="2336">
        <v>16</v>
      </c>
      <c r="B23" s="973" t="s">
        <v>1824</v>
      </c>
      <c r="C23" s="979" t="s">
        <v>443</v>
      </c>
      <c r="D23" s="978">
        <v>15</v>
      </c>
      <c r="E23" s="977">
        <v>9500000</v>
      </c>
      <c r="F23" s="976">
        <f t="shared" si="0"/>
        <v>142500000</v>
      </c>
      <c r="H23" s="987"/>
    </row>
    <row r="24" spans="1:8">
      <c r="A24" s="2336">
        <v>17</v>
      </c>
      <c r="B24" s="973" t="s">
        <v>1824</v>
      </c>
      <c r="C24" s="979" t="s">
        <v>443</v>
      </c>
      <c r="D24" s="978">
        <v>15</v>
      </c>
      <c r="E24" s="977">
        <v>15200000</v>
      </c>
      <c r="F24" s="976">
        <f t="shared" si="0"/>
        <v>228000000</v>
      </c>
      <c r="H24" s="987"/>
    </row>
    <row r="25" spans="1:8">
      <c r="A25" s="2336">
        <v>18</v>
      </c>
      <c r="B25" s="973" t="s">
        <v>1824</v>
      </c>
      <c r="C25" s="979" t="s">
        <v>443</v>
      </c>
      <c r="D25" s="978">
        <v>15</v>
      </c>
      <c r="E25" s="977">
        <v>18200000</v>
      </c>
      <c r="F25" s="976">
        <f t="shared" si="0"/>
        <v>273000000</v>
      </c>
      <c r="H25" s="987"/>
    </row>
    <row r="26" spans="1:8">
      <c r="A26" s="2336">
        <v>19</v>
      </c>
      <c r="B26" s="973" t="s">
        <v>1824</v>
      </c>
      <c r="C26" s="979" t="s">
        <v>443</v>
      </c>
      <c r="D26" s="978">
        <v>15</v>
      </c>
      <c r="E26" s="977">
        <v>9400000</v>
      </c>
      <c r="F26" s="976">
        <f t="shared" si="0"/>
        <v>141000000</v>
      </c>
      <c r="H26" s="987"/>
    </row>
    <row r="27" spans="1:8">
      <c r="A27" s="2336">
        <v>20</v>
      </c>
      <c r="B27" s="973" t="s">
        <v>1824</v>
      </c>
      <c r="C27" s="979" t="s">
        <v>443</v>
      </c>
      <c r="D27" s="978">
        <v>15</v>
      </c>
      <c r="E27" s="977">
        <v>12200000</v>
      </c>
      <c r="F27" s="976">
        <f t="shared" si="0"/>
        <v>183000000</v>
      </c>
      <c r="H27" s="987"/>
    </row>
    <row r="28" spans="1:8">
      <c r="A28" s="2336">
        <v>21</v>
      </c>
      <c r="B28" s="973" t="s">
        <v>1830</v>
      </c>
      <c r="C28" s="979" t="s">
        <v>443</v>
      </c>
      <c r="D28" s="978">
        <v>15</v>
      </c>
      <c r="E28" s="977">
        <v>11400000</v>
      </c>
      <c r="F28" s="976">
        <f t="shared" si="0"/>
        <v>171000000</v>
      </c>
      <c r="H28" s="987"/>
    </row>
    <row r="29" spans="1:8">
      <c r="A29" s="2336">
        <v>22</v>
      </c>
      <c r="B29" s="973" t="s">
        <v>1830</v>
      </c>
      <c r="C29" s="979" t="s">
        <v>443</v>
      </c>
      <c r="D29" s="978">
        <v>15</v>
      </c>
      <c r="E29" s="977">
        <v>18900000</v>
      </c>
      <c r="F29" s="976">
        <f t="shared" si="0"/>
        <v>283500000</v>
      </c>
      <c r="H29" s="987"/>
    </row>
    <row r="30" spans="1:8">
      <c r="A30" s="2336">
        <v>23</v>
      </c>
      <c r="B30" s="973" t="s">
        <v>1830</v>
      </c>
      <c r="C30" s="979" t="s">
        <v>443</v>
      </c>
      <c r="D30" s="978">
        <v>15</v>
      </c>
      <c r="E30" s="977">
        <v>22500000</v>
      </c>
      <c r="F30" s="976">
        <f t="shared" si="0"/>
        <v>337500000</v>
      </c>
      <c r="H30" s="987"/>
    </row>
    <row r="31" spans="1:8">
      <c r="A31" s="2336">
        <v>24</v>
      </c>
      <c r="B31" s="973" t="s">
        <v>1830</v>
      </c>
      <c r="C31" s="979" t="s">
        <v>443</v>
      </c>
      <c r="D31" s="978">
        <v>15</v>
      </c>
      <c r="E31" s="977">
        <v>11200000</v>
      </c>
      <c r="F31" s="976">
        <f t="shared" si="0"/>
        <v>168000000</v>
      </c>
      <c r="H31" s="987"/>
    </row>
    <row r="32" spans="1:8">
      <c r="A32" s="2336">
        <v>25</v>
      </c>
      <c r="B32" s="973" t="s">
        <v>1829</v>
      </c>
      <c r="C32" s="979" t="s">
        <v>443</v>
      </c>
      <c r="D32" s="978">
        <v>15</v>
      </c>
      <c r="E32" s="977">
        <v>10500000</v>
      </c>
      <c r="F32" s="976">
        <f t="shared" si="0"/>
        <v>157500000</v>
      </c>
      <c r="H32" s="987"/>
    </row>
    <row r="33" spans="1:8">
      <c r="A33" s="2336">
        <v>26</v>
      </c>
      <c r="B33" s="973" t="s">
        <v>1828</v>
      </c>
      <c r="C33" s="979" t="s">
        <v>443</v>
      </c>
      <c r="D33" s="978">
        <v>15</v>
      </c>
      <c r="E33" s="977">
        <v>5200000</v>
      </c>
      <c r="F33" s="976">
        <f t="shared" si="0"/>
        <v>78000000</v>
      </c>
      <c r="H33" s="987"/>
    </row>
    <row r="34" spans="1:8">
      <c r="A34" s="2336">
        <v>27</v>
      </c>
      <c r="B34" s="973" t="s">
        <v>1828</v>
      </c>
      <c r="C34" s="979" t="s">
        <v>443</v>
      </c>
      <c r="D34" s="978">
        <v>15</v>
      </c>
      <c r="E34" s="977">
        <v>4200000</v>
      </c>
      <c r="F34" s="976">
        <f t="shared" si="0"/>
        <v>63000000</v>
      </c>
      <c r="H34" s="987"/>
    </row>
    <row r="35" spans="1:8">
      <c r="A35" s="2336">
        <v>28</v>
      </c>
      <c r="B35" s="973" t="s">
        <v>1824</v>
      </c>
      <c r="C35" s="979" t="s">
        <v>443</v>
      </c>
      <c r="D35" s="978">
        <v>15</v>
      </c>
      <c r="E35" s="977">
        <v>22900000</v>
      </c>
      <c r="F35" s="976">
        <f t="shared" si="0"/>
        <v>343500000</v>
      </c>
      <c r="H35" s="987"/>
    </row>
    <row r="36" spans="1:8">
      <c r="A36" s="2336">
        <v>29</v>
      </c>
      <c r="B36" s="973" t="s">
        <v>1824</v>
      </c>
      <c r="C36" s="979" t="s">
        <v>443</v>
      </c>
      <c r="D36" s="978">
        <v>15</v>
      </c>
      <c r="E36" s="977">
        <v>20200000</v>
      </c>
      <c r="F36" s="976">
        <f t="shared" si="0"/>
        <v>303000000</v>
      </c>
      <c r="H36" s="987"/>
    </row>
    <row r="37" spans="1:8">
      <c r="A37" s="2336">
        <v>30</v>
      </c>
      <c r="B37" s="973" t="s">
        <v>1827</v>
      </c>
      <c r="C37" s="979" t="s">
        <v>443</v>
      </c>
      <c r="D37" s="978">
        <v>15</v>
      </c>
      <c r="E37" s="977">
        <v>13200000</v>
      </c>
      <c r="F37" s="976">
        <f t="shared" si="0"/>
        <v>198000000</v>
      </c>
      <c r="H37" s="987"/>
    </row>
    <row r="38" spans="1:8">
      <c r="A38" s="2336">
        <v>31</v>
      </c>
      <c r="B38" s="973" t="s">
        <v>1825</v>
      </c>
      <c r="C38" s="979" t="s">
        <v>443</v>
      </c>
      <c r="D38" s="978">
        <v>15</v>
      </c>
      <c r="E38" s="977">
        <v>18600000</v>
      </c>
      <c r="F38" s="976">
        <f t="shared" si="0"/>
        <v>279000000</v>
      </c>
      <c r="H38" s="987"/>
    </row>
    <row r="39" spans="1:8">
      <c r="A39" s="2336">
        <v>32</v>
      </c>
      <c r="B39" s="973" t="s">
        <v>1825</v>
      </c>
      <c r="C39" s="979" t="s">
        <v>443</v>
      </c>
      <c r="D39" s="978">
        <v>15</v>
      </c>
      <c r="E39" s="977">
        <v>12500000</v>
      </c>
      <c r="F39" s="976">
        <f t="shared" si="0"/>
        <v>187500000</v>
      </c>
      <c r="H39" s="987"/>
    </row>
    <row r="40" spans="1:8">
      <c r="A40" s="2336">
        <v>33</v>
      </c>
      <c r="B40" s="973" t="s">
        <v>1827</v>
      </c>
      <c r="C40" s="979" t="s">
        <v>443</v>
      </c>
      <c r="D40" s="978">
        <v>15</v>
      </c>
      <c r="E40" s="977">
        <v>4880000</v>
      </c>
      <c r="F40" s="976">
        <f t="shared" si="0"/>
        <v>73200000</v>
      </c>
      <c r="H40" s="987"/>
    </row>
    <row r="41" spans="1:8">
      <c r="A41" s="2336">
        <v>34</v>
      </c>
      <c r="B41" s="973" t="s">
        <v>1826</v>
      </c>
      <c r="C41" s="979" t="s">
        <v>443</v>
      </c>
      <c r="D41" s="978">
        <v>15</v>
      </c>
      <c r="E41" s="977">
        <v>5980000</v>
      </c>
      <c r="F41" s="976">
        <f t="shared" si="0"/>
        <v>89700000</v>
      </c>
      <c r="H41" s="987"/>
    </row>
    <row r="42" spans="1:8">
      <c r="A42" s="2336">
        <v>35</v>
      </c>
      <c r="B42" s="973" t="s">
        <v>1826</v>
      </c>
      <c r="C42" s="979" t="s">
        <v>443</v>
      </c>
      <c r="D42" s="978">
        <v>15</v>
      </c>
      <c r="E42" s="977">
        <v>5880000</v>
      </c>
      <c r="F42" s="976">
        <f t="shared" si="0"/>
        <v>88200000</v>
      </c>
      <c r="H42" s="987"/>
    </row>
    <row r="43" spans="1:8">
      <c r="A43" s="2336">
        <v>36</v>
      </c>
      <c r="B43" s="973" t="s">
        <v>1826</v>
      </c>
      <c r="C43" s="979" t="s">
        <v>443</v>
      </c>
      <c r="D43" s="978">
        <v>15</v>
      </c>
      <c r="E43" s="977">
        <v>4500000</v>
      </c>
      <c r="F43" s="976">
        <f t="shared" si="0"/>
        <v>67500000</v>
      </c>
      <c r="H43" s="987"/>
    </row>
    <row r="44" spans="1:8">
      <c r="A44" s="2336">
        <v>37</v>
      </c>
      <c r="B44" s="973" t="s">
        <v>1825</v>
      </c>
      <c r="C44" s="979" t="s">
        <v>443</v>
      </c>
      <c r="D44" s="978">
        <v>15</v>
      </c>
      <c r="E44" s="977">
        <v>8400000</v>
      </c>
      <c r="F44" s="976">
        <f t="shared" si="0"/>
        <v>126000000</v>
      </c>
      <c r="H44" s="987"/>
    </row>
    <row r="45" spans="1:8">
      <c r="A45" s="2336">
        <v>38</v>
      </c>
      <c r="B45" s="973" t="s">
        <v>1825</v>
      </c>
      <c r="C45" s="979" t="s">
        <v>443</v>
      </c>
      <c r="D45" s="978">
        <v>15</v>
      </c>
      <c r="E45" s="977">
        <v>7400000</v>
      </c>
      <c r="F45" s="976">
        <f t="shared" si="0"/>
        <v>111000000</v>
      </c>
      <c r="H45" s="987"/>
    </row>
    <row r="46" spans="1:8">
      <c r="A46" s="2336">
        <v>39</v>
      </c>
      <c r="B46" s="973" t="s">
        <v>1824</v>
      </c>
      <c r="C46" s="979" t="s">
        <v>443</v>
      </c>
      <c r="D46" s="978">
        <v>15</v>
      </c>
      <c r="E46" s="977">
        <v>10500000</v>
      </c>
      <c r="F46" s="976">
        <f t="shared" si="0"/>
        <v>157500000</v>
      </c>
      <c r="H46" s="987"/>
    </row>
    <row r="47" spans="1:8">
      <c r="A47" s="974" t="s">
        <v>485</v>
      </c>
      <c r="B47" s="986" t="s">
        <v>1850</v>
      </c>
      <c r="C47" s="2336"/>
      <c r="D47" s="985"/>
      <c r="E47" s="985"/>
      <c r="F47" s="984">
        <f>SUM(F48:F51)</f>
        <v>272000000</v>
      </c>
    </row>
    <row r="48" spans="1:8">
      <c r="A48" s="2336">
        <v>1</v>
      </c>
      <c r="B48" s="983" t="s">
        <v>1849</v>
      </c>
      <c r="C48" s="2336"/>
      <c r="D48" s="2337"/>
      <c r="E48" s="2337"/>
      <c r="F48" s="982">
        <v>100000000</v>
      </c>
    </row>
    <row r="49" spans="1:6">
      <c r="A49" s="2336">
        <v>2</v>
      </c>
      <c r="B49" s="973" t="s">
        <v>1848</v>
      </c>
      <c r="C49" s="2658" t="s">
        <v>1847</v>
      </c>
      <c r="D49" s="2658"/>
      <c r="E49" s="2658"/>
      <c r="F49" s="982">
        <v>96000000</v>
      </c>
    </row>
    <row r="50" spans="1:6">
      <c r="A50" s="2336">
        <v>3</v>
      </c>
      <c r="B50" s="973" t="s">
        <v>1846</v>
      </c>
      <c r="C50" s="2336"/>
      <c r="D50" s="2337"/>
      <c r="E50" s="2337"/>
      <c r="F50" s="982">
        <v>40000000</v>
      </c>
    </row>
    <row r="51" spans="1:6">
      <c r="A51" s="2336">
        <v>4</v>
      </c>
      <c r="B51" s="983" t="s">
        <v>1845</v>
      </c>
      <c r="C51" s="2658" t="s">
        <v>1844</v>
      </c>
      <c r="D51" s="2658"/>
      <c r="E51" s="2658"/>
      <c r="F51" s="982">
        <f>3000000*12</f>
        <v>36000000</v>
      </c>
    </row>
    <row r="52" spans="1:6">
      <c r="A52" s="974" t="s">
        <v>116</v>
      </c>
      <c r="B52" s="981" t="s">
        <v>242</v>
      </c>
      <c r="C52" s="2658"/>
      <c r="D52" s="2658"/>
      <c r="E52" s="2658"/>
      <c r="F52" s="975">
        <f>SUM(F53:F91)</f>
        <v>5530650000</v>
      </c>
    </row>
    <row r="53" spans="1:6">
      <c r="A53" s="2336">
        <v>1</v>
      </c>
      <c r="B53" s="973" t="s">
        <v>1837</v>
      </c>
      <c r="C53" s="979" t="s">
        <v>443</v>
      </c>
      <c r="D53" s="978">
        <v>15</v>
      </c>
      <c r="E53" s="977">
        <v>150000</v>
      </c>
      <c r="F53" s="976">
        <f t="shared" ref="F53:F91" si="1">E53*D53</f>
        <v>2250000</v>
      </c>
    </row>
    <row r="54" spans="1:6">
      <c r="A54" s="2336">
        <v>2</v>
      </c>
      <c r="B54" s="973" t="s">
        <v>1843</v>
      </c>
      <c r="C54" s="979" t="s">
        <v>443</v>
      </c>
      <c r="D54" s="978">
        <v>15</v>
      </c>
      <c r="E54" s="977">
        <v>420000</v>
      </c>
      <c r="F54" s="976">
        <f t="shared" si="1"/>
        <v>6300000</v>
      </c>
    </row>
    <row r="55" spans="1:6">
      <c r="A55" s="2336">
        <v>3</v>
      </c>
      <c r="B55" s="973" t="s">
        <v>1842</v>
      </c>
      <c r="C55" s="979" t="s">
        <v>443</v>
      </c>
      <c r="D55" s="978">
        <v>15</v>
      </c>
      <c r="E55" s="977">
        <v>480000</v>
      </c>
      <c r="F55" s="976">
        <f t="shared" si="1"/>
        <v>7200000</v>
      </c>
    </row>
    <row r="56" spans="1:6">
      <c r="A56" s="2336">
        <v>4</v>
      </c>
      <c r="B56" s="973" t="s">
        <v>1841</v>
      </c>
      <c r="C56" s="979" t="s">
        <v>443</v>
      </c>
      <c r="D56" s="978">
        <v>15</v>
      </c>
      <c r="E56" s="977">
        <v>330000</v>
      </c>
      <c r="F56" s="976">
        <f t="shared" si="1"/>
        <v>4950000</v>
      </c>
    </row>
    <row r="57" spans="1:6">
      <c r="A57" s="2336">
        <v>5</v>
      </c>
      <c r="B57" s="973" t="s">
        <v>1840</v>
      </c>
      <c r="C57" s="979" t="s">
        <v>443</v>
      </c>
      <c r="D57" s="978">
        <v>15</v>
      </c>
      <c r="E57" s="977">
        <v>740000</v>
      </c>
      <c r="F57" s="976">
        <f t="shared" si="1"/>
        <v>11100000</v>
      </c>
    </row>
    <row r="58" spans="1:6">
      <c r="A58" s="2336">
        <v>6</v>
      </c>
      <c r="B58" s="973" t="s">
        <v>1839</v>
      </c>
      <c r="C58" s="979" t="s">
        <v>443</v>
      </c>
      <c r="D58" s="978">
        <v>15</v>
      </c>
      <c r="E58" s="977">
        <v>750000</v>
      </c>
      <c r="F58" s="976">
        <f t="shared" si="1"/>
        <v>11250000</v>
      </c>
    </row>
    <row r="59" spans="1:6">
      <c r="A59" s="2336">
        <v>7</v>
      </c>
      <c r="B59" s="973" t="s">
        <v>1838</v>
      </c>
      <c r="C59" s="979" t="s">
        <v>443</v>
      </c>
      <c r="D59" s="978">
        <v>15</v>
      </c>
      <c r="E59" s="977">
        <v>720000</v>
      </c>
      <c r="F59" s="976">
        <f t="shared" si="1"/>
        <v>10800000</v>
      </c>
    </row>
    <row r="60" spans="1:6">
      <c r="A60" s="2336">
        <v>8</v>
      </c>
      <c r="B60" s="973" t="s">
        <v>1837</v>
      </c>
      <c r="C60" s="979" t="s">
        <v>443</v>
      </c>
      <c r="D60" s="978">
        <v>15</v>
      </c>
      <c r="E60" s="977">
        <v>150000</v>
      </c>
      <c r="F60" s="976">
        <f t="shared" si="1"/>
        <v>2250000</v>
      </c>
    </row>
    <row r="61" spans="1:6">
      <c r="A61" s="2336">
        <v>9</v>
      </c>
      <c r="B61" s="973" t="s">
        <v>1836</v>
      </c>
      <c r="C61" s="979" t="s">
        <v>139</v>
      </c>
      <c r="D61" s="978">
        <v>15</v>
      </c>
      <c r="E61" s="977">
        <v>750000</v>
      </c>
      <c r="F61" s="976">
        <f t="shared" si="1"/>
        <v>11250000</v>
      </c>
    </row>
    <row r="62" spans="1:6">
      <c r="A62" s="2336">
        <v>10</v>
      </c>
      <c r="B62" s="980" t="s">
        <v>1835</v>
      </c>
      <c r="C62" s="979" t="s">
        <v>139</v>
      </c>
      <c r="D62" s="978">
        <v>15</v>
      </c>
      <c r="E62" s="977">
        <v>1380000</v>
      </c>
      <c r="F62" s="976">
        <f t="shared" si="1"/>
        <v>20700000</v>
      </c>
    </row>
    <row r="63" spans="1:6">
      <c r="A63" s="2336">
        <v>11</v>
      </c>
      <c r="B63" s="973" t="s">
        <v>1834</v>
      </c>
      <c r="C63" s="979" t="s">
        <v>139</v>
      </c>
      <c r="D63" s="978">
        <v>15</v>
      </c>
      <c r="E63" s="977">
        <v>2550000</v>
      </c>
      <c r="F63" s="976">
        <f t="shared" si="1"/>
        <v>38250000</v>
      </c>
    </row>
    <row r="64" spans="1:6">
      <c r="A64" s="2336">
        <v>12</v>
      </c>
      <c r="B64" s="973" t="s">
        <v>1833</v>
      </c>
      <c r="C64" s="979" t="s">
        <v>139</v>
      </c>
      <c r="D64" s="978">
        <v>15</v>
      </c>
      <c r="E64" s="977">
        <v>1850000</v>
      </c>
      <c r="F64" s="976">
        <f t="shared" si="1"/>
        <v>27750000</v>
      </c>
    </row>
    <row r="65" spans="1:6">
      <c r="A65" s="2336">
        <v>13</v>
      </c>
      <c r="B65" s="973" t="s">
        <v>1832</v>
      </c>
      <c r="C65" s="979" t="s">
        <v>443</v>
      </c>
      <c r="D65" s="978">
        <v>15</v>
      </c>
      <c r="E65" s="977">
        <v>16100000</v>
      </c>
      <c r="F65" s="976">
        <f t="shared" si="1"/>
        <v>241500000</v>
      </c>
    </row>
    <row r="66" spans="1:6">
      <c r="A66" s="2336">
        <v>14</v>
      </c>
      <c r="B66" s="973" t="s">
        <v>1824</v>
      </c>
      <c r="C66" s="979" t="s">
        <v>443</v>
      </c>
      <c r="D66" s="978">
        <v>15</v>
      </c>
      <c r="E66" s="977">
        <v>17600000</v>
      </c>
      <c r="F66" s="976">
        <f t="shared" si="1"/>
        <v>264000000</v>
      </c>
    </row>
    <row r="67" spans="1:6">
      <c r="A67" s="2336">
        <v>15</v>
      </c>
      <c r="B67" s="973" t="s">
        <v>1831</v>
      </c>
      <c r="C67" s="979" t="s">
        <v>443</v>
      </c>
      <c r="D67" s="978">
        <v>15</v>
      </c>
      <c r="E67" s="977">
        <v>6500000</v>
      </c>
      <c r="F67" s="976">
        <f t="shared" si="1"/>
        <v>97500000</v>
      </c>
    </row>
    <row r="68" spans="1:6">
      <c r="A68" s="2336">
        <v>16</v>
      </c>
      <c r="B68" s="973" t="s">
        <v>1824</v>
      </c>
      <c r="C68" s="979" t="s">
        <v>443</v>
      </c>
      <c r="D68" s="978">
        <v>15</v>
      </c>
      <c r="E68" s="977">
        <v>10500000</v>
      </c>
      <c r="F68" s="976">
        <f t="shared" si="1"/>
        <v>157500000</v>
      </c>
    </row>
    <row r="69" spans="1:6">
      <c r="A69" s="2336">
        <v>17</v>
      </c>
      <c r="B69" s="973" t="s">
        <v>1824</v>
      </c>
      <c r="C69" s="979" t="s">
        <v>443</v>
      </c>
      <c r="D69" s="978">
        <v>15</v>
      </c>
      <c r="E69" s="977">
        <v>16800000</v>
      </c>
      <c r="F69" s="976">
        <f t="shared" si="1"/>
        <v>252000000</v>
      </c>
    </row>
    <row r="70" spans="1:6">
      <c r="A70" s="2336">
        <v>18</v>
      </c>
      <c r="B70" s="973" t="s">
        <v>1824</v>
      </c>
      <c r="C70" s="979" t="s">
        <v>443</v>
      </c>
      <c r="D70" s="978">
        <v>15</v>
      </c>
      <c r="E70" s="977">
        <v>19800000</v>
      </c>
      <c r="F70" s="976">
        <f t="shared" si="1"/>
        <v>297000000</v>
      </c>
    </row>
    <row r="71" spans="1:6">
      <c r="A71" s="2336">
        <v>19</v>
      </c>
      <c r="B71" s="973" t="s">
        <v>1824</v>
      </c>
      <c r="C71" s="979" t="s">
        <v>443</v>
      </c>
      <c r="D71" s="978">
        <v>15</v>
      </c>
      <c r="E71" s="977">
        <v>10500000</v>
      </c>
      <c r="F71" s="976">
        <f t="shared" si="1"/>
        <v>157500000</v>
      </c>
    </row>
    <row r="72" spans="1:6">
      <c r="A72" s="2336">
        <v>20</v>
      </c>
      <c r="B72" s="973" t="s">
        <v>1824</v>
      </c>
      <c r="C72" s="979" t="s">
        <v>443</v>
      </c>
      <c r="D72" s="978">
        <v>15</v>
      </c>
      <c r="E72" s="977">
        <v>13200000</v>
      </c>
      <c r="F72" s="976">
        <f t="shared" si="1"/>
        <v>198000000</v>
      </c>
    </row>
    <row r="73" spans="1:6">
      <c r="A73" s="2336">
        <v>21</v>
      </c>
      <c r="B73" s="973" t="s">
        <v>1830</v>
      </c>
      <c r="C73" s="979" t="s">
        <v>443</v>
      </c>
      <c r="D73" s="978">
        <v>15</v>
      </c>
      <c r="E73" s="977">
        <v>12500000</v>
      </c>
      <c r="F73" s="976">
        <f t="shared" si="1"/>
        <v>187500000</v>
      </c>
    </row>
    <row r="74" spans="1:6">
      <c r="A74" s="2336">
        <v>22</v>
      </c>
      <c r="B74" s="973" t="s">
        <v>1830</v>
      </c>
      <c r="C74" s="979" t="s">
        <v>443</v>
      </c>
      <c r="D74" s="978">
        <v>15</v>
      </c>
      <c r="E74" s="977">
        <v>20500000</v>
      </c>
      <c r="F74" s="976">
        <f t="shared" si="1"/>
        <v>307500000</v>
      </c>
    </row>
    <row r="75" spans="1:6">
      <c r="A75" s="2336">
        <v>23</v>
      </c>
      <c r="B75" s="973" t="s">
        <v>1830</v>
      </c>
      <c r="C75" s="979" t="s">
        <v>443</v>
      </c>
      <c r="D75" s="978">
        <v>15</v>
      </c>
      <c r="E75" s="977">
        <v>25500000</v>
      </c>
      <c r="F75" s="976">
        <f t="shared" si="1"/>
        <v>382500000</v>
      </c>
    </row>
    <row r="76" spans="1:6">
      <c r="A76" s="2336">
        <v>24</v>
      </c>
      <c r="B76" s="973" t="s">
        <v>1830</v>
      </c>
      <c r="C76" s="979" t="s">
        <v>443</v>
      </c>
      <c r="D76" s="978">
        <v>15</v>
      </c>
      <c r="E76" s="977">
        <v>13500000</v>
      </c>
      <c r="F76" s="976">
        <f t="shared" si="1"/>
        <v>202500000</v>
      </c>
    </row>
    <row r="77" spans="1:6">
      <c r="A77" s="2336">
        <v>25</v>
      </c>
      <c r="B77" s="973" t="s">
        <v>1829</v>
      </c>
      <c r="C77" s="979" t="s">
        <v>443</v>
      </c>
      <c r="D77" s="978">
        <v>15</v>
      </c>
      <c r="E77" s="977">
        <v>12500000</v>
      </c>
      <c r="F77" s="976">
        <f t="shared" si="1"/>
        <v>187500000</v>
      </c>
    </row>
    <row r="78" spans="1:6">
      <c r="A78" s="2336">
        <v>26</v>
      </c>
      <c r="B78" s="973" t="s">
        <v>1828</v>
      </c>
      <c r="C78" s="979" t="s">
        <v>443</v>
      </c>
      <c r="D78" s="978">
        <v>15</v>
      </c>
      <c r="E78" s="977">
        <v>5950000</v>
      </c>
      <c r="F78" s="976">
        <f t="shared" si="1"/>
        <v>89250000</v>
      </c>
    </row>
    <row r="79" spans="1:6">
      <c r="A79" s="2336">
        <v>27</v>
      </c>
      <c r="B79" s="973" t="s">
        <v>1828</v>
      </c>
      <c r="C79" s="979" t="s">
        <v>443</v>
      </c>
      <c r="D79" s="978">
        <v>15</v>
      </c>
      <c r="E79" s="977">
        <v>4950000</v>
      </c>
      <c r="F79" s="976">
        <f t="shared" si="1"/>
        <v>74250000</v>
      </c>
    </row>
    <row r="80" spans="1:6">
      <c r="A80" s="2336">
        <v>28</v>
      </c>
      <c r="B80" s="973" t="s">
        <v>1824</v>
      </c>
      <c r="C80" s="979" t="s">
        <v>443</v>
      </c>
      <c r="D80" s="978">
        <v>15</v>
      </c>
      <c r="E80" s="977">
        <v>26500000</v>
      </c>
      <c r="F80" s="976">
        <f t="shared" si="1"/>
        <v>397500000</v>
      </c>
    </row>
    <row r="81" spans="1:8">
      <c r="A81" s="2336">
        <v>29</v>
      </c>
      <c r="B81" s="973" t="s">
        <v>1824</v>
      </c>
      <c r="C81" s="979" t="s">
        <v>443</v>
      </c>
      <c r="D81" s="978">
        <v>15</v>
      </c>
      <c r="E81" s="977">
        <v>23800000</v>
      </c>
      <c r="F81" s="976">
        <f t="shared" si="1"/>
        <v>357000000</v>
      </c>
    </row>
    <row r="82" spans="1:8">
      <c r="A82" s="2336">
        <v>30</v>
      </c>
      <c r="B82" s="973" t="s">
        <v>1827</v>
      </c>
      <c r="C82" s="979" t="s">
        <v>443</v>
      </c>
      <c r="D82" s="978">
        <v>15</v>
      </c>
      <c r="E82" s="977">
        <v>15100000</v>
      </c>
      <c r="F82" s="976">
        <f t="shared" si="1"/>
        <v>226500000</v>
      </c>
    </row>
    <row r="83" spans="1:8">
      <c r="A83" s="2336">
        <v>31</v>
      </c>
      <c r="B83" s="973" t="s">
        <v>1825</v>
      </c>
      <c r="C83" s="979" t="s">
        <v>443</v>
      </c>
      <c r="D83" s="978">
        <v>15</v>
      </c>
      <c r="E83" s="977">
        <v>19800000</v>
      </c>
      <c r="F83" s="976">
        <f t="shared" si="1"/>
        <v>297000000</v>
      </c>
    </row>
    <row r="84" spans="1:8">
      <c r="A84" s="2336">
        <v>32</v>
      </c>
      <c r="B84" s="973" t="s">
        <v>1825</v>
      </c>
      <c r="C84" s="979" t="s">
        <v>443</v>
      </c>
      <c r="D84" s="978">
        <v>15</v>
      </c>
      <c r="E84" s="977">
        <v>14800000</v>
      </c>
      <c r="F84" s="976">
        <f t="shared" si="1"/>
        <v>222000000</v>
      </c>
    </row>
    <row r="85" spans="1:8">
      <c r="A85" s="2336">
        <v>33</v>
      </c>
      <c r="B85" s="973" t="s">
        <v>1827</v>
      </c>
      <c r="C85" s="979" t="s">
        <v>443</v>
      </c>
      <c r="D85" s="978">
        <v>15</v>
      </c>
      <c r="E85" s="977">
        <v>5280000</v>
      </c>
      <c r="F85" s="976">
        <f t="shared" si="1"/>
        <v>79200000</v>
      </c>
    </row>
    <row r="86" spans="1:8">
      <c r="A86" s="2336">
        <v>34</v>
      </c>
      <c r="B86" s="973" t="s">
        <v>1826</v>
      </c>
      <c r="C86" s="979" t="s">
        <v>443</v>
      </c>
      <c r="D86" s="978">
        <v>15</v>
      </c>
      <c r="E86" s="977">
        <v>6480000</v>
      </c>
      <c r="F86" s="976">
        <f t="shared" si="1"/>
        <v>97200000</v>
      </c>
    </row>
    <row r="87" spans="1:8">
      <c r="A87" s="2336">
        <v>35</v>
      </c>
      <c r="B87" s="973" t="s">
        <v>1826</v>
      </c>
      <c r="C87" s="979" t="s">
        <v>443</v>
      </c>
      <c r="D87" s="978">
        <v>15</v>
      </c>
      <c r="E87" s="977">
        <v>6180000</v>
      </c>
      <c r="F87" s="976">
        <f t="shared" si="1"/>
        <v>92700000</v>
      </c>
    </row>
    <row r="88" spans="1:8">
      <c r="A88" s="2336">
        <v>36</v>
      </c>
      <c r="B88" s="973" t="s">
        <v>1826</v>
      </c>
      <c r="C88" s="979" t="s">
        <v>443</v>
      </c>
      <c r="D88" s="978">
        <v>15</v>
      </c>
      <c r="E88" s="977">
        <v>4800000</v>
      </c>
      <c r="F88" s="976">
        <f t="shared" si="1"/>
        <v>72000000</v>
      </c>
    </row>
    <row r="89" spans="1:8">
      <c r="A89" s="2336">
        <v>37</v>
      </c>
      <c r="B89" s="973" t="s">
        <v>1825</v>
      </c>
      <c r="C89" s="979" t="s">
        <v>443</v>
      </c>
      <c r="D89" s="978">
        <v>15</v>
      </c>
      <c r="E89" s="977">
        <v>8900000</v>
      </c>
      <c r="F89" s="976">
        <f t="shared" si="1"/>
        <v>133500000</v>
      </c>
    </row>
    <row r="90" spans="1:8">
      <c r="A90" s="2336">
        <v>38</v>
      </c>
      <c r="B90" s="973" t="s">
        <v>1825</v>
      </c>
      <c r="C90" s="979" t="s">
        <v>443</v>
      </c>
      <c r="D90" s="978">
        <v>15</v>
      </c>
      <c r="E90" s="977">
        <v>7900000</v>
      </c>
      <c r="F90" s="976">
        <f t="shared" si="1"/>
        <v>118500000</v>
      </c>
    </row>
    <row r="91" spans="1:8">
      <c r="A91" s="2336">
        <v>39</v>
      </c>
      <c r="B91" s="973" t="s">
        <v>1824</v>
      </c>
      <c r="C91" s="979" t="s">
        <v>443</v>
      </c>
      <c r="D91" s="978">
        <v>15</v>
      </c>
      <c r="E91" s="977">
        <v>12500000</v>
      </c>
      <c r="F91" s="976">
        <f t="shared" si="1"/>
        <v>187500000</v>
      </c>
    </row>
    <row r="92" spans="1:8">
      <c r="A92" s="974" t="s">
        <v>135</v>
      </c>
      <c r="B92" s="973" t="s">
        <v>125</v>
      </c>
      <c r="C92" s="2658" t="s">
        <v>1823</v>
      </c>
      <c r="D92" s="2658"/>
      <c r="E92" s="2658"/>
      <c r="F92" s="975">
        <v>100000000</v>
      </c>
    </row>
    <row r="93" spans="1:8">
      <c r="A93" s="974" t="s">
        <v>645</v>
      </c>
      <c r="B93" s="973" t="s">
        <v>24</v>
      </c>
      <c r="C93" s="2659"/>
      <c r="D93" s="2659"/>
      <c r="E93" s="2659"/>
      <c r="F93" s="972">
        <f>F52-F6-F92</f>
        <v>213600000</v>
      </c>
      <c r="H93" s="963">
        <f>H108/H107*100</f>
        <v>61.664158863725675</v>
      </c>
    </row>
    <row r="96" spans="1:8">
      <c r="G96" s="971" t="s">
        <v>1822</v>
      </c>
      <c r="H96" s="970">
        <f>H100-H97-H98+H99</f>
        <v>1278525000</v>
      </c>
    </row>
    <row r="97" spans="7:8">
      <c r="G97" s="971" t="s">
        <v>1821</v>
      </c>
      <c r="H97" s="970">
        <v>410000000</v>
      </c>
    </row>
    <row r="98" spans="7:8">
      <c r="G98" s="971" t="s">
        <v>1820</v>
      </c>
      <c r="H98" s="970">
        <v>250000000</v>
      </c>
    </row>
    <row r="99" spans="7:8">
      <c r="G99" s="971" t="s">
        <v>1819</v>
      </c>
      <c r="H99" s="970">
        <v>330000000</v>
      </c>
    </row>
    <row r="100" spans="7:8">
      <c r="G100" s="967" t="s">
        <v>234</v>
      </c>
      <c r="H100" s="969">
        <f>H108</f>
        <v>1608525000</v>
      </c>
    </row>
    <row r="102" spans="7:8">
      <c r="G102" s="967" t="s">
        <v>64</v>
      </c>
      <c r="H102" s="967" t="s">
        <v>1818</v>
      </c>
    </row>
    <row r="103" spans="7:8">
      <c r="G103" s="967" t="s">
        <v>1817</v>
      </c>
      <c r="H103" s="966">
        <f>H104+H105</f>
        <v>5217050000</v>
      </c>
    </row>
    <row r="104" spans="7:8">
      <c r="G104" s="2337" t="s">
        <v>1816</v>
      </c>
      <c r="H104" s="964">
        <f>F7</f>
        <v>4945050000</v>
      </c>
    </row>
    <row r="105" spans="7:8">
      <c r="G105" s="2337" t="s">
        <v>1815</v>
      </c>
      <c r="H105" s="964">
        <f>F47</f>
        <v>272000000</v>
      </c>
    </row>
    <row r="106" spans="7:8">
      <c r="G106" s="967" t="s">
        <v>1814</v>
      </c>
      <c r="H106" s="966">
        <v>2</v>
      </c>
    </row>
    <row r="107" spans="7:8">
      <c r="G107" s="967" t="s">
        <v>1813</v>
      </c>
      <c r="H107" s="968">
        <f>H103/H106</f>
        <v>2608525000</v>
      </c>
    </row>
    <row r="108" spans="7:8">
      <c r="G108" s="967" t="s">
        <v>1812</v>
      </c>
      <c r="H108" s="966">
        <f>H107-H109</f>
        <v>1608525000</v>
      </c>
    </row>
    <row r="109" spans="7:8">
      <c r="G109" s="967" t="s">
        <v>1811</v>
      </c>
      <c r="H109" s="966">
        <f>H110+H111</f>
        <v>1000000000</v>
      </c>
    </row>
    <row r="110" spans="7:8">
      <c r="G110" s="965" t="s">
        <v>1810</v>
      </c>
      <c r="H110" s="964">
        <v>1000000000</v>
      </c>
    </row>
    <row r="111" spans="7:8">
      <c r="G111" s="965" t="s">
        <v>1810</v>
      </c>
      <c r="H111" s="964">
        <v>0</v>
      </c>
    </row>
  </sheetData>
  <mergeCells count="5">
    <mergeCell ref="C49:E49"/>
    <mergeCell ref="C51:E51"/>
    <mergeCell ref="C52:E52"/>
    <mergeCell ref="C92:E92"/>
    <mergeCell ref="C93:E93"/>
  </mergeCells>
  <pageMargins left="0.7" right="0.7" top="0.75" bottom="0.75" header="0.3" footer="0.3"/>
  <pageSetup orientation="portrait" horizontalDpi="1200" verticalDpi="1200"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J82"/>
  <sheetViews>
    <sheetView workbookViewId="0">
      <selection activeCell="I12" sqref="I12"/>
    </sheetView>
  </sheetViews>
  <sheetFormatPr defaultRowHeight="16.5"/>
  <cols>
    <col min="1" max="1" width="4.42578125" style="311" bestFit="1" customWidth="1"/>
    <col min="2" max="2" width="40.7109375" style="311" bestFit="1" customWidth="1"/>
    <col min="3" max="3" width="6.28515625" style="311" bestFit="1" customWidth="1"/>
    <col min="4" max="4" width="12.140625" style="318" customWidth="1"/>
    <col min="5" max="5" width="13.7109375" style="318" customWidth="1"/>
    <col min="6" max="6" width="14.85546875" style="318" customWidth="1"/>
    <col min="7" max="7" width="18.140625" style="318" bestFit="1" customWidth="1"/>
    <col min="8" max="8" width="9.140625" style="311"/>
    <col min="9" max="9" width="17.85546875" style="318" bestFit="1" customWidth="1"/>
    <col min="10" max="10" width="17.85546875" style="311" bestFit="1" customWidth="1"/>
    <col min="11" max="16384" width="9.140625" style="311"/>
  </cols>
  <sheetData>
    <row r="1" spans="1:10">
      <c r="C1" s="311" t="s">
        <v>1017</v>
      </c>
      <c r="G1" s="452" t="s">
        <v>1020</v>
      </c>
    </row>
    <row r="4" spans="1:10" ht="33">
      <c r="A4" s="2355" t="s">
        <v>0</v>
      </c>
      <c r="B4" s="2355" t="s">
        <v>648</v>
      </c>
      <c r="C4" s="2355" t="s">
        <v>100</v>
      </c>
      <c r="D4" s="344" t="s">
        <v>764</v>
      </c>
      <c r="E4" s="344" t="s">
        <v>765</v>
      </c>
      <c r="F4" s="344" t="s">
        <v>3</v>
      </c>
      <c r="G4" s="344" t="s">
        <v>766</v>
      </c>
    </row>
    <row r="5" spans="1:10">
      <c r="A5" s="295" t="s">
        <v>109</v>
      </c>
      <c r="B5" s="2352" t="s">
        <v>767</v>
      </c>
      <c r="C5" s="2352"/>
      <c r="D5" s="345"/>
      <c r="E5" s="345"/>
      <c r="F5" s="345"/>
      <c r="G5" s="345">
        <f>SUM(G6:G44)</f>
        <v>5038950000</v>
      </c>
      <c r="I5" s="318">
        <v>4300000000</v>
      </c>
    </row>
    <row r="6" spans="1:10">
      <c r="A6" s="299">
        <v>1</v>
      </c>
      <c r="B6" s="298" t="s">
        <v>768</v>
      </c>
      <c r="C6" s="298" t="s">
        <v>244</v>
      </c>
      <c r="D6" s="346">
        <v>60</v>
      </c>
      <c r="E6" s="346">
        <v>8980</v>
      </c>
      <c r="F6" s="346">
        <v>8227000</v>
      </c>
      <c r="G6" s="346">
        <f>F6*D6</f>
        <v>493620000</v>
      </c>
      <c r="H6" s="453"/>
      <c r="I6" s="318">
        <f>SUM(G6:G38)</f>
        <v>4653950000</v>
      </c>
      <c r="J6" s="318">
        <v>4653950000</v>
      </c>
    </row>
    <row r="7" spans="1:10">
      <c r="A7" s="299">
        <v>2</v>
      </c>
      <c r="B7" s="298" t="s">
        <v>769</v>
      </c>
      <c r="C7" s="298" t="s">
        <v>244</v>
      </c>
      <c r="D7" s="346">
        <v>50</v>
      </c>
      <c r="E7" s="346">
        <v>5954</v>
      </c>
      <c r="F7" s="346">
        <v>9040000</v>
      </c>
      <c r="G7" s="346">
        <f t="shared" ref="G7:G20" si="0">F7*D7</f>
        <v>452000000</v>
      </c>
      <c r="H7" s="453"/>
      <c r="I7" s="318">
        <f>I6-I5</f>
        <v>353950000</v>
      </c>
    </row>
    <row r="8" spans="1:10">
      <c r="A8" s="299">
        <v>3</v>
      </c>
      <c r="B8" s="298" t="s">
        <v>770</v>
      </c>
      <c r="C8" s="298" t="s">
        <v>244</v>
      </c>
      <c r="D8" s="346">
        <v>80</v>
      </c>
      <c r="E8" s="346">
        <v>1961</v>
      </c>
      <c r="F8" s="346">
        <v>3420000</v>
      </c>
      <c r="G8" s="346">
        <f t="shared" si="0"/>
        <v>273600000</v>
      </c>
      <c r="H8" s="453"/>
      <c r="I8" s="458">
        <f>I7/I6</f>
        <v>7.6053674835354912E-2</v>
      </c>
    </row>
    <row r="9" spans="1:10">
      <c r="A9" s="299">
        <v>4</v>
      </c>
      <c r="B9" s="298" t="s">
        <v>771</v>
      </c>
      <c r="C9" s="298" t="s">
        <v>244</v>
      </c>
      <c r="D9" s="346">
        <v>60</v>
      </c>
      <c r="E9" s="346">
        <v>1790</v>
      </c>
      <c r="F9" s="346">
        <v>2160000</v>
      </c>
      <c r="G9" s="346">
        <f t="shared" si="0"/>
        <v>129600000</v>
      </c>
      <c r="H9" s="453"/>
    </row>
    <row r="10" spans="1:10">
      <c r="A10" s="299">
        <v>5</v>
      </c>
      <c r="B10" s="298" t="s">
        <v>772</v>
      </c>
      <c r="C10" s="298" t="s">
        <v>244</v>
      </c>
      <c r="D10" s="346">
        <v>50</v>
      </c>
      <c r="E10" s="346">
        <v>42000</v>
      </c>
      <c r="F10" s="346">
        <v>1882000</v>
      </c>
      <c r="G10" s="346">
        <f t="shared" si="0"/>
        <v>94100000</v>
      </c>
      <c r="H10" s="453"/>
    </row>
    <row r="11" spans="1:10">
      <c r="A11" s="299">
        <v>6</v>
      </c>
      <c r="B11" s="298" t="s">
        <v>773</v>
      </c>
      <c r="C11" s="298" t="s">
        <v>244</v>
      </c>
      <c r="D11" s="346">
        <v>50</v>
      </c>
      <c r="E11" s="346">
        <v>52000</v>
      </c>
      <c r="F11" s="346">
        <v>2337000</v>
      </c>
      <c r="G11" s="346">
        <f t="shared" si="0"/>
        <v>116850000</v>
      </c>
      <c r="H11" s="453"/>
    </row>
    <row r="12" spans="1:10">
      <c r="A12" s="299">
        <v>7</v>
      </c>
      <c r="B12" s="298" t="s">
        <v>774</v>
      </c>
      <c r="C12" s="298" t="s">
        <v>244</v>
      </c>
      <c r="D12" s="346">
        <v>40</v>
      </c>
      <c r="E12" s="346">
        <v>1630</v>
      </c>
      <c r="F12" s="346">
        <v>5520000</v>
      </c>
      <c r="G12" s="346">
        <f t="shared" si="0"/>
        <v>220800000</v>
      </c>
      <c r="H12" s="453"/>
    </row>
    <row r="13" spans="1:10">
      <c r="A13" s="299">
        <v>8</v>
      </c>
      <c r="B13" s="298" t="s">
        <v>775</v>
      </c>
      <c r="C13" s="298" t="s">
        <v>244</v>
      </c>
      <c r="D13" s="346">
        <v>50</v>
      </c>
      <c r="E13" s="346">
        <v>1015</v>
      </c>
      <c r="F13" s="346">
        <v>2830000</v>
      </c>
      <c r="G13" s="346">
        <f t="shared" si="0"/>
        <v>141500000</v>
      </c>
      <c r="H13" s="453"/>
    </row>
    <row r="14" spans="1:10">
      <c r="A14" s="299">
        <v>9</v>
      </c>
      <c r="B14" s="298" t="s">
        <v>776</v>
      </c>
      <c r="C14" s="298" t="s">
        <v>248</v>
      </c>
      <c r="D14" s="346">
        <v>50</v>
      </c>
      <c r="E14" s="346">
        <v>914</v>
      </c>
      <c r="F14" s="346">
        <v>1700000</v>
      </c>
      <c r="G14" s="346">
        <f t="shared" si="0"/>
        <v>85000000</v>
      </c>
      <c r="H14" s="453"/>
    </row>
    <row r="15" spans="1:10">
      <c r="A15" s="299">
        <v>10</v>
      </c>
      <c r="B15" s="298" t="s">
        <v>777</v>
      </c>
      <c r="C15" s="298" t="s">
        <v>244</v>
      </c>
      <c r="D15" s="346">
        <v>60</v>
      </c>
      <c r="E15" s="346">
        <v>650</v>
      </c>
      <c r="F15" s="346">
        <v>2755000</v>
      </c>
      <c r="G15" s="346">
        <f t="shared" si="0"/>
        <v>165300000</v>
      </c>
      <c r="H15" s="453"/>
    </row>
    <row r="16" spans="1:10">
      <c r="A16" s="299">
        <v>11</v>
      </c>
      <c r="B16" s="298" t="s">
        <v>778</v>
      </c>
      <c r="C16" s="298" t="s">
        <v>244</v>
      </c>
      <c r="D16" s="346">
        <v>50</v>
      </c>
      <c r="E16" s="346">
        <v>402</v>
      </c>
      <c r="F16" s="346">
        <v>3740000</v>
      </c>
      <c r="G16" s="346">
        <f t="shared" si="0"/>
        <v>187000000</v>
      </c>
      <c r="H16" s="453"/>
    </row>
    <row r="17" spans="1:10">
      <c r="A17" s="299">
        <v>12</v>
      </c>
      <c r="B17" s="298" t="s">
        <v>779</v>
      </c>
      <c r="C17" s="298" t="s">
        <v>248</v>
      </c>
      <c r="D17" s="346">
        <v>50</v>
      </c>
      <c r="E17" s="346">
        <v>342</v>
      </c>
      <c r="F17" s="346">
        <v>1954000</v>
      </c>
      <c r="G17" s="346">
        <f t="shared" si="0"/>
        <v>97700000</v>
      </c>
      <c r="H17" s="453"/>
    </row>
    <row r="18" spans="1:10">
      <c r="A18" s="299">
        <v>13</v>
      </c>
      <c r="B18" s="298" t="s">
        <v>780</v>
      </c>
      <c r="C18" s="298" t="s">
        <v>244</v>
      </c>
      <c r="D18" s="346">
        <v>80</v>
      </c>
      <c r="E18" s="346">
        <v>252</v>
      </c>
      <c r="F18" s="346">
        <v>445000</v>
      </c>
      <c r="G18" s="346">
        <f t="shared" si="0"/>
        <v>35600000</v>
      </c>
      <c r="H18" s="453"/>
    </row>
    <row r="19" spans="1:10">
      <c r="A19" s="299">
        <v>14</v>
      </c>
      <c r="B19" s="298" t="s">
        <v>781</v>
      </c>
      <c r="C19" s="298" t="s">
        <v>244</v>
      </c>
      <c r="D19" s="346">
        <v>70</v>
      </c>
      <c r="E19" s="346">
        <v>220</v>
      </c>
      <c r="F19" s="346">
        <v>1190000</v>
      </c>
      <c r="G19" s="346">
        <f t="shared" si="0"/>
        <v>83300000</v>
      </c>
      <c r="H19" s="453"/>
    </row>
    <row r="20" spans="1:10" s="318" customFormat="1">
      <c r="A20" s="299">
        <v>15</v>
      </c>
      <c r="B20" s="298" t="s">
        <v>782</v>
      </c>
      <c r="C20" s="298" t="s">
        <v>244</v>
      </c>
      <c r="D20" s="346">
        <v>60</v>
      </c>
      <c r="E20" s="346">
        <v>12</v>
      </c>
      <c r="F20" s="346">
        <v>3353000</v>
      </c>
      <c r="G20" s="346">
        <f t="shared" si="0"/>
        <v>201180000</v>
      </c>
      <c r="H20" s="453"/>
      <c r="J20" s="311"/>
    </row>
    <row r="21" spans="1:10" s="318" customFormat="1">
      <c r="A21" s="299">
        <v>16</v>
      </c>
      <c r="B21" s="298" t="s">
        <v>783</v>
      </c>
      <c r="C21" s="298" t="s">
        <v>5</v>
      </c>
      <c r="D21" s="346">
        <v>500</v>
      </c>
      <c r="E21" s="346">
        <v>14</v>
      </c>
      <c r="F21" s="346">
        <v>115000</v>
      </c>
      <c r="G21" s="346">
        <f>F21*D21</f>
        <v>57500000</v>
      </c>
      <c r="H21" s="453"/>
      <c r="J21" s="311"/>
    </row>
    <row r="22" spans="1:10" s="318" customFormat="1">
      <c r="A22" s="299">
        <v>17</v>
      </c>
      <c r="B22" s="298" t="s">
        <v>784</v>
      </c>
      <c r="C22" s="298" t="str">
        <f>C21</f>
        <v>m2</v>
      </c>
      <c r="D22" s="346">
        <v>400</v>
      </c>
      <c r="E22" s="346">
        <v>6</v>
      </c>
      <c r="F22" s="346">
        <v>150000</v>
      </c>
      <c r="G22" s="346">
        <f t="shared" ref="G22:G38" si="1">F22*D22</f>
        <v>60000000</v>
      </c>
      <c r="H22" s="453"/>
      <c r="J22" s="311"/>
    </row>
    <row r="23" spans="1:10" s="318" customFormat="1">
      <c r="A23" s="299">
        <v>18</v>
      </c>
      <c r="B23" s="298" t="s">
        <v>785</v>
      </c>
      <c r="C23" s="298" t="str">
        <f t="shared" ref="C23:C38" si="2">C22</f>
        <v>m2</v>
      </c>
      <c r="D23" s="346">
        <v>400</v>
      </c>
      <c r="E23" s="346"/>
      <c r="F23" s="346">
        <v>103000</v>
      </c>
      <c r="G23" s="346">
        <f t="shared" si="1"/>
        <v>41200000</v>
      </c>
      <c r="H23" s="453"/>
      <c r="J23" s="311"/>
    </row>
    <row r="24" spans="1:10" s="318" customFormat="1">
      <c r="A24" s="299">
        <v>19</v>
      </c>
      <c r="B24" s="298" t="s">
        <v>786</v>
      </c>
      <c r="C24" s="298" t="str">
        <f t="shared" si="2"/>
        <v>m2</v>
      </c>
      <c r="D24" s="346">
        <v>500</v>
      </c>
      <c r="E24" s="346">
        <v>2</v>
      </c>
      <c r="F24" s="346">
        <v>112000</v>
      </c>
      <c r="G24" s="346">
        <f t="shared" si="1"/>
        <v>56000000</v>
      </c>
      <c r="H24" s="453"/>
      <c r="J24" s="311"/>
    </row>
    <row r="25" spans="1:10" s="318" customFormat="1">
      <c r="A25" s="299">
        <v>20</v>
      </c>
      <c r="B25" s="298" t="s">
        <v>787</v>
      </c>
      <c r="C25" s="298" t="str">
        <f t="shared" si="2"/>
        <v>m2</v>
      </c>
      <c r="D25" s="346">
        <v>800</v>
      </c>
      <c r="E25" s="346">
        <v>2</v>
      </c>
      <c r="F25" s="346">
        <v>150000</v>
      </c>
      <c r="G25" s="346">
        <f t="shared" si="1"/>
        <v>120000000</v>
      </c>
      <c r="H25" s="453"/>
      <c r="J25" s="311"/>
    </row>
    <row r="26" spans="1:10" s="318" customFormat="1">
      <c r="A26" s="299">
        <v>21</v>
      </c>
      <c r="B26" s="298" t="s">
        <v>788</v>
      </c>
      <c r="C26" s="298" t="str">
        <f t="shared" si="2"/>
        <v>m2</v>
      </c>
      <c r="D26" s="346">
        <v>600</v>
      </c>
      <c r="E26" s="346"/>
      <c r="F26" s="346">
        <v>300000</v>
      </c>
      <c r="G26" s="346">
        <f t="shared" si="1"/>
        <v>180000000</v>
      </c>
      <c r="H26" s="453"/>
      <c r="J26" s="311"/>
    </row>
    <row r="27" spans="1:10" s="318" customFormat="1">
      <c r="A27" s="299">
        <v>22</v>
      </c>
      <c r="B27" s="298" t="s">
        <v>789</v>
      </c>
      <c r="C27" s="298" t="str">
        <f t="shared" si="2"/>
        <v>m2</v>
      </c>
      <c r="D27" s="346">
        <v>500</v>
      </c>
      <c r="E27" s="346"/>
      <c r="F27" s="346">
        <v>524000</v>
      </c>
      <c r="G27" s="346">
        <f t="shared" si="1"/>
        <v>262000000</v>
      </c>
      <c r="H27" s="453"/>
      <c r="J27" s="311"/>
    </row>
    <row r="28" spans="1:10" s="318" customFormat="1">
      <c r="A28" s="299">
        <v>23</v>
      </c>
      <c r="B28" s="298" t="s">
        <v>790</v>
      </c>
      <c r="C28" s="298" t="str">
        <f t="shared" si="2"/>
        <v>m2</v>
      </c>
      <c r="D28" s="346">
        <v>400</v>
      </c>
      <c r="E28" s="346"/>
      <c r="F28" s="346">
        <v>524000</v>
      </c>
      <c r="G28" s="346">
        <f t="shared" si="1"/>
        <v>209600000</v>
      </c>
      <c r="H28" s="453"/>
      <c r="J28" s="311"/>
    </row>
    <row r="29" spans="1:10" s="318" customFormat="1">
      <c r="A29" s="299">
        <v>24</v>
      </c>
      <c r="B29" s="298" t="s">
        <v>791</v>
      </c>
      <c r="C29" s="298" t="str">
        <f t="shared" si="2"/>
        <v>m2</v>
      </c>
      <c r="D29" s="346">
        <v>400</v>
      </c>
      <c r="E29" s="346"/>
      <c r="F29" s="346">
        <v>304000</v>
      </c>
      <c r="G29" s="346">
        <f t="shared" si="1"/>
        <v>121600000</v>
      </c>
      <c r="H29" s="453"/>
      <c r="J29" s="311"/>
    </row>
    <row r="30" spans="1:10" s="318" customFormat="1">
      <c r="A30" s="299">
        <v>25</v>
      </c>
      <c r="B30" s="298" t="s">
        <v>792</v>
      </c>
      <c r="C30" s="298" t="str">
        <f t="shared" si="2"/>
        <v>m2</v>
      </c>
      <c r="D30" s="346">
        <v>400</v>
      </c>
      <c r="E30" s="346"/>
      <c r="F30" s="346">
        <v>226000</v>
      </c>
      <c r="G30" s="346">
        <f>F30*D30</f>
        <v>90400000</v>
      </c>
      <c r="H30" s="453"/>
      <c r="J30" s="311"/>
    </row>
    <row r="31" spans="1:10" s="318" customFormat="1">
      <c r="A31" s="299">
        <v>26</v>
      </c>
      <c r="B31" s="298" t="s">
        <v>793</v>
      </c>
      <c r="C31" s="298" t="str">
        <f t="shared" si="2"/>
        <v>m2</v>
      </c>
      <c r="D31" s="346">
        <v>500</v>
      </c>
      <c r="E31" s="346"/>
      <c r="F31" s="346">
        <v>226000</v>
      </c>
      <c r="G31" s="346">
        <f t="shared" si="1"/>
        <v>113000000</v>
      </c>
      <c r="H31" s="453"/>
      <c r="J31" s="311"/>
    </row>
    <row r="32" spans="1:10" s="318" customFormat="1">
      <c r="A32" s="299">
        <v>27</v>
      </c>
      <c r="B32" s="298" t="s">
        <v>794</v>
      </c>
      <c r="C32" s="298" t="str">
        <f t="shared" si="2"/>
        <v>m2</v>
      </c>
      <c r="D32" s="346">
        <v>400</v>
      </c>
      <c r="E32" s="346"/>
      <c r="F32" s="346">
        <v>237000</v>
      </c>
      <c r="G32" s="346">
        <f>F32*D32</f>
        <v>94800000</v>
      </c>
      <c r="H32" s="453"/>
      <c r="J32" s="311"/>
    </row>
    <row r="33" spans="1:10" s="318" customFormat="1">
      <c r="A33" s="299">
        <v>28</v>
      </c>
      <c r="B33" s="298" t="s">
        <v>795</v>
      </c>
      <c r="C33" s="298" t="str">
        <f t="shared" si="2"/>
        <v>m2</v>
      </c>
      <c r="D33" s="346">
        <v>300</v>
      </c>
      <c r="E33" s="346"/>
      <c r="F33" s="346">
        <v>176000</v>
      </c>
      <c r="G33" s="346">
        <f t="shared" si="1"/>
        <v>52800000</v>
      </c>
      <c r="H33" s="453"/>
      <c r="J33" s="311"/>
    </row>
    <row r="34" spans="1:10" s="318" customFormat="1">
      <c r="A34" s="299">
        <v>29</v>
      </c>
      <c r="B34" s="298" t="s">
        <v>796</v>
      </c>
      <c r="C34" s="298" t="str">
        <f t="shared" si="2"/>
        <v>m2</v>
      </c>
      <c r="D34" s="346">
        <v>400</v>
      </c>
      <c r="E34" s="346"/>
      <c r="F34" s="346">
        <v>194000</v>
      </c>
      <c r="G34" s="346">
        <f t="shared" si="1"/>
        <v>77600000</v>
      </c>
      <c r="H34" s="453"/>
      <c r="J34" s="311"/>
    </row>
    <row r="35" spans="1:10" s="318" customFormat="1">
      <c r="A35" s="299">
        <v>30</v>
      </c>
      <c r="B35" s="298" t="s">
        <v>797</v>
      </c>
      <c r="C35" s="298" t="str">
        <f t="shared" si="2"/>
        <v>m2</v>
      </c>
      <c r="D35" s="346">
        <v>500</v>
      </c>
      <c r="E35" s="346"/>
      <c r="F35" s="346">
        <v>128000</v>
      </c>
      <c r="G35" s="346">
        <f t="shared" si="1"/>
        <v>64000000</v>
      </c>
      <c r="H35" s="453"/>
      <c r="J35" s="311"/>
    </row>
    <row r="36" spans="1:10" s="318" customFormat="1">
      <c r="A36" s="299">
        <v>31</v>
      </c>
      <c r="B36" s="298" t="s">
        <v>798</v>
      </c>
      <c r="C36" s="298" t="str">
        <f t="shared" si="2"/>
        <v>m2</v>
      </c>
      <c r="D36" s="346">
        <v>500</v>
      </c>
      <c r="E36" s="346"/>
      <c r="F36" s="346">
        <v>157000</v>
      </c>
      <c r="G36" s="346">
        <f t="shared" si="1"/>
        <v>78500000</v>
      </c>
      <c r="H36" s="453"/>
      <c r="J36" s="311"/>
    </row>
    <row r="37" spans="1:10" s="318" customFormat="1">
      <c r="A37" s="299">
        <v>32</v>
      </c>
      <c r="B37" s="298" t="s">
        <v>799</v>
      </c>
      <c r="C37" s="298" t="str">
        <f t="shared" si="2"/>
        <v>m2</v>
      </c>
      <c r="D37" s="346">
        <v>500</v>
      </c>
      <c r="E37" s="346"/>
      <c r="F37" s="346">
        <v>176000</v>
      </c>
      <c r="G37" s="346">
        <f t="shared" si="1"/>
        <v>88000000</v>
      </c>
      <c r="H37" s="453"/>
      <c r="J37" s="311"/>
    </row>
    <row r="38" spans="1:10" s="318" customFormat="1">
      <c r="A38" s="299">
        <v>33</v>
      </c>
      <c r="B38" s="298" t="s">
        <v>800</v>
      </c>
      <c r="C38" s="298" t="str">
        <f t="shared" si="2"/>
        <v>m2</v>
      </c>
      <c r="D38" s="346">
        <v>300</v>
      </c>
      <c r="E38" s="346"/>
      <c r="F38" s="346">
        <v>366000</v>
      </c>
      <c r="G38" s="346">
        <f t="shared" si="1"/>
        <v>109800000</v>
      </c>
      <c r="H38" s="453"/>
      <c r="J38" s="311"/>
    </row>
    <row r="39" spans="1:10" s="318" customFormat="1">
      <c r="A39" s="299">
        <v>34</v>
      </c>
      <c r="B39" s="298" t="s">
        <v>323</v>
      </c>
      <c r="C39" s="298"/>
      <c r="D39" s="346"/>
      <c r="E39" s="346"/>
      <c r="F39" s="346"/>
      <c r="G39" s="346">
        <v>15000000</v>
      </c>
      <c r="H39" s="311"/>
      <c r="J39" s="311"/>
    </row>
    <row r="40" spans="1:10" s="318" customFormat="1">
      <c r="A40" s="299">
        <v>35</v>
      </c>
      <c r="B40" s="298" t="s">
        <v>801</v>
      </c>
      <c r="C40" s="298"/>
      <c r="D40" s="346"/>
      <c r="E40" s="346"/>
      <c r="F40" s="346"/>
      <c r="G40" s="346">
        <f>B82*C82</f>
        <v>280000000</v>
      </c>
      <c r="H40" s="311"/>
      <c r="J40" s="311"/>
    </row>
    <row r="41" spans="1:10" s="318" customFormat="1">
      <c r="A41" s="299">
        <v>36</v>
      </c>
      <c r="B41" s="298" t="s">
        <v>214</v>
      </c>
      <c r="C41" s="298"/>
      <c r="D41" s="346"/>
      <c r="E41" s="346"/>
      <c r="F41" s="346"/>
      <c r="G41" s="346">
        <v>5000000</v>
      </c>
      <c r="H41" s="311"/>
      <c r="J41" s="311"/>
    </row>
    <row r="42" spans="1:10" s="318" customFormat="1">
      <c r="A42" s="299">
        <v>37</v>
      </c>
      <c r="B42" s="298" t="s">
        <v>802</v>
      </c>
      <c r="C42" s="298"/>
      <c r="D42" s="346"/>
      <c r="E42" s="346"/>
      <c r="F42" s="346"/>
      <c r="G42" s="346">
        <v>20000000</v>
      </c>
      <c r="H42" s="311"/>
      <c r="J42" s="311"/>
    </row>
    <row r="43" spans="1:10" s="318" customFormat="1">
      <c r="A43" s="299">
        <v>38</v>
      </c>
      <c r="B43" s="298" t="s">
        <v>337</v>
      </c>
      <c r="C43" s="298"/>
      <c r="D43" s="346"/>
      <c r="E43" s="346"/>
      <c r="F43" s="346"/>
      <c r="G43" s="346">
        <v>60000000</v>
      </c>
      <c r="H43" s="311"/>
      <c r="J43" s="311"/>
    </row>
    <row r="44" spans="1:10" s="318" customFormat="1">
      <c r="A44" s="299">
        <v>39</v>
      </c>
      <c r="B44" s="298" t="s">
        <v>21</v>
      </c>
      <c r="C44" s="298"/>
      <c r="D44" s="346"/>
      <c r="E44" s="346"/>
      <c r="F44" s="346"/>
      <c r="G44" s="346">
        <v>5000000</v>
      </c>
      <c r="H44" s="311"/>
      <c r="J44" s="311"/>
    </row>
    <row r="45" spans="1:10" s="318" customFormat="1">
      <c r="A45" s="295" t="s">
        <v>116</v>
      </c>
      <c r="B45" s="2352" t="s">
        <v>803</v>
      </c>
      <c r="C45" s="2352"/>
      <c r="D45" s="345"/>
      <c r="E45" s="345"/>
      <c r="F45" s="345"/>
      <c r="G45" s="345">
        <f>SUM(G46:G78)</f>
        <v>5584740000</v>
      </c>
      <c r="H45" s="311"/>
      <c r="J45" s="311"/>
    </row>
    <row r="46" spans="1:10" s="318" customFormat="1">
      <c r="A46" s="299">
        <v>1</v>
      </c>
      <c r="B46" s="298" t="str">
        <f>B6</f>
        <v>Bồn cầu Inax AC-991VRN</v>
      </c>
      <c r="C46" s="298" t="str">
        <f>C6</f>
        <v>Cái</v>
      </c>
      <c r="D46" s="346">
        <f>D6</f>
        <v>60</v>
      </c>
      <c r="E46" s="346">
        <f>E6</f>
        <v>8980</v>
      </c>
      <c r="F46" s="346">
        <f t="shared" ref="F46:F78" si="3">F6*1.2</f>
        <v>9872400</v>
      </c>
      <c r="G46" s="346">
        <f>F46*D46</f>
        <v>592344000</v>
      </c>
      <c r="H46" s="311"/>
      <c r="J46" s="311"/>
    </row>
    <row r="47" spans="1:10" s="318" customFormat="1">
      <c r="A47" s="299">
        <v>2</v>
      </c>
      <c r="B47" s="298" t="str">
        <f t="shared" ref="B47:D62" si="4">B7</f>
        <v>Bồn cầu Inax AC-909VRN</v>
      </c>
      <c r="C47" s="298" t="str">
        <f t="shared" si="4"/>
        <v>Cái</v>
      </c>
      <c r="D47" s="346">
        <f t="shared" si="4"/>
        <v>50</v>
      </c>
      <c r="E47" s="346">
        <f>E7</f>
        <v>5954</v>
      </c>
      <c r="F47" s="346">
        <f t="shared" si="3"/>
        <v>10848000</v>
      </c>
      <c r="G47" s="346">
        <f t="shared" ref="G47:G78" si="5">F47*D47</f>
        <v>542400000</v>
      </c>
      <c r="H47" s="311"/>
      <c r="J47" s="311"/>
    </row>
    <row r="48" spans="1:10" s="318" customFormat="1">
      <c r="A48" s="299">
        <v>3</v>
      </c>
      <c r="B48" s="298" t="str">
        <f t="shared" si="4"/>
        <v>Bồn cầu Inax nắp shower toilet C-504A</v>
      </c>
      <c r="C48" s="298" t="str">
        <f t="shared" si="4"/>
        <v>Cái</v>
      </c>
      <c r="D48" s="346">
        <f t="shared" si="4"/>
        <v>80</v>
      </c>
      <c r="E48" s="346">
        <f>E8</f>
        <v>1961</v>
      </c>
      <c r="F48" s="346">
        <f t="shared" si="3"/>
        <v>4104000</v>
      </c>
      <c r="G48" s="346">
        <f t="shared" si="5"/>
        <v>328320000</v>
      </c>
      <c r="H48" s="311"/>
      <c r="J48" s="311"/>
    </row>
    <row r="49" spans="1:10" s="318" customFormat="1">
      <c r="A49" s="299">
        <v>4</v>
      </c>
      <c r="B49" s="298" t="str">
        <f t="shared" si="4"/>
        <v>Bồn cầu + Chậu rửa mặt L-280V</v>
      </c>
      <c r="C49" s="298" t="str">
        <f t="shared" si="4"/>
        <v>Cái</v>
      </c>
      <c r="D49" s="346">
        <f t="shared" si="4"/>
        <v>60</v>
      </c>
      <c r="E49" s="346">
        <f>E9</f>
        <v>1790</v>
      </c>
      <c r="F49" s="346">
        <f t="shared" si="3"/>
        <v>2592000</v>
      </c>
      <c r="G49" s="346">
        <f t="shared" si="5"/>
        <v>155520000</v>
      </c>
      <c r="H49" s="311"/>
      <c r="J49" s="311"/>
    </row>
    <row r="50" spans="1:10" s="318" customFormat="1">
      <c r="A50" s="299">
        <v>5</v>
      </c>
      <c r="B50" s="298" t="str">
        <f t="shared" si="4"/>
        <v>Sen tắm inax BFV 1403S</v>
      </c>
      <c r="C50" s="298" t="str">
        <f t="shared" si="4"/>
        <v>Cái</v>
      </c>
      <c r="D50" s="346">
        <f t="shared" si="4"/>
        <v>50</v>
      </c>
      <c r="E50" s="346">
        <f>E10</f>
        <v>42000</v>
      </c>
      <c r="F50" s="346">
        <f t="shared" si="3"/>
        <v>2258400</v>
      </c>
      <c r="G50" s="346">
        <f t="shared" si="5"/>
        <v>112920000</v>
      </c>
      <c r="H50" s="311"/>
      <c r="J50" s="311"/>
    </row>
    <row r="51" spans="1:10" s="318" customFormat="1">
      <c r="A51" s="299">
        <v>6</v>
      </c>
      <c r="B51" s="298" t="str">
        <f t="shared" si="4"/>
        <v>Vòi rửa bát inax 802S</v>
      </c>
      <c r="C51" s="298" t="str">
        <f t="shared" si="4"/>
        <v>Cái</v>
      </c>
      <c r="D51" s="346">
        <f t="shared" si="4"/>
        <v>50</v>
      </c>
      <c r="E51" s="346">
        <f>E11</f>
        <v>52000</v>
      </c>
      <c r="F51" s="346">
        <f t="shared" si="3"/>
        <v>2804400</v>
      </c>
      <c r="G51" s="346">
        <f t="shared" si="5"/>
        <v>140220000</v>
      </c>
      <c r="H51" s="311"/>
      <c r="J51" s="311"/>
    </row>
    <row r="52" spans="1:10">
      <c r="A52" s="299">
        <v>7</v>
      </c>
      <c r="B52" s="298" t="str">
        <f t="shared" si="4"/>
        <v>Sen tắm cây inax BFV 1205S</v>
      </c>
      <c r="C52" s="298" t="str">
        <f t="shared" si="4"/>
        <v>Cái</v>
      </c>
      <c r="D52" s="346">
        <f t="shared" si="4"/>
        <v>40</v>
      </c>
      <c r="E52" s="346"/>
      <c r="F52" s="346">
        <f t="shared" si="3"/>
        <v>6624000</v>
      </c>
      <c r="G52" s="346">
        <f t="shared" si="5"/>
        <v>264960000</v>
      </c>
    </row>
    <row r="53" spans="1:10">
      <c r="A53" s="299">
        <v>8</v>
      </c>
      <c r="B53" s="298" t="str">
        <f t="shared" si="4"/>
        <v>Sen tắm nhiệt độ BFV 4C</v>
      </c>
      <c r="C53" s="298" t="str">
        <f t="shared" si="4"/>
        <v>Cái</v>
      </c>
      <c r="D53" s="346">
        <f t="shared" si="4"/>
        <v>50</v>
      </c>
      <c r="E53" s="346"/>
      <c r="F53" s="346">
        <f t="shared" si="3"/>
        <v>3396000</v>
      </c>
      <c r="G53" s="346">
        <f t="shared" si="5"/>
        <v>169800000</v>
      </c>
    </row>
    <row r="54" spans="1:10">
      <c r="A54" s="299">
        <v>9</v>
      </c>
      <c r="B54" s="298" t="str">
        <f t="shared" si="4"/>
        <v>Vòi rửa và sen tắm BFV-1103S</v>
      </c>
      <c r="C54" s="298" t="str">
        <f t="shared" si="4"/>
        <v>Bộ</v>
      </c>
      <c r="D54" s="346">
        <f t="shared" si="4"/>
        <v>50</v>
      </c>
      <c r="E54" s="346"/>
      <c r="F54" s="346">
        <f t="shared" si="3"/>
        <v>2040000</v>
      </c>
      <c r="G54" s="346">
        <f t="shared" si="5"/>
        <v>102000000</v>
      </c>
    </row>
    <row r="55" spans="1:10">
      <c r="A55" s="299">
        <v>10</v>
      </c>
      <c r="B55" s="298" t="str">
        <f t="shared" si="4"/>
        <v>Vòi chậu lavabo LFV-30002S</v>
      </c>
      <c r="C55" s="298" t="str">
        <f t="shared" si="4"/>
        <v>Cái</v>
      </c>
      <c r="D55" s="346">
        <f t="shared" si="4"/>
        <v>60</v>
      </c>
      <c r="E55" s="346"/>
      <c r="F55" s="346">
        <f t="shared" si="3"/>
        <v>3306000</v>
      </c>
      <c r="G55" s="346">
        <f t="shared" si="5"/>
        <v>198360000</v>
      </c>
    </row>
    <row r="56" spans="1:10">
      <c r="A56" s="299">
        <v>11</v>
      </c>
      <c r="B56" s="298" t="str">
        <f t="shared" si="4"/>
        <v>Vòi chậu lavabo LFV-8000S</v>
      </c>
      <c r="C56" s="298" t="str">
        <f t="shared" si="4"/>
        <v>Cái</v>
      </c>
      <c r="D56" s="346">
        <f t="shared" si="4"/>
        <v>50</v>
      </c>
      <c r="E56" s="346"/>
      <c r="F56" s="346">
        <f t="shared" si="3"/>
        <v>4488000</v>
      </c>
      <c r="G56" s="346">
        <f t="shared" si="5"/>
        <v>224400000</v>
      </c>
    </row>
    <row r="57" spans="1:10">
      <c r="A57" s="299">
        <v>12</v>
      </c>
      <c r="B57" s="298" t="str">
        <f t="shared" si="4"/>
        <v>Chậu và chân chậu L-297V</v>
      </c>
      <c r="C57" s="298" t="str">
        <f t="shared" si="4"/>
        <v>Bộ</v>
      </c>
      <c r="D57" s="346">
        <f t="shared" si="4"/>
        <v>50</v>
      </c>
      <c r="E57" s="346"/>
      <c r="F57" s="346">
        <f t="shared" si="3"/>
        <v>2344800</v>
      </c>
      <c r="G57" s="346">
        <f t="shared" si="5"/>
        <v>117240000</v>
      </c>
    </row>
    <row r="58" spans="1:10">
      <c r="A58" s="299">
        <v>13</v>
      </c>
      <c r="B58" s="298" t="str">
        <f t="shared" si="4"/>
        <v>Chậu rửa treo tường L-238V</v>
      </c>
      <c r="C58" s="298" t="str">
        <f t="shared" si="4"/>
        <v>Cái</v>
      </c>
      <c r="D58" s="346">
        <f t="shared" si="4"/>
        <v>80</v>
      </c>
      <c r="E58" s="346"/>
      <c r="F58" s="346">
        <f t="shared" si="3"/>
        <v>534000</v>
      </c>
      <c r="G58" s="346">
        <f t="shared" si="5"/>
        <v>42720000</v>
      </c>
    </row>
    <row r="59" spans="1:10">
      <c r="A59" s="299">
        <v>14</v>
      </c>
      <c r="B59" s="298" t="str">
        <f t="shared" si="4"/>
        <v>Chậu rửa âm bàn L-2216V</v>
      </c>
      <c r="C59" s="298" t="str">
        <f t="shared" si="4"/>
        <v>Cái</v>
      </c>
      <c r="D59" s="346">
        <f t="shared" si="4"/>
        <v>70</v>
      </c>
      <c r="E59" s="346"/>
      <c r="F59" s="346">
        <f t="shared" si="3"/>
        <v>1428000</v>
      </c>
      <c r="G59" s="346">
        <f t="shared" si="5"/>
        <v>99960000</v>
      </c>
    </row>
    <row r="60" spans="1:10">
      <c r="A60" s="299">
        <v>15</v>
      </c>
      <c r="B60" s="298" t="str">
        <f t="shared" si="4"/>
        <v>Chậu rửa mặt đặt bàn AL-536V</v>
      </c>
      <c r="C60" s="298" t="str">
        <f t="shared" si="4"/>
        <v>Cái</v>
      </c>
      <c r="D60" s="346">
        <f t="shared" si="4"/>
        <v>60</v>
      </c>
      <c r="E60" s="346"/>
      <c r="F60" s="346">
        <f t="shared" si="3"/>
        <v>4023600</v>
      </c>
      <c r="G60" s="346">
        <f t="shared" si="5"/>
        <v>241416000</v>
      </c>
    </row>
    <row r="61" spans="1:10">
      <c r="A61" s="299">
        <v>16</v>
      </c>
      <c r="B61" s="298" t="str">
        <f t="shared" si="4"/>
        <v>Gạch ốp tường Viglacera 30x45</v>
      </c>
      <c r="C61" s="298" t="str">
        <f t="shared" si="4"/>
        <v>m2</v>
      </c>
      <c r="D61" s="346">
        <f t="shared" si="4"/>
        <v>500</v>
      </c>
      <c r="E61" s="346"/>
      <c r="F61" s="346">
        <f t="shared" si="3"/>
        <v>138000</v>
      </c>
      <c r="G61" s="346">
        <f t="shared" si="5"/>
        <v>69000000</v>
      </c>
    </row>
    <row r="62" spans="1:10">
      <c r="A62" s="299">
        <v>17</v>
      </c>
      <c r="B62" s="298" t="str">
        <f t="shared" si="4"/>
        <v>Gạch ốp tường Viglacera 30x60</v>
      </c>
      <c r="C62" s="298" t="str">
        <f t="shared" si="4"/>
        <v>m2</v>
      </c>
      <c r="D62" s="346">
        <f t="shared" si="4"/>
        <v>400</v>
      </c>
      <c r="E62" s="346"/>
      <c r="F62" s="346">
        <f t="shared" si="3"/>
        <v>180000</v>
      </c>
      <c r="G62" s="346">
        <f t="shared" si="5"/>
        <v>72000000</v>
      </c>
    </row>
    <row r="63" spans="1:10">
      <c r="A63" s="299">
        <v>18</v>
      </c>
      <c r="B63" s="298" t="str">
        <f t="shared" ref="B63:D78" si="6">B23</f>
        <v>Gạch lát nền nhà tắm Viglacera 30x30</v>
      </c>
      <c r="C63" s="298" t="str">
        <f t="shared" si="6"/>
        <v>m2</v>
      </c>
      <c r="D63" s="346">
        <f t="shared" si="6"/>
        <v>400</v>
      </c>
      <c r="E63" s="346"/>
      <c r="F63" s="346">
        <f t="shared" si="3"/>
        <v>123600</v>
      </c>
      <c r="G63" s="346">
        <f t="shared" si="5"/>
        <v>49440000</v>
      </c>
    </row>
    <row r="64" spans="1:10">
      <c r="A64" s="299">
        <v>19</v>
      </c>
      <c r="B64" s="298" t="str">
        <f t="shared" si="6"/>
        <v>Gạch lát nền nhà tắm Viglacera 40x40</v>
      </c>
      <c r="C64" s="298" t="str">
        <f t="shared" si="6"/>
        <v>m2</v>
      </c>
      <c r="D64" s="346">
        <f t="shared" si="6"/>
        <v>500</v>
      </c>
      <c r="E64" s="346"/>
      <c r="F64" s="346">
        <f t="shared" si="3"/>
        <v>134400</v>
      </c>
      <c r="G64" s="346">
        <f t="shared" si="5"/>
        <v>67200000</v>
      </c>
    </row>
    <row r="65" spans="1:9">
      <c r="A65" s="299">
        <v>20</v>
      </c>
      <c r="B65" s="298" t="str">
        <f t="shared" si="6"/>
        <v>Gạch ốp chân tường Viglaxera 15x80</v>
      </c>
      <c r="C65" s="298" t="str">
        <f t="shared" si="6"/>
        <v>m2</v>
      </c>
      <c r="D65" s="346">
        <f t="shared" si="6"/>
        <v>800</v>
      </c>
      <c r="E65" s="346"/>
      <c r="F65" s="346">
        <f t="shared" si="3"/>
        <v>180000</v>
      </c>
      <c r="G65" s="346">
        <f t="shared" si="5"/>
        <v>144000000</v>
      </c>
    </row>
    <row r="66" spans="1:9">
      <c r="A66" s="299">
        <v>21</v>
      </c>
      <c r="B66" s="298" t="str">
        <f t="shared" si="6"/>
        <v>Gạch ốp chân tường Viglaxera 60x86</v>
      </c>
      <c r="C66" s="298" t="str">
        <f t="shared" si="6"/>
        <v>m2</v>
      </c>
      <c r="D66" s="346">
        <f t="shared" si="6"/>
        <v>600</v>
      </c>
      <c r="E66" s="346"/>
      <c r="F66" s="346">
        <f t="shared" si="3"/>
        <v>360000</v>
      </c>
      <c r="G66" s="346">
        <f t="shared" si="5"/>
        <v>216000000</v>
      </c>
    </row>
    <row r="67" spans="1:9">
      <c r="A67" s="299">
        <v>22</v>
      </c>
      <c r="B67" s="298" t="str">
        <f t="shared" si="6"/>
        <v>Gạch Đồng Tâm 8080FP 80x80-0001</v>
      </c>
      <c r="C67" s="298" t="str">
        <f t="shared" si="6"/>
        <v>m2</v>
      </c>
      <c r="D67" s="346">
        <f t="shared" si="6"/>
        <v>500</v>
      </c>
      <c r="E67" s="346">
        <f t="shared" ref="E67:E75" si="7">E12</f>
        <v>1630</v>
      </c>
      <c r="F67" s="346">
        <f t="shared" si="3"/>
        <v>628800</v>
      </c>
      <c r="G67" s="346">
        <f t="shared" si="5"/>
        <v>314400000</v>
      </c>
    </row>
    <row r="68" spans="1:9">
      <c r="A68" s="299">
        <v>23</v>
      </c>
      <c r="B68" s="298" t="str">
        <f t="shared" si="6"/>
        <v>Gạch Đồng Tâm 8080FP 80x80-0002</v>
      </c>
      <c r="C68" s="298" t="str">
        <f t="shared" si="6"/>
        <v>m2</v>
      </c>
      <c r="D68" s="346">
        <f t="shared" si="6"/>
        <v>400</v>
      </c>
      <c r="E68" s="346">
        <f t="shared" si="7"/>
        <v>1015</v>
      </c>
      <c r="F68" s="346">
        <f t="shared" si="3"/>
        <v>628800</v>
      </c>
      <c r="G68" s="346">
        <f t="shared" si="5"/>
        <v>251520000</v>
      </c>
    </row>
    <row r="69" spans="1:9">
      <c r="A69" s="299">
        <v>24</v>
      </c>
      <c r="B69" s="298" t="str">
        <f t="shared" si="6"/>
        <v>Gạch Đồng Tâm 8080N 80x80-0001</v>
      </c>
      <c r="C69" s="298" t="str">
        <f t="shared" si="6"/>
        <v>m2</v>
      </c>
      <c r="D69" s="346">
        <f t="shared" si="6"/>
        <v>400</v>
      </c>
      <c r="E69" s="346">
        <f t="shared" si="7"/>
        <v>914</v>
      </c>
      <c r="F69" s="346">
        <f t="shared" si="3"/>
        <v>364800</v>
      </c>
      <c r="G69" s="346">
        <f t="shared" si="5"/>
        <v>145920000</v>
      </c>
    </row>
    <row r="70" spans="1:9">
      <c r="A70" s="299">
        <v>25</v>
      </c>
      <c r="B70" s="298" t="str">
        <f t="shared" si="6"/>
        <v>Gạch Đồng Tâm 6060FP 60x60-0001</v>
      </c>
      <c r="C70" s="298" t="str">
        <f t="shared" si="6"/>
        <v>m2</v>
      </c>
      <c r="D70" s="346">
        <f t="shared" si="6"/>
        <v>400</v>
      </c>
      <c r="E70" s="346">
        <f t="shared" si="7"/>
        <v>650</v>
      </c>
      <c r="F70" s="346">
        <f t="shared" si="3"/>
        <v>271200</v>
      </c>
      <c r="G70" s="346">
        <f t="shared" si="5"/>
        <v>108480000</v>
      </c>
    </row>
    <row r="71" spans="1:9">
      <c r="A71" s="299">
        <v>26</v>
      </c>
      <c r="B71" s="298" t="str">
        <f t="shared" si="6"/>
        <v>Gạch Đồng Tâm 6060FP 60x60-0002</v>
      </c>
      <c r="C71" s="298" t="str">
        <f t="shared" si="6"/>
        <v>m2</v>
      </c>
      <c r="D71" s="346">
        <f t="shared" si="6"/>
        <v>500</v>
      </c>
      <c r="E71" s="346">
        <f t="shared" si="7"/>
        <v>402</v>
      </c>
      <c r="F71" s="346">
        <f t="shared" si="3"/>
        <v>271200</v>
      </c>
      <c r="G71" s="346">
        <f t="shared" si="5"/>
        <v>135600000</v>
      </c>
    </row>
    <row r="72" spans="1:9">
      <c r="A72" s="299">
        <v>27</v>
      </c>
      <c r="B72" s="298" t="str">
        <f t="shared" si="6"/>
        <v>Gạch Đồng Tâm 6060DA 60x60-0005</v>
      </c>
      <c r="C72" s="298" t="str">
        <f t="shared" si="6"/>
        <v>m2</v>
      </c>
      <c r="D72" s="346">
        <f t="shared" si="6"/>
        <v>400</v>
      </c>
      <c r="E72" s="346">
        <f t="shared" si="7"/>
        <v>342</v>
      </c>
      <c r="F72" s="346">
        <f t="shared" si="3"/>
        <v>284400</v>
      </c>
      <c r="G72" s="346">
        <f t="shared" si="5"/>
        <v>113760000</v>
      </c>
    </row>
    <row r="73" spans="1:9">
      <c r="A73" s="299">
        <v>28</v>
      </c>
      <c r="B73" s="298" t="str">
        <f t="shared" si="6"/>
        <v>Gạch Đồng Tâm 4GA1 40x40</v>
      </c>
      <c r="C73" s="298" t="str">
        <f t="shared" si="6"/>
        <v>m2</v>
      </c>
      <c r="D73" s="346">
        <f t="shared" si="6"/>
        <v>300</v>
      </c>
      <c r="E73" s="346">
        <f t="shared" si="7"/>
        <v>252</v>
      </c>
      <c r="F73" s="346">
        <f t="shared" si="3"/>
        <v>211200</v>
      </c>
      <c r="G73" s="346">
        <f t="shared" si="5"/>
        <v>63360000</v>
      </c>
    </row>
    <row r="74" spans="1:9">
      <c r="A74" s="299">
        <v>29</v>
      </c>
      <c r="B74" s="298" t="str">
        <f t="shared" si="6"/>
        <v>Gạch Đồng Tâm 4GA2 40x40</v>
      </c>
      <c r="C74" s="298" t="str">
        <f t="shared" si="6"/>
        <v>m2</v>
      </c>
      <c r="D74" s="346">
        <f t="shared" si="6"/>
        <v>400</v>
      </c>
      <c r="E74" s="346">
        <f t="shared" si="7"/>
        <v>220</v>
      </c>
      <c r="F74" s="346">
        <f t="shared" si="3"/>
        <v>232800</v>
      </c>
      <c r="G74" s="346">
        <f t="shared" si="5"/>
        <v>93120000</v>
      </c>
    </row>
    <row r="75" spans="1:9">
      <c r="A75" s="299">
        <v>30</v>
      </c>
      <c r="B75" s="298" t="str">
        <f t="shared" si="6"/>
        <v>Gạch Đồng Tâm 485 40x40</v>
      </c>
      <c r="C75" s="298" t="str">
        <f t="shared" si="6"/>
        <v>m2</v>
      </c>
      <c r="D75" s="346">
        <f t="shared" si="6"/>
        <v>500</v>
      </c>
      <c r="E75" s="346">
        <f t="shared" si="7"/>
        <v>12</v>
      </c>
      <c r="F75" s="346">
        <f t="shared" si="3"/>
        <v>153600</v>
      </c>
      <c r="G75" s="346">
        <f t="shared" si="5"/>
        <v>76800000</v>
      </c>
    </row>
    <row r="76" spans="1:9">
      <c r="A76" s="299">
        <v>31</v>
      </c>
      <c r="B76" s="298" t="str">
        <f t="shared" si="6"/>
        <v>Gạch Đồng Tâm 3030GA1 30x30</v>
      </c>
      <c r="C76" s="298" t="str">
        <f t="shared" si="6"/>
        <v>m2</v>
      </c>
      <c r="D76" s="346">
        <f t="shared" si="6"/>
        <v>500</v>
      </c>
      <c r="E76" s="346"/>
      <c r="F76" s="346">
        <f t="shared" si="3"/>
        <v>188400</v>
      </c>
      <c r="G76" s="346">
        <f t="shared" si="5"/>
        <v>94200000</v>
      </c>
    </row>
    <row r="77" spans="1:9">
      <c r="A77" s="299">
        <v>32</v>
      </c>
      <c r="B77" s="298" t="str">
        <f t="shared" si="6"/>
        <v>Gạch Đồng Tâm 3030GA2LA 30x30</v>
      </c>
      <c r="C77" s="298" t="str">
        <f t="shared" si="6"/>
        <v>m2</v>
      </c>
      <c r="D77" s="346">
        <f t="shared" si="6"/>
        <v>500</v>
      </c>
      <c r="E77" s="346"/>
      <c r="F77" s="346">
        <f t="shared" si="3"/>
        <v>211200</v>
      </c>
      <c r="G77" s="346">
        <f t="shared" si="5"/>
        <v>105600000</v>
      </c>
    </row>
    <row r="78" spans="1:9">
      <c r="A78" s="299">
        <v>33</v>
      </c>
      <c r="B78" s="298" t="str">
        <f t="shared" si="6"/>
        <v>Gạch Đồng Tâm 3030MOSAI 30x30</v>
      </c>
      <c r="C78" s="298" t="str">
        <f t="shared" si="6"/>
        <v>m2</v>
      </c>
      <c r="D78" s="346">
        <f t="shared" si="6"/>
        <v>300</v>
      </c>
      <c r="E78" s="346"/>
      <c r="F78" s="346">
        <f t="shared" si="3"/>
        <v>439200</v>
      </c>
      <c r="G78" s="346">
        <f t="shared" si="5"/>
        <v>131760000</v>
      </c>
    </row>
    <row r="79" spans="1:9">
      <c r="A79" s="295" t="s">
        <v>135</v>
      </c>
      <c r="B79" s="2352" t="s">
        <v>136</v>
      </c>
      <c r="C79" s="2352"/>
      <c r="D79" s="345"/>
      <c r="E79" s="345"/>
      <c r="F79" s="345"/>
      <c r="G79" s="345">
        <f>G45-G5</f>
        <v>545790000</v>
      </c>
    </row>
    <row r="80" spans="1:9" s="352" customFormat="1" ht="17.25">
      <c r="A80" s="295" t="s">
        <v>30</v>
      </c>
      <c r="B80" s="2660" t="s">
        <v>218</v>
      </c>
      <c r="C80" s="2660"/>
      <c r="D80" s="2660"/>
      <c r="E80" s="2660"/>
      <c r="F80" s="2660"/>
      <c r="G80" s="347">
        <f>G79/G45</f>
        <v>9.7728811010002262E-2</v>
      </c>
      <c r="I80" s="353"/>
    </row>
    <row r="82" spans="2:3">
      <c r="B82" s="318">
        <v>4000000000</v>
      </c>
      <c r="C82" s="459">
        <v>7.0000000000000007E-2</v>
      </c>
    </row>
  </sheetData>
  <mergeCells count="1">
    <mergeCell ref="B80:F80"/>
  </mergeCells>
  <pageMargins left="0.39" right="0.2" top="0.75" bottom="0.75" header="0.3" footer="0.3"/>
  <pageSetup paperSize="9"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G55"/>
  <sheetViews>
    <sheetView zoomScaleNormal="100" workbookViewId="0">
      <selection activeCell="J13" sqref="J13"/>
    </sheetView>
  </sheetViews>
  <sheetFormatPr defaultRowHeight="16.5"/>
  <cols>
    <col min="1" max="1" width="7.42578125" style="151" customWidth="1"/>
    <col min="2" max="2" width="34.42578125" style="151" customWidth="1"/>
    <col min="3" max="3" width="11.28515625" style="151" customWidth="1"/>
    <col min="4" max="4" width="9" style="151" bestFit="1" customWidth="1"/>
    <col min="5" max="6" width="16" style="151" bestFit="1" customWidth="1"/>
    <col min="7" max="16384" width="9.140625" style="151"/>
  </cols>
  <sheetData>
    <row r="1" spans="1:7">
      <c r="C1" s="151" t="s">
        <v>2075</v>
      </c>
      <c r="G1" s="309" t="s">
        <v>1020</v>
      </c>
    </row>
    <row r="4" spans="1:7">
      <c r="A4" s="151" t="s">
        <v>2074</v>
      </c>
    </row>
    <row r="5" spans="1:7">
      <c r="F5" s="151" t="s">
        <v>2064</v>
      </c>
    </row>
    <row r="6" spans="1:7">
      <c r="A6" s="151" t="s">
        <v>97</v>
      </c>
      <c r="B6" s="151" t="s">
        <v>1853</v>
      </c>
      <c r="C6" s="151" t="s">
        <v>235</v>
      </c>
      <c r="D6" s="151" t="s">
        <v>1</v>
      </c>
      <c r="E6" s="151" t="s">
        <v>37</v>
      </c>
      <c r="F6" s="151" t="s">
        <v>4</v>
      </c>
    </row>
    <row r="7" spans="1:7">
      <c r="A7" s="151">
        <v>1</v>
      </c>
      <c r="B7" s="151" t="s">
        <v>2062</v>
      </c>
      <c r="C7" s="151" t="s">
        <v>1870</v>
      </c>
      <c r="D7" s="151">
        <v>8000</v>
      </c>
      <c r="E7" s="516">
        <v>8434</v>
      </c>
      <c r="F7" s="516">
        <v>67472000</v>
      </c>
    </row>
    <row r="8" spans="1:7">
      <c r="A8" s="151">
        <v>2</v>
      </c>
      <c r="B8" s="151" t="s">
        <v>2061</v>
      </c>
      <c r="C8" s="151" t="s">
        <v>1870</v>
      </c>
      <c r="D8" s="151">
        <v>7000</v>
      </c>
      <c r="E8" s="516">
        <v>8965</v>
      </c>
      <c r="F8" s="516">
        <v>62755000</v>
      </c>
    </row>
    <row r="9" spans="1:7">
      <c r="A9" s="151">
        <v>3</v>
      </c>
      <c r="B9" s="151" t="s">
        <v>2060</v>
      </c>
      <c r="C9" s="151" t="s">
        <v>1870</v>
      </c>
      <c r="D9" s="151">
        <v>1000</v>
      </c>
      <c r="E9" s="516">
        <v>89100</v>
      </c>
      <c r="F9" s="516">
        <v>89100000</v>
      </c>
    </row>
    <row r="10" spans="1:7">
      <c r="A10" s="151">
        <v>4</v>
      </c>
      <c r="B10" s="151" t="s">
        <v>2059</v>
      </c>
      <c r="C10" s="151" t="s">
        <v>1870</v>
      </c>
      <c r="D10" s="151">
        <v>3000</v>
      </c>
      <c r="E10" s="516">
        <v>36300</v>
      </c>
      <c r="F10" s="516">
        <v>108900000</v>
      </c>
    </row>
    <row r="11" spans="1:7">
      <c r="A11" s="151">
        <v>5</v>
      </c>
      <c r="B11" s="151" t="s">
        <v>2058</v>
      </c>
      <c r="C11" s="151" t="s">
        <v>1870</v>
      </c>
      <c r="D11" s="151">
        <v>7000</v>
      </c>
      <c r="E11" s="516">
        <v>10267</v>
      </c>
      <c r="F11" s="516">
        <v>71869000</v>
      </c>
    </row>
    <row r="12" spans="1:7">
      <c r="A12" s="151">
        <v>6</v>
      </c>
      <c r="B12" s="151" t="s">
        <v>2057</v>
      </c>
      <c r="C12" s="151" t="s">
        <v>1870</v>
      </c>
      <c r="D12" s="151">
        <v>500</v>
      </c>
      <c r="E12" s="516">
        <v>145200</v>
      </c>
      <c r="F12" s="516">
        <v>72600000</v>
      </c>
    </row>
    <row r="13" spans="1:7">
      <c r="A13" s="151">
        <v>7</v>
      </c>
      <c r="B13" s="151" t="s">
        <v>2056</v>
      </c>
      <c r="C13" s="151" t="s">
        <v>1870</v>
      </c>
      <c r="D13" s="151">
        <v>1000</v>
      </c>
      <c r="E13" s="516">
        <v>75000</v>
      </c>
      <c r="F13" s="516">
        <v>75000000</v>
      </c>
    </row>
    <row r="14" spans="1:7">
      <c r="A14" s="151">
        <v>8</v>
      </c>
      <c r="B14" s="151" t="s">
        <v>2055</v>
      </c>
      <c r="C14" s="151" t="s">
        <v>1870</v>
      </c>
      <c r="D14" s="151">
        <v>500</v>
      </c>
      <c r="E14" s="516">
        <v>147000</v>
      </c>
      <c r="F14" s="516">
        <v>73500000</v>
      </c>
    </row>
    <row r="15" spans="1:7">
      <c r="A15" s="151">
        <v>9</v>
      </c>
      <c r="B15" s="151" t="s">
        <v>2054</v>
      </c>
      <c r="C15" s="151" t="s">
        <v>1870</v>
      </c>
      <c r="D15" s="151">
        <v>100</v>
      </c>
      <c r="E15" s="516">
        <v>1000500</v>
      </c>
      <c r="F15" s="516">
        <v>100050000</v>
      </c>
    </row>
    <row r="16" spans="1:7">
      <c r="A16" s="151">
        <v>10</v>
      </c>
      <c r="B16" s="151" t="s">
        <v>2053</v>
      </c>
      <c r="C16" s="151" t="s">
        <v>1870</v>
      </c>
      <c r="D16" s="151">
        <v>100</v>
      </c>
      <c r="E16" s="516">
        <v>1047300</v>
      </c>
      <c r="F16" s="516">
        <v>104730000</v>
      </c>
    </row>
    <row r="17" spans="1:6">
      <c r="A17" s="151">
        <v>11</v>
      </c>
      <c r="B17" s="151" t="s">
        <v>2052</v>
      </c>
      <c r="C17" s="151" t="s">
        <v>1870</v>
      </c>
      <c r="D17" s="151">
        <v>500</v>
      </c>
      <c r="E17" s="516">
        <v>154000</v>
      </c>
      <c r="F17" s="516">
        <v>77000000</v>
      </c>
    </row>
    <row r="18" spans="1:6">
      <c r="A18" s="151">
        <v>12</v>
      </c>
      <c r="B18" s="151" t="s">
        <v>2051</v>
      </c>
      <c r="C18" s="151" t="s">
        <v>1870</v>
      </c>
      <c r="D18" s="151">
        <v>500</v>
      </c>
      <c r="E18" s="516">
        <v>141750</v>
      </c>
      <c r="F18" s="516">
        <v>70875000</v>
      </c>
    </row>
    <row r="19" spans="1:6">
      <c r="A19" s="151">
        <v>13</v>
      </c>
      <c r="B19" s="151" t="s">
        <v>2050</v>
      </c>
      <c r="C19" s="151" t="s">
        <v>1870</v>
      </c>
      <c r="D19" s="151">
        <v>100</v>
      </c>
      <c r="E19" s="516">
        <v>708000</v>
      </c>
      <c r="F19" s="516">
        <v>70800000</v>
      </c>
    </row>
    <row r="20" spans="1:6">
      <c r="A20" s="151">
        <v>14</v>
      </c>
      <c r="B20" s="151" t="s">
        <v>2049</v>
      </c>
      <c r="C20" s="151" t="s">
        <v>1870</v>
      </c>
      <c r="D20" s="151">
        <v>1000</v>
      </c>
      <c r="E20" s="516">
        <v>88000</v>
      </c>
      <c r="F20" s="516">
        <v>88000000</v>
      </c>
    </row>
    <row r="21" spans="1:6">
      <c r="A21" s="151">
        <v>15</v>
      </c>
      <c r="B21" s="151" t="s">
        <v>2048</v>
      </c>
      <c r="C21" s="151" t="s">
        <v>1870</v>
      </c>
      <c r="D21" s="151">
        <v>5000</v>
      </c>
      <c r="E21" s="516">
        <v>12500</v>
      </c>
      <c r="F21" s="516">
        <v>62500000</v>
      </c>
    </row>
    <row r="22" spans="1:6">
      <c r="A22" s="151">
        <v>16</v>
      </c>
      <c r="B22" s="151" t="s">
        <v>2047</v>
      </c>
      <c r="C22" s="151" t="s">
        <v>1870</v>
      </c>
      <c r="D22" s="151">
        <v>700</v>
      </c>
      <c r="E22" s="516">
        <v>60000</v>
      </c>
      <c r="F22" s="516">
        <v>42000000</v>
      </c>
    </row>
    <row r="23" spans="1:6">
      <c r="A23" s="151">
        <v>17</v>
      </c>
      <c r="B23" s="151" t="s">
        <v>2046</v>
      </c>
      <c r="C23" s="151" t="s">
        <v>1870</v>
      </c>
      <c r="D23" s="151">
        <v>500</v>
      </c>
      <c r="E23" s="516">
        <v>147100</v>
      </c>
      <c r="F23" s="516">
        <v>73550000</v>
      </c>
    </row>
    <row r="24" spans="1:6">
      <c r="A24" s="151">
        <v>18</v>
      </c>
      <c r="B24" s="151" t="s">
        <v>2045</v>
      </c>
      <c r="C24" s="151" t="s">
        <v>1870</v>
      </c>
      <c r="D24" s="151">
        <v>500</v>
      </c>
      <c r="E24" s="516">
        <v>88000</v>
      </c>
      <c r="F24" s="516">
        <v>44000000</v>
      </c>
    </row>
    <row r="25" spans="1:6">
      <c r="B25" s="151" t="s">
        <v>288</v>
      </c>
      <c r="F25" s="516">
        <v>1354701000</v>
      </c>
    </row>
    <row r="26" spans="1:6">
      <c r="B26" s="151" t="s">
        <v>2073</v>
      </c>
      <c r="C26" s="516">
        <v>500000000</v>
      </c>
      <c r="D26" s="1120">
        <v>0.13</v>
      </c>
      <c r="F26" s="516">
        <v>65000000</v>
      </c>
    </row>
    <row r="27" spans="1:6">
      <c r="B27" s="151" t="s">
        <v>2072</v>
      </c>
      <c r="F27" s="516">
        <v>2000000</v>
      </c>
    </row>
    <row r="28" spans="1:6">
      <c r="B28" s="151" t="s">
        <v>2071</v>
      </c>
      <c r="F28" s="516">
        <v>2400000</v>
      </c>
    </row>
    <row r="29" spans="1:6">
      <c r="B29" s="151" t="s">
        <v>2070</v>
      </c>
      <c r="C29" s="151" t="s">
        <v>2069</v>
      </c>
      <c r="F29" s="516">
        <v>24000000</v>
      </c>
    </row>
    <row r="30" spans="1:6">
      <c r="B30" s="151" t="s">
        <v>2068</v>
      </c>
      <c r="F30" s="516">
        <v>1448101000</v>
      </c>
    </row>
    <row r="31" spans="1:6">
      <c r="A31" s="151" t="s">
        <v>2067</v>
      </c>
    </row>
    <row r="32" spans="1:6">
      <c r="B32" s="151" t="s">
        <v>2066</v>
      </c>
    </row>
    <row r="33" spans="1:6">
      <c r="A33" s="151" t="s">
        <v>2065</v>
      </c>
      <c r="F33" s="151" t="s">
        <v>2064</v>
      </c>
    </row>
    <row r="34" spans="1:6">
      <c r="A34" s="151" t="s">
        <v>97</v>
      </c>
      <c r="B34" s="151" t="s">
        <v>1853</v>
      </c>
      <c r="C34" s="151" t="s">
        <v>235</v>
      </c>
      <c r="D34" s="151" t="s">
        <v>1</v>
      </c>
      <c r="E34" s="151" t="s">
        <v>2063</v>
      </c>
      <c r="F34" s="151" t="s">
        <v>4</v>
      </c>
    </row>
    <row r="35" spans="1:6">
      <c r="A35" s="151">
        <v>1</v>
      </c>
      <c r="B35" s="151" t="s">
        <v>2062</v>
      </c>
      <c r="C35" s="151" t="s">
        <v>1870</v>
      </c>
      <c r="D35" s="151">
        <v>8000</v>
      </c>
      <c r="E35" s="516">
        <v>10121</v>
      </c>
      <c r="F35" s="516">
        <v>80968000</v>
      </c>
    </row>
    <row r="36" spans="1:6">
      <c r="A36" s="151">
        <v>2</v>
      </c>
      <c r="B36" s="151" t="s">
        <v>2061</v>
      </c>
      <c r="C36" s="151" t="s">
        <v>1870</v>
      </c>
      <c r="D36" s="151">
        <v>7000</v>
      </c>
      <c r="E36" s="516">
        <v>10758</v>
      </c>
      <c r="F36" s="516">
        <v>75306000</v>
      </c>
    </row>
    <row r="37" spans="1:6">
      <c r="A37" s="151">
        <v>3</v>
      </c>
      <c r="B37" s="151" t="s">
        <v>2060</v>
      </c>
      <c r="C37" s="151" t="s">
        <v>1870</v>
      </c>
      <c r="D37" s="151">
        <v>1000</v>
      </c>
      <c r="E37" s="516">
        <v>106920</v>
      </c>
      <c r="F37" s="516">
        <v>106920000</v>
      </c>
    </row>
    <row r="38" spans="1:6">
      <c r="A38" s="151">
        <v>4</v>
      </c>
      <c r="B38" s="151" t="s">
        <v>2059</v>
      </c>
      <c r="C38" s="151" t="s">
        <v>1870</v>
      </c>
      <c r="D38" s="151">
        <v>3000</v>
      </c>
      <c r="E38" s="516">
        <v>43560</v>
      </c>
      <c r="F38" s="516">
        <v>130680000</v>
      </c>
    </row>
    <row r="39" spans="1:6">
      <c r="A39" s="151">
        <v>5</v>
      </c>
      <c r="B39" s="151" t="s">
        <v>2058</v>
      </c>
      <c r="C39" s="151" t="s">
        <v>1870</v>
      </c>
      <c r="D39" s="151">
        <v>7000</v>
      </c>
      <c r="E39" s="516">
        <v>12320</v>
      </c>
      <c r="F39" s="516">
        <v>86240000</v>
      </c>
    </row>
    <row r="40" spans="1:6">
      <c r="A40" s="151">
        <v>6</v>
      </c>
      <c r="B40" s="151" t="s">
        <v>2057</v>
      </c>
      <c r="C40" s="151" t="s">
        <v>1870</v>
      </c>
      <c r="D40" s="151">
        <v>500</v>
      </c>
      <c r="E40" s="516">
        <v>174240</v>
      </c>
      <c r="F40" s="516">
        <v>87120000</v>
      </c>
    </row>
    <row r="41" spans="1:6">
      <c r="A41" s="151">
        <v>7</v>
      </c>
      <c r="B41" s="151" t="s">
        <v>2056</v>
      </c>
      <c r="C41" s="151" t="s">
        <v>1870</v>
      </c>
      <c r="D41" s="151">
        <v>1000</v>
      </c>
      <c r="E41" s="516">
        <v>90000</v>
      </c>
      <c r="F41" s="516">
        <v>90000000</v>
      </c>
    </row>
    <row r="42" spans="1:6">
      <c r="A42" s="151">
        <v>8</v>
      </c>
      <c r="B42" s="151" t="s">
        <v>2055</v>
      </c>
      <c r="C42" s="151" t="s">
        <v>1870</v>
      </c>
      <c r="D42" s="151">
        <v>500</v>
      </c>
      <c r="E42" s="516">
        <v>176400</v>
      </c>
      <c r="F42" s="516">
        <v>88200000</v>
      </c>
    </row>
    <row r="43" spans="1:6">
      <c r="A43" s="151">
        <v>9</v>
      </c>
      <c r="B43" s="151" t="s">
        <v>2054</v>
      </c>
      <c r="C43" s="151" t="s">
        <v>1870</v>
      </c>
      <c r="D43" s="151">
        <v>100</v>
      </c>
      <c r="E43" s="516">
        <v>1200600</v>
      </c>
      <c r="F43" s="516">
        <v>120060000</v>
      </c>
    </row>
    <row r="44" spans="1:6">
      <c r="A44" s="151">
        <v>10</v>
      </c>
      <c r="B44" s="151" t="s">
        <v>2053</v>
      </c>
      <c r="C44" s="151" t="s">
        <v>1870</v>
      </c>
      <c r="D44" s="151">
        <v>100</v>
      </c>
      <c r="E44" s="516">
        <v>1256760</v>
      </c>
      <c r="F44" s="516">
        <v>125676000</v>
      </c>
    </row>
    <row r="45" spans="1:6">
      <c r="A45" s="151">
        <v>11</v>
      </c>
      <c r="B45" s="151" t="s">
        <v>2052</v>
      </c>
      <c r="C45" s="151" t="s">
        <v>1870</v>
      </c>
      <c r="D45" s="151">
        <v>500</v>
      </c>
      <c r="E45" s="516">
        <v>184800</v>
      </c>
      <c r="F45" s="516">
        <v>92400000</v>
      </c>
    </row>
    <row r="46" spans="1:6">
      <c r="A46" s="151">
        <v>12</v>
      </c>
      <c r="B46" s="151" t="s">
        <v>2051</v>
      </c>
      <c r="C46" s="151" t="s">
        <v>1870</v>
      </c>
      <c r="D46" s="151">
        <v>500</v>
      </c>
      <c r="E46" s="516">
        <v>170100</v>
      </c>
      <c r="F46" s="516">
        <v>85050000</v>
      </c>
    </row>
    <row r="47" spans="1:6">
      <c r="A47" s="151">
        <v>13</v>
      </c>
      <c r="B47" s="151" t="s">
        <v>2050</v>
      </c>
      <c r="C47" s="151" t="s">
        <v>1870</v>
      </c>
      <c r="D47" s="151">
        <v>100</v>
      </c>
      <c r="E47" s="516">
        <v>849600</v>
      </c>
      <c r="F47" s="516">
        <v>84960000</v>
      </c>
    </row>
    <row r="48" spans="1:6">
      <c r="A48" s="151">
        <v>14</v>
      </c>
      <c r="B48" s="151" t="s">
        <v>2049</v>
      </c>
      <c r="C48" s="151" t="s">
        <v>1870</v>
      </c>
      <c r="D48" s="151">
        <v>1000</v>
      </c>
      <c r="E48" s="516">
        <v>105600</v>
      </c>
      <c r="F48" s="516">
        <v>105600000</v>
      </c>
    </row>
    <row r="49" spans="1:6">
      <c r="A49" s="151">
        <v>15</v>
      </c>
      <c r="B49" s="151" t="s">
        <v>2048</v>
      </c>
      <c r="C49" s="151" t="s">
        <v>1870</v>
      </c>
      <c r="D49" s="151">
        <v>5000</v>
      </c>
      <c r="E49" s="516">
        <v>15000</v>
      </c>
      <c r="F49" s="516">
        <v>75000000</v>
      </c>
    </row>
    <row r="50" spans="1:6">
      <c r="A50" s="151">
        <v>16</v>
      </c>
      <c r="B50" s="151" t="s">
        <v>2047</v>
      </c>
      <c r="C50" s="151" t="s">
        <v>1870</v>
      </c>
      <c r="D50" s="151">
        <v>700</v>
      </c>
      <c r="E50" s="516">
        <v>72000</v>
      </c>
      <c r="F50" s="516">
        <v>50400000</v>
      </c>
    </row>
    <row r="51" spans="1:6">
      <c r="A51" s="151">
        <v>17</v>
      </c>
      <c r="B51" s="151" t="s">
        <v>2046</v>
      </c>
      <c r="C51" s="151" t="s">
        <v>1870</v>
      </c>
      <c r="D51" s="151">
        <v>500</v>
      </c>
      <c r="E51" s="516">
        <v>176520</v>
      </c>
      <c r="F51" s="516">
        <v>88260000</v>
      </c>
    </row>
    <row r="52" spans="1:6">
      <c r="A52" s="151">
        <v>18</v>
      </c>
      <c r="B52" s="151" t="s">
        <v>2045</v>
      </c>
      <c r="C52" s="151" t="s">
        <v>1870</v>
      </c>
      <c r="D52" s="151">
        <v>500</v>
      </c>
      <c r="E52" s="516">
        <v>105600</v>
      </c>
      <c r="F52" s="516">
        <v>52800000</v>
      </c>
    </row>
    <row r="53" spans="1:6">
      <c r="B53" s="151" t="s">
        <v>288</v>
      </c>
      <c r="F53" s="516">
        <v>1625640000</v>
      </c>
    </row>
    <row r="54" spans="1:6">
      <c r="A54" s="151" t="s">
        <v>2044</v>
      </c>
    </row>
    <row r="55" spans="1:6">
      <c r="C55" s="516">
        <v>1625640000</v>
      </c>
      <c r="E55" s="516">
        <v>1448101000</v>
      </c>
      <c r="F55" s="516">
        <v>177539000</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pageSetUpPr fitToPage="1"/>
  </sheetPr>
  <dimension ref="A1:G49"/>
  <sheetViews>
    <sheetView zoomScaleNormal="100" workbookViewId="0">
      <selection activeCell="G9" sqref="G9"/>
    </sheetView>
  </sheetViews>
  <sheetFormatPr defaultRowHeight="16.5"/>
  <cols>
    <col min="1" max="1" width="6" style="311" customWidth="1"/>
    <col min="2" max="2" width="28.85546875" style="311" customWidth="1"/>
    <col min="3" max="3" width="11.5703125" style="311" customWidth="1"/>
    <col min="4" max="4" width="10.28515625" style="311" customWidth="1"/>
    <col min="5" max="5" width="11" style="311" customWidth="1"/>
    <col min="6" max="6" width="14" style="311" customWidth="1"/>
    <col min="7" max="7" width="14.7109375" style="311" customWidth="1"/>
    <col min="8" max="16384" width="9.140625" style="311"/>
  </cols>
  <sheetData>
    <row r="1" spans="1:7">
      <c r="C1" s="311" t="s">
        <v>2546</v>
      </c>
      <c r="G1" s="309" t="s">
        <v>1020</v>
      </c>
    </row>
    <row r="4" spans="1:7">
      <c r="A4" s="1872" t="s">
        <v>2380</v>
      </c>
      <c r="B4" s="1873"/>
      <c r="C4" s="1874">
        <v>39800.800000000003</v>
      </c>
      <c r="D4" s="1873" t="s">
        <v>5</v>
      </c>
      <c r="E4" s="1873"/>
      <c r="F4" s="1873"/>
      <c r="G4" s="1873"/>
    </row>
    <row r="5" spans="1:7">
      <c r="A5" s="1710" t="s">
        <v>1949</v>
      </c>
      <c r="B5" s="1711"/>
      <c r="C5" s="2482">
        <f>G18+G26+G34</f>
        <v>2773819293.2098765</v>
      </c>
      <c r="D5" s="2482"/>
      <c r="E5" s="2482"/>
      <c r="F5" s="1712"/>
      <c r="G5" s="1712"/>
    </row>
    <row r="6" spans="1:7">
      <c r="A6" s="2483" t="s">
        <v>1948</v>
      </c>
      <c r="B6" s="2484"/>
      <c r="C6" s="2482">
        <f>C5-C7</f>
        <v>173819293.20987654</v>
      </c>
      <c r="D6" s="2482"/>
      <c r="E6" s="2482"/>
      <c r="F6" s="1713"/>
      <c r="G6" s="1713"/>
    </row>
    <row r="7" spans="1:7">
      <c r="A7" s="2483" t="s">
        <v>2379</v>
      </c>
      <c r="B7" s="2484"/>
      <c r="C7" s="2482">
        <v>2600000000</v>
      </c>
      <c r="D7" s="2482"/>
      <c r="E7" s="2482"/>
      <c r="F7" s="1713"/>
      <c r="G7" s="1713"/>
    </row>
    <row r="8" spans="1:7">
      <c r="A8" s="1714" t="s">
        <v>2378</v>
      </c>
      <c r="B8" s="1715"/>
      <c r="C8" s="2485">
        <f>C6/C5</f>
        <v>6.2664245517137507E-2</v>
      </c>
      <c r="D8" s="2485"/>
      <c r="E8" s="2485"/>
      <c r="F8" s="1716"/>
      <c r="G8" s="1716"/>
    </row>
    <row r="9" spans="1:7">
      <c r="A9" s="1717" t="s">
        <v>2377</v>
      </c>
      <c r="B9" s="1718"/>
      <c r="C9" s="1718"/>
      <c r="D9" s="1718"/>
      <c r="E9" s="1718"/>
      <c r="F9" s="1718"/>
      <c r="G9" s="1718"/>
    </row>
    <row r="10" spans="1:7">
      <c r="A10" s="2481" t="s">
        <v>2376</v>
      </c>
      <c r="B10" s="2481"/>
      <c r="C10" s="2481"/>
      <c r="D10" s="2481"/>
      <c r="E10" s="2481"/>
      <c r="F10" s="2481"/>
      <c r="G10" s="2481"/>
    </row>
    <row r="11" spans="1:7">
      <c r="A11" s="2486" t="s">
        <v>2375</v>
      </c>
      <c r="B11" s="2486"/>
      <c r="C11" s="2486"/>
      <c r="D11" s="2486"/>
      <c r="E11" s="2486"/>
      <c r="F11" s="2486"/>
      <c r="G11" s="2486"/>
    </row>
    <row r="12" spans="1:7" ht="33">
      <c r="A12" s="1719" t="s">
        <v>0</v>
      </c>
      <c r="B12" s="1719" t="s">
        <v>103</v>
      </c>
      <c r="C12" s="1719" t="s">
        <v>100</v>
      </c>
      <c r="D12" s="1719" t="s">
        <v>1055</v>
      </c>
      <c r="E12" s="1719" t="s">
        <v>3</v>
      </c>
      <c r="F12" s="1719" t="s">
        <v>2355</v>
      </c>
      <c r="G12" s="1719" t="s">
        <v>2354</v>
      </c>
    </row>
    <row r="13" spans="1:7">
      <c r="A13" s="1720">
        <v>1</v>
      </c>
      <c r="B13" s="1964" t="s">
        <v>2374</v>
      </c>
      <c r="C13" s="1965" t="s">
        <v>829</v>
      </c>
      <c r="D13" s="1966">
        <v>1000</v>
      </c>
      <c r="E13" s="1967">
        <v>125000</v>
      </c>
      <c r="F13" s="1724">
        <f>E13*D13</f>
        <v>125000000</v>
      </c>
      <c r="G13" s="1724">
        <f>F13</f>
        <v>125000000</v>
      </c>
    </row>
    <row r="14" spans="1:7">
      <c r="A14" s="1720">
        <v>2</v>
      </c>
      <c r="B14" s="1964" t="s">
        <v>2373</v>
      </c>
      <c r="C14" s="1965" t="s">
        <v>829</v>
      </c>
      <c r="D14" s="1966">
        <v>8000</v>
      </c>
      <c r="E14" s="1967">
        <v>90000</v>
      </c>
      <c r="F14" s="1724">
        <f>E14*D14</f>
        <v>720000000</v>
      </c>
      <c r="G14" s="1724">
        <f>F14</f>
        <v>720000000</v>
      </c>
    </row>
    <row r="15" spans="1:7">
      <c r="A15" s="1720">
        <v>3</v>
      </c>
      <c r="B15" s="1964" t="s">
        <v>2372</v>
      </c>
      <c r="C15" s="1965" t="s">
        <v>829</v>
      </c>
      <c r="D15" s="1966">
        <v>5000</v>
      </c>
      <c r="E15" s="1967">
        <v>140000</v>
      </c>
      <c r="F15" s="1724">
        <f>E15*D15</f>
        <v>700000000</v>
      </c>
      <c r="G15" s="1724">
        <f>F15</f>
        <v>700000000</v>
      </c>
    </row>
    <row r="16" spans="1:7">
      <c r="A16" s="1720">
        <v>4</v>
      </c>
      <c r="B16" s="1964" t="s">
        <v>2371</v>
      </c>
      <c r="C16" s="1965" t="s">
        <v>829</v>
      </c>
      <c r="D16" s="1964">
        <v>3000</v>
      </c>
      <c r="E16" s="1967">
        <v>200000</v>
      </c>
      <c r="F16" s="1724">
        <f>E16*D16</f>
        <v>600000000</v>
      </c>
      <c r="G16" s="1724">
        <f>F16</f>
        <v>600000000</v>
      </c>
    </row>
    <row r="17" spans="1:7" ht="33">
      <c r="A17" s="1720">
        <v>5</v>
      </c>
      <c r="B17" s="1964" t="s">
        <v>2370</v>
      </c>
      <c r="C17" s="1740"/>
      <c r="D17" s="1968"/>
      <c r="E17" s="1969"/>
      <c r="F17" s="1724">
        <v>100000000</v>
      </c>
      <c r="G17" s="1724">
        <f>F17</f>
        <v>100000000</v>
      </c>
    </row>
    <row r="18" spans="1:7">
      <c r="A18" s="1719"/>
      <c r="B18" s="1730" t="s">
        <v>288</v>
      </c>
      <c r="C18" s="1730"/>
      <c r="D18" s="1730"/>
      <c r="E18" s="1730"/>
      <c r="F18" s="1731">
        <f>SUM(F13:F17)</f>
        <v>2245000000</v>
      </c>
      <c r="G18" s="1731">
        <f>SUM(G13:G17)</f>
        <v>2245000000</v>
      </c>
    </row>
    <row r="19" spans="1:7">
      <c r="A19" s="1970">
        <v>2</v>
      </c>
      <c r="B19" s="1971" t="s">
        <v>2369</v>
      </c>
      <c r="C19" s="1971"/>
      <c r="D19" s="1971"/>
      <c r="E19" s="1971"/>
      <c r="F19" s="1972"/>
      <c r="G19" s="1972"/>
    </row>
    <row r="20" spans="1:7" ht="33">
      <c r="A20" s="1719" t="s">
        <v>0</v>
      </c>
      <c r="B20" s="1719" t="s">
        <v>103</v>
      </c>
      <c r="C20" s="1719" t="s">
        <v>100</v>
      </c>
      <c r="D20" s="1719" t="s">
        <v>1055</v>
      </c>
      <c r="E20" s="1719" t="s">
        <v>3</v>
      </c>
      <c r="F20" s="1719" t="s">
        <v>2368</v>
      </c>
      <c r="G20" s="1719" t="s">
        <v>2354</v>
      </c>
    </row>
    <row r="21" spans="1:7">
      <c r="A21" s="1720">
        <v>1</v>
      </c>
      <c r="B21" s="1721" t="s">
        <v>2367</v>
      </c>
      <c r="C21" s="1720" t="s">
        <v>829</v>
      </c>
      <c r="D21" s="1973">
        <f>C4/1296*15</f>
        <v>460.65740740740739</v>
      </c>
      <c r="E21" s="1723">
        <v>15000</v>
      </c>
      <c r="F21" s="1724">
        <f>E21*D21</f>
        <v>6909861.111111111</v>
      </c>
      <c r="G21" s="1724">
        <f>F21</f>
        <v>6909861.111111111</v>
      </c>
    </row>
    <row r="22" spans="1:7">
      <c r="A22" s="1720">
        <v>2</v>
      </c>
      <c r="B22" s="1721" t="s">
        <v>2366</v>
      </c>
      <c r="C22" s="1720" t="s">
        <v>1437</v>
      </c>
      <c r="D22" s="1974">
        <f>C4/1296</f>
        <v>30.710493827160494</v>
      </c>
      <c r="E22" s="1723">
        <v>180000</v>
      </c>
      <c r="F22" s="1724">
        <f>E22*D22</f>
        <v>5527888.888888889</v>
      </c>
      <c r="G22" s="1724">
        <f>F22</f>
        <v>5527888.888888889</v>
      </c>
    </row>
    <row r="23" spans="1:7" ht="33">
      <c r="A23" s="1720">
        <v>3</v>
      </c>
      <c r="B23" s="1721" t="s">
        <v>2365</v>
      </c>
      <c r="C23" s="1720" t="s">
        <v>1437</v>
      </c>
      <c r="D23" s="1975">
        <f>D22</f>
        <v>30.710493827160494</v>
      </c>
      <c r="E23" s="1723">
        <v>1100000</v>
      </c>
      <c r="F23" s="1724">
        <f>E23*D23</f>
        <v>33781543.209876545</v>
      </c>
      <c r="G23" s="1724">
        <f>F23</f>
        <v>33781543.209876545</v>
      </c>
    </row>
    <row r="24" spans="1:7" ht="33">
      <c r="A24" s="1720">
        <v>4</v>
      </c>
      <c r="B24" s="1721" t="s">
        <v>2364</v>
      </c>
      <c r="C24" s="1720" t="s">
        <v>2363</v>
      </c>
      <c r="D24" s="1726"/>
      <c r="E24" s="1723"/>
      <c r="F24" s="1724">
        <v>80000000</v>
      </c>
      <c r="G24" s="1724">
        <f>F24</f>
        <v>80000000</v>
      </c>
    </row>
    <row r="25" spans="1:7">
      <c r="A25" s="1727"/>
      <c r="B25" s="1728"/>
      <c r="C25" s="1728"/>
      <c r="D25" s="1728"/>
      <c r="E25" s="1728"/>
      <c r="F25" s="1729" t="s">
        <v>2362</v>
      </c>
      <c r="G25" s="1729"/>
    </row>
    <row r="26" spans="1:7">
      <c r="A26" s="1719"/>
      <c r="B26" s="1730" t="s">
        <v>288</v>
      </c>
      <c r="C26" s="1730"/>
      <c r="D26" s="1730"/>
      <c r="E26" s="1730"/>
      <c r="F26" s="1731">
        <f>SUM(F21:F25)</f>
        <v>126219293.20987654</v>
      </c>
      <c r="G26" s="1731">
        <f>SUM(G21:G25)</f>
        <v>126219293.20987654</v>
      </c>
    </row>
    <row r="27" spans="1:7">
      <c r="A27" s="1976">
        <v>3</v>
      </c>
      <c r="B27" s="1976" t="s">
        <v>2361</v>
      </c>
      <c r="C27" s="1977"/>
      <c r="D27" s="1977"/>
      <c r="E27" s="1977"/>
      <c r="F27" s="1977"/>
      <c r="G27" s="1977"/>
    </row>
    <row r="28" spans="1:7" ht="33">
      <c r="A28" s="1719" t="s">
        <v>0</v>
      </c>
      <c r="B28" s="1719" t="s">
        <v>103</v>
      </c>
      <c r="C28" s="1719" t="s">
        <v>100</v>
      </c>
      <c r="D28" s="1719" t="s">
        <v>1055</v>
      </c>
      <c r="E28" s="1719" t="s">
        <v>3</v>
      </c>
      <c r="F28" s="1719" t="s">
        <v>2355</v>
      </c>
      <c r="G28" s="1719" t="s">
        <v>2354</v>
      </c>
    </row>
    <row r="29" spans="1:7">
      <c r="A29" s="1720">
        <v>1</v>
      </c>
      <c r="B29" s="1721" t="s">
        <v>2360</v>
      </c>
      <c r="C29" s="1720" t="s">
        <v>523</v>
      </c>
      <c r="D29" s="1978">
        <v>5000</v>
      </c>
      <c r="E29" s="1723">
        <v>400</v>
      </c>
      <c r="F29" s="1724">
        <f>E29*D29</f>
        <v>2000000</v>
      </c>
      <c r="G29" s="1724">
        <f>F29</f>
        <v>2000000</v>
      </c>
    </row>
    <row r="30" spans="1:7">
      <c r="A30" s="1720">
        <v>2</v>
      </c>
      <c r="B30" s="1721" t="s">
        <v>2359</v>
      </c>
      <c r="C30" s="1720" t="s">
        <v>523</v>
      </c>
      <c r="D30" s="1978">
        <v>5000</v>
      </c>
      <c r="E30" s="1723">
        <v>120</v>
      </c>
      <c r="F30" s="1724">
        <f>E30*D30</f>
        <v>600000</v>
      </c>
      <c r="G30" s="1724">
        <f>F30</f>
        <v>600000</v>
      </c>
    </row>
    <row r="31" spans="1:7">
      <c r="A31" s="1720">
        <v>3</v>
      </c>
      <c r="B31" s="1721" t="s">
        <v>2358</v>
      </c>
      <c r="C31" s="1720" t="s">
        <v>829</v>
      </c>
      <c r="D31" s="1978">
        <v>2500</v>
      </c>
      <c r="E31" s="1723">
        <v>40000</v>
      </c>
      <c r="F31" s="1724">
        <f>E31*D31</f>
        <v>100000000</v>
      </c>
      <c r="G31" s="1724">
        <f>F31</f>
        <v>100000000</v>
      </c>
    </row>
    <row r="32" spans="1:7" ht="33">
      <c r="A32" s="1720">
        <v>4</v>
      </c>
      <c r="B32" s="1979" t="s">
        <v>2357</v>
      </c>
      <c r="C32" s="1721"/>
      <c r="D32" s="1724"/>
      <c r="E32" s="1723"/>
      <c r="F32" s="1978">
        <v>150000000</v>
      </c>
      <c r="G32" s="1724">
        <f>F32</f>
        <v>150000000</v>
      </c>
    </row>
    <row r="33" spans="1:7">
      <c r="A33" s="1720">
        <v>5</v>
      </c>
      <c r="B33" s="1721" t="s">
        <v>217</v>
      </c>
      <c r="C33" s="1721"/>
      <c r="D33" s="1721"/>
      <c r="E33" s="1723"/>
      <c r="F33" s="1978">
        <v>150000000</v>
      </c>
      <c r="G33" s="1724">
        <f>F33</f>
        <v>150000000</v>
      </c>
    </row>
    <row r="34" spans="1:7">
      <c r="A34" s="1719"/>
      <c r="B34" s="1730" t="s">
        <v>288</v>
      </c>
      <c r="C34" s="1730"/>
      <c r="D34" s="1730"/>
      <c r="E34" s="1730"/>
      <c r="F34" s="1731">
        <f>SUM(F29:F33)</f>
        <v>402600000</v>
      </c>
      <c r="G34" s="1731">
        <f>SUM(G29:G33)</f>
        <v>402600000</v>
      </c>
    </row>
    <row r="35" spans="1:7">
      <c r="A35" s="2481" t="s">
        <v>2356</v>
      </c>
      <c r="B35" s="2481"/>
      <c r="C35" s="2481"/>
      <c r="D35" s="2481"/>
      <c r="E35" s="2481"/>
      <c r="F35" s="2481"/>
      <c r="G35" s="2481"/>
    </row>
    <row r="36" spans="1:7" ht="34.5" customHeight="1">
      <c r="A36" s="1719" t="s">
        <v>0</v>
      </c>
      <c r="B36" s="1719" t="s">
        <v>103</v>
      </c>
      <c r="C36" s="1719" t="s">
        <v>100</v>
      </c>
      <c r="D36" s="1719" t="s">
        <v>1055</v>
      </c>
      <c r="E36" s="1719" t="s">
        <v>3</v>
      </c>
      <c r="F36" s="1719" t="s">
        <v>2355</v>
      </c>
      <c r="G36" s="1719" t="s">
        <v>2354</v>
      </c>
    </row>
    <row r="37" spans="1:7">
      <c r="A37" s="1720">
        <v>1</v>
      </c>
      <c r="B37" s="1964" t="s">
        <v>2353</v>
      </c>
      <c r="C37" s="1965" t="s">
        <v>829</v>
      </c>
      <c r="D37" s="1966">
        <v>1500</v>
      </c>
      <c r="E37" s="1723">
        <f>E13*1.4</f>
        <v>175000</v>
      </c>
      <c r="F37" s="1724">
        <f>E37*D37</f>
        <v>262500000</v>
      </c>
      <c r="G37" s="1724">
        <f>F37</f>
        <v>262500000</v>
      </c>
    </row>
    <row r="38" spans="1:7">
      <c r="A38" s="1720">
        <v>2</v>
      </c>
      <c r="B38" s="1964" t="s">
        <v>2352</v>
      </c>
      <c r="C38" s="1965" t="s">
        <v>829</v>
      </c>
      <c r="D38" s="1966">
        <v>10000</v>
      </c>
      <c r="E38" s="1723">
        <f>E14*1.4</f>
        <v>125999.99999999999</v>
      </c>
      <c r="F38" s="1724">
        <f>E38*D38</f>
        <v>1259999999.9999998</v>
      </c>
      <c r="G38" s="1724">
        <f>F38</f>
        <v>1259999999.9999998</v>
      </c>
    </row>
    <row r="39" spans="1:7">
      <c r="A39" s="1720">
        <v>3</v>
      </c>
      <c r="B39" s="1964" t="s">
        <v>2351</v>
      </c>
      <c r="C39" s="1965" t="s">
        <v>829</v>
      </c>
      <c r="D39" s="1966">
        <v>5000</v>
      </c>
      <c r="E39" s="1723">
        <f>E15*1.4</f>
        <v>196000</v>
      </c>
      <c r="F39" s="1724">
        <f>E39*D39</f>
        <v>980000000</v>
      </c>
      <c r="G39" s="1724">
        <f>F39</f>
        <v>980000000</v>
      </c>
    </row>
    <row r="40" spans="1:7">
      <c r="A40" s="1736">
        <v>4</v>
      </c>
      <c r="B40" s="1964" t="s">
        <v>2350</v>
      </c>
      <c r="C40" s="1965" t="s">
        <v>829</v>
      </c>
      <c r="D40" s="1964">
        <v>3000</v>
      </c>
      <c r="E40" s="1723">
        <f>E16*1.4</f>
        <v>280000</v>
      </c>
      <c r="F40" s="1724">
        <f>E40*D40</f>
        <v>840000000</v>
      </c>
      <c r="G40" s="1724">
        <f>F40</f>
        <v>840000000</v>
      </c>
    </row>
    <row r="41" spans="1:7">
      <c r="A41" s="1736">
        <v>5</v>
      </c>
      <c r="B41" s="1964" t="s">
        <v>2349</v>
      </c>
      <c r="C41" s="1965" t="s">
        <v>829</v>
      </c>
      <c r="D41" s="1980">
        <f>D22*1000</f>
        <v>30710.493827160495</v>
      </c>
      <c r="E41" s="1738">
        <v>8000</v>
      </c>
      <c r="F41" s="1739">
        <f>E41*D41</f>
        <v>245683950.61728397</v>
      </c>
      <c r="G41" s="1739">
        <f>F41</f>
        <v>245683950.61728397</v>
      </c>
    </row>
    <row r="42" spans="1:7">
      <c r="A42" s="1719"/>
      <c r="B42" s="1730" t="s">
        <v>288</v>
      </c>
      <c r="C42" s="1730"/>
      <c r="D42" s="1730"/>
      <c r="E42" s="1730"/>
      <c r="F42" s="1731">
        <f>SUM(F37:F41)</f>
        <v>3588183950.6172838</v>
      </c>
      <c r="G42" s="1731">
        <f>SUM(G37:G41)</f>
        <v>3588183950.6172838</v>
      </c>
    </row>
    <row r="43" spans="1:7">
      <c r="A43" s="2487" t="s">
        <v>2348</v>
      </c>
      <c r="B43" s="2487"/>
      <c r="C43" s="2487"/>
      <c r="D43" s="2487"/>
      <c r="E43" s="2487"/>
      <c r="F43" s="2487"/>
      <c r="G43" s="2487"/>
    </row>
    <row r="44" spans="1:7">
      <c r="A44" s="2488" t="s">
        <v>406</v>
      </c>
      <c r="B44" s="2489"/>
      <c r="C44" s="2490">
        <f>F45-F46-F47</f>
        <v>461364657.40740728</v>
      </c>
      <c r="D44" s="2491"/>
      <c r="E44" s="2491"/>
      <c r="F44" s="2491"/>
      <c r="G44" s="2492"/>
    </row>
    <row r="45" spans="1:7">
      <c r="A45" s="1720">
        <v>1</v>
      </c>
      <c r="B45" s="2471" t="s">
        <v>2347</v>
      </c>
      <c r="C45" s="2472"/>
      <c r="D45" s="2472"/>
      <c r="E45" s="2473"/>
      <c r="F45" s="2474">
        <f>G42-G18-G26-G34</f>
        <v>814364657.40740728</v>
      </c>
      <c r="G45" s="2475"/>
    </row>
    <row r="46" spans="1:7">
      <c r="A46" s="1720">
        <v>2</v>
      </c>
      <c r="B46" s="2471" t="s">
        <v>2346</v>
      </c>
      <c r="C46" s="2472"/>
      <c r="D46" s="2472"/>
      <c r="E46" s="2473"/>
      <c r="F46" s="2474">
        <f>C7*10.5%</f>
        <v>273000000</v>
      </c>
      <c r="G46" s="2475"/>
    </row>
    <row r="47" spans="1:7">
      <c r="A47" s="1740">
        <v>3</v>
      </c>
      <c r="B47" s="1741" t="s">
        <v>2345</v>
      </c>
      <c r="C47" s="1742"/>
      <c r="D47" s="1742"/>
      <c r="E47" s="1743"/>
      <c r="F47" s="2474">
        <v>80000000</v>
      </c>
      <c r="G47" s="2475"/>
    </row>
    <row r="48" spans="1:7">
      <c r="A48" s="1727">
        <v>4</v>
      </c>
      <c r="B48" s="2476" t="s">
        <v>2344</v>
      </c>
      <c r="C48" s="2477"/>
      <c r="D48" s="2477"/>
      <c r="E48" s="2478"/>
      <c r="F48" s="2479">
        <f>C44/G42</f>
        <v>0.12857887548603456</v>
      </c>
      <c r="G48" s="2480"/>
    </row>
    <row r="49" spans="1:7" ht="17.25">
      <c r="A49" s="1744"/>
      <c r="B49" s="1745"/>
      <c r="C49" s="1746"/>
      <c r="D49" s="1746"/>
      <c r="E49" s="1746"/>
      <c r="F49" s="1746"/>
      <c r="G49" s="1746"/>
    </row>
  </sheetData>
  <mergeCells count="19">
    <mergeCell ref="B48:E48"/>
    <mergeCell ref="F48:G48"/>
    <mergeCell ref="B45:E45"/>
    <mergeCell ref="F45:G45"/>
    <mergeCell ref="B46:E46"/>
    <mergeCell ref="F46:G46"/>
    <mergeCell ref="F47:G47"/>
    <mergeCell ref="C8:E8"/>
    <mergeCell ref="A11:G11"/>
    <mergeCell ref="A35:G35"/>
    <mergeCell ref="A43:G43"/>
    <mergeCell ref="A44:B44"/>
    <mergeCell ref="C44:G44"/>
    <mergeCell ref="A10:G10"/>
    <mergeCell ref="C5:E5"/>
    <mergeCell ref="A6:B6"/>
    <mergeCell ref="C6:E6"/>
    <mergeCell ref="A7:B7"/>
    <mergeCell ref="C7:E7"/>
  </mergeCells>
  <pageMargins left="0.85" right="0.45" top="0.42" bottom="0.53" header="0.3" footer="0.3"/>
  <pageSetup scale="54"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dimension ref="A1:I50"/>
  <sheetViews>
    <sheetView zoomScaleNormal="100" workbookViewId="0">
      <selection activeCell="J7" sqref="J7"/>
    </sheetView>
  </sheetViews>
  <sheetFormatPr defaultRowHeight="16.5"/>
  <cols>
    <col min="1" max="1" width="7.5703125" style="311" customWidth="1"/>
    <col min="2" max="2" width="34" style="311" customWidth="1"/>
    <col min="3" max="3" width="6.85546875" style="311" customWidth="1"/>
    <col min="4" max="4" width="14.140625" style="318" customWidth="1"/>
    <col min="5" max="5" width="14.7109375" style="318" bestFit="1" customWidth="1"/>
    <col min="6" max="6" width="16.42578125" style="318" customWidth="1"/>
    <col min="7" max="16384" width="9.140625" style="311"/>
  </cols>
  <sheetData>
    <row r="1" spans="1:7">
      <c r="C1" s="311" t="s">
        <v>2545</v>
      </c>
      <c r="G1" s="309" t="s">
        <v>1020</v>
      </c>
    </row>
    <row r="5" spans="1:7">
      <c r="A5" s="295" t="s">
        <v>97</v>
      </c>
      <c r="B5" s="295" t="s">
        <v>2429</v>
      </c>
      <c r="C5" s="295" t="s">
        <v>2</v>
      </c>
      <c r="D5" s="1956" t="s">
        <v>1</v>
      </c>
      <c r="E5" s="1956" t="s">
        <v>3</v>
      </c>
      <c r="F5" s="1956" t="s">
        <v>4</v>
      </c>
    </row>
    <row r="6" spans="1:7">
      <c r="A6" s="295" t="s">
        <v>109</v>
      </c>
      <c r="B6" s="2352" t="s">
        <v>2428</v>
      </c>
      <c r="C6" s="295"/>
      <c r="D6" s="1956"/>
      <c r="E6" s="1956"/>
      <c r="F6" s="1957">
        <f>F7+F22</f>
        <v>1444025000</v>
      </c>
    </row>
    <row r="7" spans="1:7">
      <c r="A7" s="295" t="s">
        <v>480</v>
      </c>
      <c r="B7" s="2352" t="s">
        <v>2427</v>
      </c>
      <c r="C7" s="2352"/>
      <c r="D7" s="345"/>
      <c r="E7" s="345"/>
      <c r="F7" s="1957">
        <f>SUM(F8:F20)</f>
        <v>1364025000</v>
      </c>
    </row>
    <row r="8" spans="1:7" ht="33">
      <c r="A8" s="299">
        <v>1</v>
      </c>
      <c r="B8" s="477" t="s">
        <v>2426</v>
      </c>
      <c r="C8" s="299" t="s">
        <v>829</v>
      </c>
      <c r="D8" s="1958">
        <v>20000</v>
      </c>
      <c r="E8" s="1957">
        <v>13700</v>
      </c>
      <c r="F8" s="1957">
        <f t="shared" ref="F8:F19" si="0">D8*E8</f>
        <v>274000000</v>
      </c>
    </row>
    <row r="9" spans="1:7" ht="33">
      <c r="A9" s="299">
        <v>2</v>
      </c>
      <c r="B9" s="477" t="s">
        <v>2425</v>
      </c>
      <c r="C9" s="299" t="s">
        <v>829</v>
      </c>
      <c r="D9" s="1958">
        <v>20000</v>
      </c>
      <c r="E9" s="1957">
        <v>12500</v>
      </c>
      <c r="F9" s="1957">
        <f t="shared" si="0"/>
        <v>250000000</v>
      </c>
    </row>
    <row r="10" spans="1:7" ht="33">
      <c r="A10" s="299">
        <v>3</v>
      </c>
      <c r="B10" s="477" t="s">
        <v>2424</v>
      </c>
      <c r="C10" s="299" t="s">
        <v>829</v>
      </c>
      <c r="D10" s="1958">
        <v>20000</v>
      </c>
      <c r="E10" s="1957">
        <v>12000</v>
      </c>
      <c r="F10" s="1957">
        <f t="shared" si="0"/>
        <v>240000000</v>
      </c>
    </row>
    <row r="11" spans="1:7">
      <c r="A11" s="299">
        <v>4</v>
      </c>
      <c r="B11" s="477" t="s">
        <v>2423</v>
      </c>
      <c r="C11" s="299" t="s">
        <v>829</v>
      </c>
      <c r="D11" s="1958">
        <v>20000</v>
      </c>
      <c r="E11" s="1957">
        <v>12000</v>
      </c>
      <c r="F11" s="1957">
        <f t="shared" si="0"/>
        <v>240000000</v>
      </c>
    </row>
    <row r="12" spans="1:7">
      <c r="A12" s="299">
        <v>5</v>
      </c>
      <c r="B12" s="477" t="s">
        <v>2422</v>
      </c>
      <c r="C12" s="299" t="s">
        <v>829</v>
      </c>
      <c r="D12" s="1958">
        <v>10000</v>
      </c>
      <c r="E12" s="1957">
        <v>12000</v>
      </c>
      <c r="F12" s="1957">
        <f t="shared" si="0"/>
        <v>120000000</v>
      </c>
    </row>
    <row r="13" spans="1:7">
      <c r="A13" s="299">
        <v>6</v>
      </c>
      <c r="B13" s="477" t="s">
        <v>2421</v>
      </c>
      <c r="C13" s="299" t="s">
        <v>829</v>
      </c>
      <c r="D13" s="1958">
        <v>5000</v>
      </c>
      <c r="E13" s="1957">
        <v>10400</v>
      </c>
      <c r="F13" s="1957">
        <f t="shared" si="0"/>
        <v>52000000</v>
      </c>
    </row>
    <row r="14" spans="1:7">
      <c r="A14" s="299">
        <v>7</v>
      </c>
      <c r="B14" s="477" t="s">
        <v>2420</v>
      </c>
      <c r="C14" s="299" t="s">
        <v>829</v>
      </c>
      <c r="D14" s="1958">
        <v>4000</v>
      </c>
      <c r="E14" s="1957">
        <v>9500</v>
      </c>
      <c r="F14" s="1957">
        <f t="shared" si="0"/>
        <v>38000000</v>
      </c>
    </row>
    <row r="15" spans="1:7" ht="33">
      <c r="A15" s="299">
        <v>8</v>
      </c>
      <c r="B15" s="477" t="s">
        <v>2419</v>
      </c>
      <c r="C15" s="299" t="s">
        <v>829</v>
      </c>
      <c r="D15" s="1958">
        <v>5000</v>
      </c>
      <c r="E15" s="1957">
        <v>9600</v>
      </c>
      <c r="F15" s="1957">
        <f t="shared" si="0"/>
        <v>48000000</v>
      </c>
    </row>
    <row r="16" spans="1:7" ht="17.25" customHeight="1">
      <c r="A16" s="299">
        <v>9</v>
      </c>
      <c r="B16" s="477" t="s">
        <v>2418</v>
      </c>
      <c r="C16" s="299" t="s">
        <v>829</v>
      </c>
      <c r="D16" s="1958">
        <v>2000</v>
      </c>
      <c r="E16" s="1957">
        <v>9000</v>
      </c>
      <c r="F16" s="1957">
        <f t="shared" si="0"/>
        <v>18000000</v>
      </c>
    </row>
    <row r="17" spans="1:6">
      <c r="A17" s="299">
        <v>10</v>
      </c>
      <c r="B17" s="298" t="s">
        <v>2328</v>
      </c>
      <c r="C17" s="299" t="s">
        <v>358</v>
      </c>
      <c r="D17" s="1959">
        <v>12</v>
      </c>
      <c r="E17" s="1957">
        <v>1000000</v>
      </c>
      <c r="F17" s="1957">
        <f t="shared" si="0"/>
        <v>12000000</v>
      </c>
    </row>
    <row r="18" spans="1:6">
      <c r="A18" s="299">
        <v>11</v>
      </c>
      <c r="B18" s="1960" t="s">
        <v>2417</v>
      </c>
      <c r="C18" s="298" t="s">
        <v>358</v>
      </c>
      <c r="D18" s="1959">
        <v>12</v>
      </c>
      <c r="E18" s="1957">
        <v>5000000</v>
      </c>
      <c r="F18" s="1957">
        <f t="shared" si="0"/>
        <v>60000000</v>
      </c>
    </row>
    <row r="19" spans="1:6">
      <c r="A19" s="299">
        <v>12</v>
      </c>
      <c r="B19" s="298" t="s">
        <v>131</v>
      </c>
      <c r="C19" s="298" t="s">
        <v>358</v>
      </c>
      <c r="D19" s="1959">
        <v>12</v>
      </c>
      <c r="E19" s="1957">
        <v>500000</v>
      </c>
      <c r="F19" s="1957">
        <f t="shared" si="0"/>
        <v>6000000</v>
      </c>
    </row>
    <row r="20" spans="1:6">
      <c r="A20" s="299">
        <v>13</v>
      </c>
      <c r="B20" s="298" t="s">
        <v>217</v>
      </c>
      <c r="C20" s="298"/>
      <c r="D20" s="1959"/>
      <c r="E20" s="1957"/>
      <c r="F20" s="1957">
        <v>6025000</v>
      </c>
    </row>
    <row r="21" spans="1:6">
      <c r="A21" s="299"/>
      <c r="B21" s="298"/>
      <c r="C21" s="298"/>
      <c r="D21" s="1959"/>
      <c r="E21" s="1957"/>
      <c r="F21" s="1957"/>
    </row>
    <row r="22" spans="1:6">
      <c r="A22" s="295" t="s">
        <v>485</v>
      </c>
      <c r="B22" s="2352" t="s">
        <v>217</v>
      </c>
      <c r="C22" s="298"/>
      <c r="D22" s="1958"/>
      <c r="E22" s="1957"/>
      <c r="F22" s="1957">
        <f>SUM(F23:F24)</f>
        <v>80000000</v>
      </c>
    </row>
    <row r="23" spans="1:6">
      <c r="A23" s="299">
        <v>1</v>
      </c>
      <c r="B23" s="298" t="s">
        <v>2416</v>
      </c>
      <c r="C23" s="1960" t="s">
        <v>45</v>
      </c>
      <c r="D23" s="346">
        <v>700000000</v>
      </c>
      <c r="E23" s="1961">
        <v>0.1</v>
      </c>
      <c r="F23" s="1957">
        <f>D23*E23</f>
        <v>70000000</v>
      </c>
    </row>
    <row r="24" spans="1:6">
      <c r="A24" s="299">
        <v>2</v>
      </c>
      <c r="B24" s="298" t="s">
        <v>2415</v>
      </c>
      <c r="C24" s="298" t="s">
        <v>45</v>
      </c>
      <c r="D24" s="346">
        <v>100000000</v>
      </c>
      <c r="E24" s="1962">
        <v>10</v>
      </c>
      <c r="F24" s="1957">
        <f>D24/E24</f>
        <v>10000000</v>
      </c>
    </row>
    <row r="25" spans="1:6">
      <c r="A25" s="299"/>
      <c r="B25" s="298"/>
      <c r="C25" s="298"/>
      <c r="D25" s="346"/>
      <c r="E25" s="1962"/>
      <c r="F25" s="1957"/>
    </row>
    <row r="26" spans="1:6">
      <c r="A26" s="295" t="s">
        <v>116</v>
      </c>
      <c r="B26" s="2352" t="s">
        <v>242</v>
      </c>
      <c r="C26" s="2352"/>
      <c r="D26" s="345"/>
      <c r="E26" s="345"/>
      <c r="F26" s="1957">
        <f>F27</f>
        <v>1536000000</v>
      </c>
    </row>
    <row r="27" spans="1:6">
      <c r="A27" s="295" t="s">
        <v>480</v>
      </c>
      <c r="B27" s="2352" t="s">
        <v>2414</v>
      </c>
      <c r="C27" s="295"/>
      <c r="D27" s="1956"/>
      <c r="E27" s="1963"/>
      <c r="F27" s="1963">
        <f>SUM(F28:F36)</f>
        <v>1536000000</v>
      </c>
    </row>
    <row r="28" spans="1:6" ht="33">
      <c r="A28" s="299">
        <v>1</v>
      </c>
      <c r="B28" s="477" t="str">
        <f t="shared" ref="B28:D36" si="1">B8</f>
        <v>Cám: H11-25-HHcc cho lợn con từ tập ăn – 15kg</v>
      </c>
      <c r="C28" s="298" t="str">
        <f t="shared" si="1"/>
        <v>Kg</v>
      </c>
      <c r="D28" s="346">
        <f t="shared" si="1"/>
        <v>20000</v>
      </c>
      <c r="E28" s="1957">
        <f t="shared" ref="E28:E36" si="2">E8+(E8*20%)</f>
        <v>16440</v>
      </c>
      <c r="F28" s="1957">
        <f t="shared" ref="F28:F36" si="3">D28*E28</f>
        <v>328800000</v>
      </c>
    </row>
    <row r="29" spans="1:6" ht="33">
      <c r="A29" s="299">
        <v>2</v>
      </c>
      <c r="B29" s="477" t="str">
        <f t="shared" si="1"/>
        <v>Cám: H1076-25-HH cc cho lợn siêu nạc từ 12kg – 30kg</v>
      </c>
      <c r="C29" s="298" t="str">
        <f t="shared" si="1"/>
        <v>Kg</v>
      </c>
      <c r="D29" s="346">
        <f t="shared" si="1"/>
        <v>20000</v>
      </c>
      <c r="E29" s="1957">
        <f t="shared" si="2"/>
        <v>15000</v>
      </c>
      <c r="F29" s="1957">
        <f t="shared" si="3"/>
        <v>300000000</v>
      </c>
    </row>
    <row r="30" spans="1:6" ht="33">
      <c r="A30" s="299">
        <v>3</v>
      </c>
      <c r="B30" s="477" t="str">
        <f t="shared" si="1"/>
        <v>Cám:H12076-25- HH cc cho lợn siêu nạc từ 15kg – 30kg</v>
      </c>
      <c r="C30" s="298" t="str">
        <f t="shared" si="1"/>
        <v>Kg</v>
      </c>
      <c r="D30" s="346">
        <f t="shared" si="1"/>
        <v>20000</v>
      </c>
      <c r="E30" s="1957">
        <f t="shared" si="2"/>
        <v>14400</v>
      </c>
      <c r="F30" s="1957">
        <f t="shared" si="3"/>
        <v>288000000</v>
      </c>
    </row>
    <row r="31" spans="1:6">
      <c r="A31" s="299">
        <v>4</v>
      </c>
      <c r="B31" s="477" t="str">
        <f t="shared" si="1"/>
        <v xml:space="preserve">Cám:H16-25- HH cho lợn nái                       </v>
      </c>
      <c r="C31" s="298" t="str">
        <f t="shared" si="1"/>
        <v>Kg</v>
      </c>
      <c r="D31" s="346">
        <f t="shared" si="1"/>
        <v>20000</v>
      </c>
      <c r="E31" s="1957">
        <f t="shared" si="2"/>
        <v>14400</v>
      </c>
      <c r="F31" s="1957">
        <f t="shared" si="3"/>
        <v>288000000</v>
      </c>
    </row>
    <row r="32" spans="1:6">
      <c r="A32" s="299">
        <v>5</v>
      </c>
      <c r="B32" s="477" t="str">
        <f t="shared" si="1"/>
        <v>Cám HH cho gia cầm</v>
      </c>
      <c r="C32" s="298" t="str">
        <f t="shared" si="1"/>
        <v>Kg</v>
      </c>
      <c r="D32" s="346">
        <f t="shared" si="1"/>
        <v>10000</v>
      </c>
      <c r="E32" s="1957">
        <f t="shared" si="2"/>
        <v>14400</v>
      </c>
      <c r="F32" s="1957">
        <f t="shared" si="3"/>
        <v>144000000</v>
      </c>
    </row>
    <row r="33" spans="1:9">
      <c r="A33" s="299">
        <v>6</v>
      </c>
      <c r="B33" s="477" t="str">
        <f t="shared" si="1"/>
        <v>Cám cho gà từ 1 - 10 ngày tuổi</v>
      </c>
      <c r="C33" s="298" t="str">
        <f t="shared" si="1"/>
        <v>Kg</v>
      </c>
      <c r="D33" s="346">
        <f t="shared" si="1"/>
        <v>5000</v>
      </c>
      <c r="E33" s="1957">
        <f t="shared" si="2"/>
        <v>12480</v>
      </c>
      <c r="F33" s="1957">
        <f t="shared" si="3"/>
        <v>62400000</v>
      </c>
    </row>
    <row r="34" spans="1:9">
      <c r="A34" s="299">
        <v>7</v>
      </c>
      <c r="B34" s="477" t="str">
        <f t="shared" si="1"/>
        <v>Cám cho gà từ 22 - xuất chuồng</v>
      </c>
      <c r="C34" s="298" t="str">
        <f t="shared" si="1"/>
        <v>Kg</v>
      </c>
      <c r="D34" s="346">
        <f t="shared" si="1"/>
        <v>4000</v>
      </c>
      <c r="E34" s="1957">
        <f t="shared" si="2"/>
        <v>11400</v>
      </c>
      <c r="F34" s="1957">
        <f t="shared" si="3"/>
        <v>45600000</v>
      </c>
    </row>
    <row r="35" spans="1:9" ht="33">
      <c r="A35" s="299">
        <v>8</v>
      </c>
      <c r="B35" s="477" t="str">
        <f t="shared" si="1"/>
        <v>Cám cho vịt ngan từ 1- 21 ngày tuổi</v>
      </c>
      <c r="C35" s="298" t="str">
        <f t="shared" si="1"/>
        <v>Kg</v>
      </c>
      <c r="D35" s="346">
        <f t="shared" si="1"/>
        <v>5000</v>
      </c>
      <c r="E35" s="1957">
        <f t="shared" si="2"/>
        <v>11520</v>
      </c>
      <c r="F35" s="1957">
        <f t="shared" si="3"/>
        <v>57600000</v>
      </c>
    </row>
    <row r="36" spans="1:9" ht="25.5" customHeight="1">
      <c r="A36" s="299">
        <v>9</v>
      </c>
      <c r="B36" s="477" t="str">
        <f t="shared" si="1"/>
        <v>Cám cho vịt ngan từ 22 - xuất chuồng</v>
      </c>
      <c r="C36" s="298" t="str">
        <f t="shared" si="1"/>
        <v>Kg</v>
      </c>
      <c r="D36" s="346">
        <f t="shared" si="1"/>
        <v>2000</v>
      </c>
      <c r="E36" s="1957">
        <f t="shared" si="2"/>
        <v>10800</v>
      </c>
      <c r="F36" s="1957">
        <f t="shared" si="3"/>
        <v>21600000</v>
      </c>
    </row>
    <row r="37" spans="1:9">
      <c r="A37" s="299"/>
      <c r="B37" s="477"/>
      <c r="C37" s="298"/>
      <c r="D37" s="346"/>
      <c r="E37" s="1957"/>
      <c r="F37" s="1957"/>
    </row>
    <row r="38" spans="1:9">
      <c r="A38" s="295" t="s">
        <v>2413</v>
      </c>
      <c r="B38" s="2352" t="s">
        <v>24</v>
      </c>
      <c r="C38" s="2352"/>
      <c r="D38" s="345"/>
      <c r="E38" s="345"/>
      <c r="F38" s="1963">
        <f>F26-F6</f>
        <v>91975000</v>
      </c>
    </row>
    <row r="42" spans="1:9">
      <c r="A42" s="311" t="s">
        <v>2412</v>
      </c>
      <c r="D42" s="311"/>
      <c r="E42" s="1396">
        <v>1.5</v>
      </c>
      <c r="F42" s="311" t="s">
        <v>2411</v>
      </c>
      <c r="G42" s="318"/>
      <c r="H42" s="318"/>
    </row>
    <row r="43" spans="1:9">
      <c r="A43" s="1395" t="s">
        <v>2410</v>
      </c>
      <c r="D43" s="311"/>
      <c r="E43" s="2649">
        <f>F7</f>
        <v>1364025000</v>
      </c>
      <c r="F43" s="2649"/>
      <c r="G43" s="318" t="s">
        <v>202</v>
      </c>
      <c r="H43" s="318"/>
    </row>
    <row r="44" spans="1:9">
      <c r="A44" s="1394" t="str">
        <f>"- Vòng quay vốn lưu động kỳ trước: "&amp;E42&amp;" vòng/năm"</f>
        <v>- Vòng quay vốn lưu động kỳ trước: 1.5 vòng/năm</v>
      </c>
    </row>
    <row r="45" spans="1:9">
      <c r="A45" s="1394" t="str">
        <f>"- Vòng quay vốn lưu động dự kiến kỳ kế hoạch: "&amp;E42&amp;" vòng/năm"</f>
        <v>- Vòng quay vốn lưu động dự kiến kỳ kế hoạch: 1.5 vòng/năm</v>
      </c>
    </row>
    <row r="46" spans="1:9" ht="42" customHeight="1">
      <c r="A46" s="2650" t="s">
        <v>2409</v>
      </c>
      <c r="B46" s="2650"/>
      <c r="C46" s="2650"/>
      <c r="D46" s="2650"/>
      <c r="E46" s="2651">
        <f>E43/E42</f>
        <v>909350000</v>
      </c>
      <c r="F46" s="2651"/>
      <c r="G46" s="1393" t="s">
        <v>202</v>
      </c>
      <c r="H46" s="318"/>
    </row>
    <row r="47" spans="1:9">
      <c r="A47" s="311" t="s">
        <v>559</v>
      </c>
      <c r="D47" s="311"/>
      <c r="E47" s="2649">
        <f>E46-D23</f>
        <v>209350000</v>
      </c>
      <c r="F47" s="2649"/>
      <c r="G47" s="1392">
        <f>E47/E46*100</f>
        <v>23.021938747456975</v>
      </c>
      <c r="H47" s="318"/>
      <c r="I47" s="318"/>
    </row>
    <row r="48" spans="1:9">
      <c r="A48" s="311" t="s">
        <v>2408</v>
      </c>
      <c r="D48" s="311"/>
      <c r="E48" s="2649">
        <f>E46-E47</f>
        <v>700000000</v>
      </c>
      <c r="F48" s="2649"/>
      <c r="G48" s="1392">
        <f>E48/E46*100</f>
        <v>76.978061252543029</v>
      </c>
      <c r="H48" s="318"/>
      <c r="I48" s="318"/>
    </row>
    <row r="49" spans="1:1">
      <c r="A49" s="1391"/>
    </row>
    <row r="50" spans="1:1">
      <c r="A50" s="1391"/>
    </row>
  </sheetData>
  <mergeCells count="5">
    <mergeCell ref="E43:F43"/>
    <mergeCell ref="A46:D46"/>
    <mergeCell ref="E46:F46"/>
    <mergeCell ref="E47:F47"/>
    <mergeCell ref="E48:F48"/>
  </mergeCells>
  <pageMargins left="0.45" right="0.45" top="0.75" bottom="0.75" header="0.3" footer="0.3"/>
  <pageSetup paperSize="9"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5"/>
  <sheetViews>
    <sheetView workbookViewId="0">
      <selection activeCell="G7" sqref="G7"/>
    </sheetView>
  </sheetViews>
  <sheetFormatPr defaultRowHeight="16.5"/>
  <cols>
    <col min="1" max="1" width="5.140625" style="6" bestFit="1" customWidth="1"/>
    <col min="2" max="2" width="37" style="6" bestFit="1" customWidth="1"/>
    <col min="3" max="3" width="9.42578125" style="6" bestFit="1" customWidth="1"/>
    <col min="4" max="4" width="9.7109375" style="6" bestFit="1" customWidth="1"/>
    <col min="5" max="5" width="14" style="6" bestFit="1" customWidth="1"/>
    <col min="6" max="6" width="16" style="6" bestFit="1" customWidth="1"/>
    <col min="7" max="7" width="12.7109375" style="6" bestFit="1" customWidth="1"/>
    <col min="8" max="16384" width="9.140625" style="6"/>
  </cols>
  <sheetData>
    <row r="1" spans="1:8">
      <c r="C1" s="6" t="s">
        <v>2544</v>
      </c>
      <c r="G1" s="308" t="s">
        <v>1020</v>
      </c>
    </row>
    <row r="3" spans="1:8" ht="49.5">
      <c r="A3" s="53" t="s">
        <v>0</v>
      </c>
      <c r="B3" s="53" t="s">
        <v>103</v>
      </c>
      <c r="C3" s="53" t="s">
        <v>2</v>
      </c>
      <c r="D3" s="53" t="s">
        <v>1</v>
      </c>
      <c r="E3" s="53" t="s">
        <v>3</v>
      </c>
      <c r="F3" s="53" t="s">
        <v>346</v>
      </c>
    </row>
    <row r="4" spans="1:8">
      <c r="A4" s="5" t="s">
        <v>109</v>
      </c>
      <c r="B4" s="31" t="s">
        <v>237</v>
      </c>
      <c r="C4" s="31"/>
      <c r="D4" s="31"/>
      <c r="E4" s="31"/>
      <c r="F4" s="40">
        <f>SUM(F5:F12)</f>
        <v>978155000</v>
      </c>
      <c r="G4" s="77"/>
    </row>
    <row r="5" spans="1:8" ht="33">
      <c r="A5" s="4">
        <v>1</v>
      </c>
      <c r="B5" s="34" t="s">
        <v>347</v>
      </c>
      <c r="C5" s="34" t="s">
        <v>348</v>
      </c>
      <c r="D5" s="34">
        <v>600</v>
      </c>
      <c r="E5" s="42">
        <v>515862</v>
      </c>
      <c r="F5" s="41">
        <f t="shared" ref="F5:F10" si="0">E5*D5</f>
        <v>309517200</v>
      </c>
    </row>
    <row r="6" spans="1:8">
      <c r="A6" s="4">
        <v>2</v>
      </c>
      <c r="B6" s="34" t="s">
        <v>349</v>
      </c>
      <c r="C6" s="34" t="s">
        <v>348</v>
      </c>
      <c r="D6" s="34">
        <v>600</v>
      </c>
      <c r="E6" s="42">
        <v>370600</v>
      </c>
      <c r="F6" s="41">
        <f t="shared" si="0"/>
        <v>222360000</v>
      </c>
    </row>
    <row r="7" spans="1:8" ht="33">
      <c r="A7" s="4">
        <v>3</v>
      </c>
      <c r="B7" s="34" t="s">
        <v>350</v>
      </c>
      <c r="C7" s="34" t="s">
        <v>348</v>
      </c>
      <c r="D7" s="34">
        <v>800</v>
      </c>
      <c r="E7" s="42">
        <v>272456</v>
      </c>
      <c r="F7" s="41">
        <f t="shared" si="0"/>
        <v>217964800</v>
      </c>
    </row>
    <row r="8" spans="1:8">
      <c r="A8" s="4">
        <v>4</v>
      </c>
      <c r="B8" s="34" t="s">
        <v>351</v>
      </c>
      <c r="C8" s="34" t="s">
        <v>348</v>
      </c>
      <c r="D8" s="34">
        <v>600</v>
      </c>
      <c r="E8" s="42">
        <v>246355</v>
      </c>
      <c r="F8" s="41">
        <f t="shared" si="0"/>
        <v>147813000</v>
      </c>
    </row>
    <row r="9" spans="1:8">
      <c r="A9" s="4">
        <v>10</v>
      </c>
      <c r="B9" s="34" t="s">
        <v>352</v>
      </c>
      <c r="C9" s="34"/>
      <c r="D9" s="42">
        <f>SUM(D5:D8)</f>
        <v>2600</v>
      </c>
      <c r="E9" s="42">
        <v>10000</v>
      </c>
      <c r="F9" s="41">
        <f t="shared" si="0"/>
        <v>26000000</v>
      </c>
      <c r="H9" s="56"/>
    </row>
    <row r="10" spans="1:8">
      <c r="A10" s="4">
        <v>11</v>
      </c>
      <c r="B10" s="34" t="s">
        <v>323</v>
      </c>
      <c r="C10" s="34"/>
      <c r="D10" s="34">
        <v>1</v>
      </c>
      <c r="E10" s="42">
        <f>4000000*6</f>
        <v>24000000</v>
      </c>
      <c r="F10" s="41">
        <f t="shared" si="0"/>
        <v>24000000</v>
      </c>
    </row>
    <row r="11" spans="1:8">
      <c r="A11" s="4">
        <v>12</v>
      </c>
      <c r="B11" s="34" t="s">
        <v>213</v>
      </c>
      <c r="C11" s="34"/>
      <c r="D11" s="34"/>
      <c r="E11" s="42"/>
      <c r="F11" s="41">
        <f>F22*F25/12*6</f>
        <v>24500000.000000004</v>
      </c>
    </row>
    <row r="12" spans="1:8">
      <c r="A12" s="4">
        <v>13</v>
      </c>
      <c r="B12" s="34" t="s">
        <v>217</v>
      </c>
      <c r="C12" s="34"/>
      <c r="D12" s="34"/>
      <c r="E12" s="42"/>
      <c r="F12" s="41">
        <v>6000000</v>
      </c>
    </row>
    <row r="13" spans="1:8">
      <c r="A13" s="5" t="s">
        <v>116</v>
      </c>
      <c r="B13" s="31" t="s">
        <v>242</v>
      </c>
      <c r="C13" s="31"/>
      <c r="D13" s="31"/>
      <c r="E13" s="38"/>
      <c r="F13" s="40">
        <f>SUM(F14:F17)</f>
        <v>1001655000</v>
      </c>
    </row>
    <row r="14" spans="1:8" ht="33">
      <c r="A14" s="4">
        <v>1</v>
      </c>
      <c r="B14" s="34" t="s">
        <v>347</v>
      </c>
      <c r="C14" s="34" t="s">
        <v>348</v>
      </c>
      <c r="D14" s="34">
        <f>D5</f>
        <v>600</v>
      </c>
      <c r="E14" s="42">
        <f>E5+40000</f>
        <v>555862</v>
      </c>
      <c r="F14" s="41">
        <f>E14*D14</f>
        <v>333517200</v>
      </c>
      <c r="H14" s="60"/>
    </row>
    <row r="15" spans="1:8">
      <c r="A15" s="4">
        <v>2</v>
      </c>
      <c r="B15" s="34" t="s">
        <v>349</v>
      </c>
      <c r="C15" s="34" t="s">
        <v>348</v>
      </c>
      <c r="D15" s="34">
        <f>D6</f>
        <v>600</v>
      </c>
      <c r="E15" s="42">
        <f>E6+40000</f>
        <v>410600</v>
      </c>
      <c r="F15" s="41">
        <f>E15*D15</f>
        <v>246360000</v>
      </c>
    </row>
    <row r="16" spans="1:8" ht="33">
      <c r="A16" s="4">
        <v>3</v>
      </c>
      <c r="B16" s="34" t="s">
        <v>350</v>
      </c>
      <c r="C16" s="34" t="s">
        <v>348</v>
      </c>
      <c r="D16" s="34">
        <f>D7</f>
        <v>800</v>
      </c>
      <c r="E16" s="42">
        <f>E7+40000</f>
        <v>312456</v>
      </c>
      <c r="F16" s="41">
        <f>E16*D16</f>
        <v>249964800</v>
      </c>
    </row>
    <row r="17" spans="1:6">
      <c r="A17" s="4">
        <v>4</v>
      </c>
      <c r="B17" s="34" t="s">
        <v>351</v>
      </c>
      <c r="C17" s="34" t="s">
        <v>348</v>
      </c>
      <c r="D17" s="34">
        <f>D8</f>
        <v>600</v>
      </c>
      <c r="E17" s="42">
        <f>E8+40000</f>
        <v>286355</v>
      </c>
      <c r="F17" s="41">
        <f>E17*D17</f>
        <v>171813000</v>
      </c>
    </row>
    <row r="18" spans="1:6">
      <c r="A18" s="5" t="s">
        <v>135</v>
      </c>
      <c r="B18" s="31" t="s">
        <v>220</v>
      </c>
      <c r="C18" s="31"/>
      <c r="D18" s="31"/>
      <c r="E18" s="31"/>
      <c r="F18" s="40">
        <f>F13-F4</f>
        <v>23500000</v>
      </c>
    </row>
    <row r="19" spans="1:6" ht="33">
      <c r="A19" s="44" t="s">
        <v>221</v>
      </c>
      <c r="B19" s="9" t="s">
        <v>222</v>
      </c>
      <c r="C19" s="9"/>
      <c r="D19" s="9"/>
      <c r="E19" s="9"/>
      <c r="F19" s="179">
        <f>F18/F13</f>
        <v>2.3461171760735981E-2</v>
      </c>
    </row>
    <row r="21" spans="1:6">
      <c r="B21" s="6" t="s">
        <v>223</v>
      </c>
      <c r="F21" s="77">
        <f>SUM(F5:F12)-F11</f>
        <v>953655000</v>
      </c>
    </row>
    <row r="22" spans="1:6">
      <c r="B22" s="6" t="s">
        <v>27</v>
      </c>
      <c r="F22" s="8">
        <v>700000000</v>
      </c>
    </row>
    <row r="23" spans="1:6">
      <c r="B23" s="6" t="s">
        <v>267</v>
      </c>
      <c r="F23" s="77">
        <f>F21-F22</f>
        <v>253655000</v>
      </c>
    </row>
    <row r="24" spans="1:6">
      <c r="B24" s="6" t="s">
        <v>268</v>
      </c>
      <c r="F24" s="15">
        <f>F23/F21</f>
        <v>0.26598193266957126</v>
      </c>
    </row>
    <row r="25" spans="1:6">
      <c r="B25" s="6" t="s">
        <v>13</v>
      </c>
      <c r="F25" s="61">
        <v>7.0000000000000007E-2</v>
      </c>
    </row>
  </sheetData>
  <pageMargins left="0.75" right="0.75" top="1" bottom="1" header="0.5" footer="0.5"/>
  <pageSetup orientation="portrait" verticalDpi="0" r:id="rId1"/>
  <headerFooter alignWithMargins="0"/>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K153"/>
  <sheetViews>
    <sheetView zoomScaleNormal="100" workbookViewId="0">
      <selection activeCell="B20" sqref="B20"/>
    </sheetView>
  </sheetViews>
  <sheetFormatPr defaultRowHeight="16.5"/>
  <cols>
    <col min="1" max="1" width="4.7109375" style="991" bestFit="1" customWidth="1"/>
    <col min="2" max="2" width="37.42578125" style="994" bestFit="1" customWidth="1"/>
    <col min="3" max="3" width="6.28515625" style="991" bestFit="1" customWidth="1"/>
    <col min="4" max="4" width="12.28515625" style="991" customWidth="1"/>
    <col min="5" max="5" width="12.7109375" style="993" bestFit="1" customWidth="1"/>
    <col min="6" max="6" width="17.28515625" style="991" bestFit="1" customWidth="1"/>
    <col min="7" max="7" width="16" style="991" bestFit="1" customWidth="1"/>
    <col min="8" max="8" width="8.42578125" style="992" bestFit="1" customWidth="1"/>
    <col min="9" max="9" width="9.140625" style="991"/>
    <col min="10" max="10" width="8.42578125" style="992" bestFit="1" customWidth="1"/>
    <col min="11" max="11" width="8.42578125" style="991" bestFit="1" customWidth="1"/>
    <col min="12" max="256" width="9.140625" style="991"/>
    <col min="257" max="257" width="4.42578125" style="991" bestFit="1" customWidth="1"/>
    <col min="258" max="258" width="37.42578125" style="991" bestFit="1" customWidth="1"/>
    <col min="259" max="259" width="6.28515625" style="991" bestFit="1" customWidth="1"/>
    <col min="260" max="260" width="12.28515625" style="991" customWidth="1"/>
    <col min="261" max="261" width="10.85546875" style="991" bestFit="1" customWidth="1"/>
    <col min="262" max="262" width="15.5703125" style="991" bestFit="1" customWidth="1"/>
    <col min="263" max="263" width="12.28515625" style="991" bestFit="1" customWidth="1"/>
    <col min="264" max="264" width="8.140625" style="991" bestFit="1" customWidth="1"/>
    <col min="265" max="265" width="9.140625" style="991"/>
    <col min="266" max="267" width="8.140625" style="991" bestFit="1" customWidth="1"/>
    <col min="268" max="512" width="9.140625" style="991"/>
    <col min="513" max="513" width="4.42578125" style="991" bestFit="1" customWidth="1"/>
    <col min="514" max="514" width="37.42578125" style="991" bestFit="1" customWidth="1"/>
    <col min="515" max="515" width="6.28515625" style="991" bestFit="1" customWidth="1"/>
    <col min="516" max="516" width="12.28515625" style="991" customWidth="1"/>
    <col min="517" max="517" width="10.85546875" style="991" bestFit="1" customWidth="1"/>
    <col min="518" max="518" width="15.5703125" style="991" bestFit="1" customWidth="1"/>
    <col min="519" max="519" width="12.28515625" style="991" bestFit="1" customWidth="1"/>
    <col min="520" max="520" width="8.140625" style="991" bestFit="1" customWidth="1"/>
    <col min="521" max="521" width="9.140625" style="991"/>
    <col min="522" max="523" width="8.140625" style="991" bestFit="1" customWidth="1"/>
    <col min="524" max="768" width="9.140625" style="991"/>
    <col min="769" max="769" width="4.42578125" style="991" bestFit="1" customWidth="1"/>
    <col min="770" max="770" width="37.42578125" style="991" bestFit="1" customWidth="1"/>
    <col min="771" max="771" width="6.28515625" style="991" bestFit="1" customWidth="1"/>
    <col min="772" max="772" width="12.28515625" style="991" customWidth="1"/>
    <col min="773" max="773" width="10.85546875" style="991" bestFit="1" customWidth="1"/>
    <col min="774" max="774" width="15.5703125" style="991" bestFit="1" customWidth="1"/>
    <col min="775" max="775" width="12.28515625" style="991" bestFit="1" customWidth="1"/>
    <col min="776" max="776" width="8.140625" style="991" bestFit="1" customWidth="1"/>
    <col min="777" max="777" width="9.140625" style="991"/>
    <col min="778" max="779" width="8.140625" style="991" bestFit="1" customWidth="1"/>
    <col min="780" max="1024" width="9.140625" style="991"/>
    <col min="1025" max="1025" width="4.42578125" style="991" bestFit="1" customWidth="1"/>
    <col min="1026" max="1026" width="37.42578125" style="991" bestFit="1" customWidth="1"/>
    <col min="1027" max="1027" width="6.28515625" style="991" bestFit="1" customWidth="1"/>
    <col min="1028" max="1028" width="12.28515625" style="991" customWidth="1"/>
    <col min="1029" max="1029" width="10.85546875" style="991" bestFit="1" customWidth="1"/>
    <col min="1030" max="1030" width="15.5703125" style="991" bestFit="1" customWidth="1"/>
    <col min="1031" max="1031" width="12.28515625" style="991" bestFit="1" customWidth="1"/>
    <col min="1032" max="1032" width="8.140625" style="991" bestFit="1" customWidth="1"/>
    <col min="1033" max="1033" width="9.140625" style="991"/>
    <col min="1034" max="1035" width="8.140625" style="991" bestFit="1" customWidth="1"/>
    <col min="1036" max="1280" width="9.140625" style="991"/>
    <col min="1281" max="1281" width="4.42578125" style="991" bestFit="1" customWidth="1"/>
    <col min="1282" max="1282" width="37.42578125" style="991" bestFit="1" customWidth="1"/>
    <col min="1283" max="1283" width="6.28515625" style="991" bestFit="1" customWidth="1"/>
    <col min="1284" max="1284" width="12.28515625" style="991" customWidth="1"/>
    <col min="1285" max="1285" width="10.85546875" style="991" bestFit="1" customWidth="1"/>
    <col min="1286" max="1286" width="15.5703125" style="991" bestFit="1" customWidth="1"/>
    <col min="1287" max="1287" width="12.28515625" style="991" bestFit="1" customWidth="1"/>
    <col min="1288" max="1288" width="8.140625" style="991" bestFit="1" customWidth="1"/>
    <col min="1289" max="1289" width="9.140625" style="991"/>
    <col min="1290" max="1291" width="8.140625" style="991" bestFit="1" customWidth="1"/>
    <col min="1292" max="1536" width="9.140625" style="991"/>
    <col min="1537" max="1537" width="4.42578125" style="991" bestFit="1" customWidth="1"/>
    <col min="1538" max="1538" width="37.42578125" style="991" bestFit="1" customWidth="1"/>
    <col min="1539" max="1539" width="6.28515625" style="991" bestFit="1" customWidth="1"/>
    <col min="1540" max="1540" width="12.28515625" style="991" customWidth="1"/>
    <col min="1541" max="1541" width="10.85546875" style="991" bestFit="1" customWidth="1"/>
    <col min="1542" max="1542" width="15.5703125" style="991" bestFit="1" customWidth="1"/>
    <col min="1543" max="1543" width="12.28515625" style="991" bestFit="1" customWidth="1"/>
    <col min="1544" max="1544" width="8.140625" style="991" bestFit="1" customWidth="1"/>
    <col min="1545" max="1545" width="9.140625" style="991"/>
    <col min="1546" max="1547" width="8.140625" style="991" bestFit="1" customWidth="1"/>
    <col min="1548" max="1792" width="9.140625" style="991"/>
    <col min="1793" max="1793" width="4.42578125" style="991" bestFit="1" customWidth="1"/>
    <col min="1794" max="1794" width="37.42578125" style="991" bestFit="1" customWidth="1"/>
    <col min="1795" max="1795" width="6.28515625" style="991" bestFit="1" customWidth="1"/>
    <col min="1796" max="1796" width="12.28515625" style="991" customWidth="1"/>
    <col min="1797" max="1797" width="10.85546875" style="991" bestFit="1" customWidth="1"/>
    <col min="1798" max="1798" width="15.5703125" style="991" bestFit="1" customWidth="1"/>
    <col min="1799" max="1799" width="12.28515625" style="991" bestFit="1" customWidth="1"/>
    <col min="1800" max="1800" width="8.140625" style="991" bestFit="1" customWidth="1"/>
    <col min="1801" max="1801" width="9.140625" style="991"/>
    <col min="1802" max="1803" width="8.140625" style="991" bestFit="1" customWidth="1"/>
    <col min="1804" max="2048" width="9.140625" style="991"/>
    <col min="2049" max="2049" width="4.42578125" style="991" bestFit="1" customWidth="1"/>
    <col min="2050" max="2050" width="37.42578125" style="991" bestFit="1" customWidth="1"/>
    <col min="2051" max="2051" width="6.28515625" style="991" bestFit="1" customWidth="1"/>
    <col min="2052" max="2052" width="12.28515625" style="991" customWidth="1"/>
    <col min="2053" max="2053" width="10.85546875" style="991" bestFit="1" customWidth="1"/>
    <col min="2054" max="2054" width="15.5703125" style="991" bestFit="1" customWidth="1"/>
    <col min="2055" max="2055" width="12.28515625" style="991" bestFit="1" customWidth="1"/>
    <col min="2056" max="2056" width="8.140625" style="991" bestFit="1" customWidth="1"/>
    <col min="2057" max="2057" width="9.140625" style="991"/>
    <col min="2058" max="2059" width="8.140625" style="991" bestFit="1" customWidth="1"/>
    <col min="2060" max="2304" width="9.140625" style="991"/>
    <col min="2305" max="2305" width="4.42578125" style="991" bestFit="1" customWidth="1"/>
    <col min="2306" max="2306" width="37.42578125" style="991" bestFit="1" customWidth="1"/>
    <col min="2307" max="2307" width="6.28515625" style="991" bestFit="1" customWidth="1"/>
    <col min="2308" max="2308" width="12.28515625" style="991" customWidth="1"/>
    <col min="2309" max="2309" width="10.85546875" style="991" bestFit="1" customWidth="1"/>
    <col min="2310" max="2310" width="15.5703125" style="991" bestFit="1" customWidth="1"/>
    <col min="2311" max="2311" width="12.28515625" style="991" bestFit="1" customWidth="1"/>
    <col min="2312" max="2312" width="8.140625" style="991" bestFit="1" customWidth="1"/>
    <col min="2313" max="2313" width="9.140625" style="991"/>
    <col min="2314" max="2315" width="8.140625" style="991" bestFit="1" customWidth="1"/>
    <col min="2316" max="2560" width="9.140625" style="991"/>
    <col min="2561" max="2561" width="4.42578125" style="991" bestFit="1" customWidth="1"/>
    <col min="2562" max="2562" width="37.42578125" style="991" bestFit="1" customWidth="1"/>
    <col min="2563" max="2563" width="6.28515625" style="991" bestFit="1" customWidth="1"/>
    <col min="2564" max="2564" width="12.28515625" style="991" customWidth="1"/>
    <col min="2565" max="2565" width="10.85546875" style="991" bestFit="1" customWidth="1"/>
    <col min="2566" max="2566" width="15.5703125" style="991" bestFit="1" customWidth="1"/>
    <col min="2567" max="2567" width="12.28515625" style="991" bestFit="1" customWidth="1"/>
    <col min="2568" max="2568" width="8.140625" style="991" bestFit="1" customWidth="1"/>
    <col min="2569" max="2569" width="9.140625" style="991"/>
    <col min="2570" max="2571" width="8.140625" style="991" bestFit="1" customWidth="1"/>
    <col min="2572" max="2816" width="9.140625" style="991"/>
    <col min="2817" max="2817" width="4.42578125" style="991" bestFit="1" customWidth="1"/>
    <col min="2818" max="2818" width="37.42578125" style="991" bestFit="1" customWidth="1"/>
    <col min="2819" max="2819" width="6.28515625" style="991" bestFit="1" customWidth="1"/>
    <col min="2820" max="2820" width="12.28515625" style="991" customWidth="1"/>
    <col min="2821" max="2821" width="10.85546875" style="991" bestFit="1" customWidth="1"/>
    <col min="2822" max="2822" width="15.5703125" style="991" bestFit="1" customWidth="1"/>
    <col min="2823" max="2823" width="12.28515625" style="991" bestFit="1" customWidth="1"/>
    <col min="2824" max="2824" width="8.140625" style="991" bestFit="1" customWidth="1"/>
    <col min="2825" max="2825" width="9.140625" style="991"/>
    <col min="2826" max="2827" width="8.140625" style="991" bestFit="1" customWidth="1"/>
    <col min="2828" max="3072" width="9.140625" style="991"/>
    <col min="3073" max="3073" width="4.42578125" style="991" bestFit="1" customWidth="1"/>
    <col min="3074" max="3074" width="37.42578125" style="991" bestFit="1" customWidth="1"/>
    <col min="3075" max="3075" width="6.28515625" style="991" bestFit="1" customWidth="1"/>
    <col min="3076" max="3076" width="12.28515625" style="991" customWidth="1"/>
    <col min="3077" max="3077" width="10.85546875" style="991" bestFit="1" customWidth="1"/>
    <col min="3078" max="3078" width="15.5703125" style="991" bestFit="1" customWidth="1"/>
    <col min="3079" max="3079" width="12.28515625" style="991" bestFit="1" customWidth="1"/>
    <col min="3080" max="3080" width="8.140625" style="991" bestFit="1" customWidth="1"/>
    <col min="3081" max="3081" width="9.140625" style="991"/>
    <col min="3082" max="3083" width="8.140625" style="991" bestFit="1" customWidth="1"/>
    <col min="3084" max="3328" width="9.140625" style="991"/>
    <col min="3329" max="3329" width="4.42578125" style="991" bestFit="1" customWidth="1"/>
    <col min="3330" max="3330" width="37.42578125" style="991" bestFit="1" customWidth="1"/>
    <col min="3331" max="3331" width="6.28515625" style="991" bestFit="1" customWidth="1"/>
    <col min="3332" max="3332" width="12.28515625" style="991" customWidth="1"/>
    <col min="3333" max="3333" width="10.85546875" style="991" bestFit="1" customWidth="1"/>
    <col min="3334" max="3334" width="15.5703125" style="991" bestFit="1" customWidth="1"/>
    <col min="3335" max="3335" width="12.28515625" style="991" bestFit="1" customWidth="1"/>
    <col min="3336" max="3336" width="8.140625" style="991" bestFit="1" customWidth="1"/>
    <col min="3337" max="3337" width="9.140625" style="991"/>
    <col min="3338" max="3339" width="8.140625" style="991" bestFit="1" customWidth="1"/>
    <col min="3340" max="3584" width="9.140625" style="991"/>
    <col min="3585" max="3585" width="4.42578125" style="991" bestFit="1" customWidth="1"/>
    <col min="3586" max="3586" width="37.42578125" style="991" bestFit="1" customWidth="1"/>
    <col min="3587" max="3587" width="6.28515625" style="991" bestFit="1" customWidth="1"/>
    <col min="3588" max="3588" width="12.28515625" style="991" customWidth="1"/>
    <col min="3589" max="3589" width="10.85546875" style="991" bestFit="1" customWidth="1"/>
    <col min="3590" max="3590" width="15.5703125" style="991" bestFit="1" customWidth="1"/>
    <col min="3591" max="3591" width="12.28515625" style="991" bestFit="1" customWidth="1"/>
    <col min="3592" max="3592" width="8.140625" style="991" bestFit="1" customWidth="1"/>
    <col min="3593" max="3593" width="9.140625" style="991"/>
    <col min="3594" max="3595" width="8.140625" style="991" bestFit="1" customWidth="1"/>
    <col min="3596" max="3840" width="9.140625" style="991"/>
    <col min="3841" max="3841" width="4.42578125" style="991" bestFit="1" customWidth="1"/>
    <col min="3842" max="3842" width="37.42578125" style="991" bestFit="1" customWidth="1"/>
    <col min="3843" max="3843" width="6.28515625" style="991" bestFit="1" customWidth="1"/>
    <col min="3844" max="3844" width="12.28515625" style="991" customWidth="1"/>
    <col min="3845" max="3845" width="10.85546875" style="991" bestFit="1" customWidth="1"/>
    <col min="3846" max="3846" width="15.5703125" style="991" bestFit="1" customWidth="1"/>
    <col min="3847" max="3847" width="12.28515625" style="991" bestFit="1" customWidth="1"/>
    <col min="3848" max="3848" width="8.140625" style="991" bestFit="1" customWidth="1"/>
    <col min="3849" max="3849" width="9.140625" style="991"/>
    <col min="3850" max="3851" width="8.140625" style="991" bestFit="1" customWidth="1"/>
    <col min="3852" max="4096" width="9.140625" style="991"/>
    <col min="4097" max="4097" width="4.42578125" style="991" bestFit="1" customWidth="1"/>
    <col min="4098" max="4098" width="37.42578125" style="991" bestFit="1" customWidth="1"/>
    <col min="4099" max="4099" width="6.28515625" style="991" bestFit="1" customWidth="1"/>
    <col min="4100" max="4100" width="12.28515625" style="991" customWidth="1"/>
    <col min="4101" max="4101" width="10.85546875" style="991" bestFit="1" customWidth="1"/>
    <col min="4102" max="4102" width="15.5703125" style="991" bestFit="1" customWidth="1"/>
    <col min="4103" max="4103" width="12.28515625" style="991" bestFit="1" customWidth="1"/>
    <col min="4104" max="4104" width="8.140625" style="991" bestFit="1" customWidth="1"/>
    <col min="4105" max="4105" width="9.140625" style="991"/>
    <col min="4106" max="4107" width="8.140625" style="991" bestFit="1" customWidth="1"/>
    <col min="4108" max="4352" width="9.140625" style="991"/>
    <col min="4353" max="4353" width="4.42578125" style="991" bestFit="1" customWidth="1"/>
    <col min="4354" max="4354" width="37.42578125" style="991" bestFit="1" customWidth="1"/>
    <col min="4355" max="4355" width="6.28515625" style="991" bestFit="1" customWidth="1"/>
    <col min="4356" max="4356" width="12.28515625" style="991" customWidth="1"/>
    <col min="4357" max="4357" width="10.85546875" style="991" bestFit="1" customWidth="1"/>
    <col min="4358" max="4358" width="15.5703125" style="991" bestFit="1" customWidth="1"/>
    <col min="4359" max="4359" width="12.28515625" style="991" bestFit="1" customWidth="1"/>
    <col min="4360" max="4360" width="8.140625" style="991" bestFit="1" customWidth="1"/>
    <col min="4361" max="4361" width="9.140625" style="991"/>
    <col min="4362" max="4363" width="8.140625" style="991" bestFit="1" customWidth="1"/>
    <col min="4364" max="4608" width="9.140625" style="991"/>
    <col min="4609" max="4609" width="4.42578125" style="991" bestFit="1" customWidth="1"/>
    <col min="4610" max="4610" width="37.42578125" style="991" bestFit="1" customWidth="1"/>
    <col min="4611" max="4611" width="6.28515625" style="991" bestFit="1" customWidth="1"/>
    <col min="4612" max="4612" width="12.28515625" style="991" customWidth="1"/>
    <col min="4613" max="4613" width="10.85546875" style="991" bestFit="1" customWidth="1"/>
    <col min="4614" max="4614" width="15.5703125" style="991" bestFit="1" customWidth="1"/>
    <col min="4615" max="4615" width="12.28515625" style="991" bestFit="1" customWidth="1"/>
    <col min="4616" max="4616" width="8.140625" style="991" bestFit="1" customWidth="1"/>
    <col min="4617" max="4617" width="9.140625" style="991"/>
    <col min="4618" max="4619" width="8.140625" style="991" bestFit="1" customWidth="1"/>
    <col min="4620" max="4864" width="9.140625" style="991"/>
    <col min="4865" max="4865" width="4.42578125" style="991" bestFit="1" customWidth="1"/>
    <col min="4866" max="4866" width="37.42578125" style="991" bestFit="1" customWidth="1"/>
    <col min="4867" max="4867" width="6.28515625" style="991" bestFit="1" customWidth="1"/>
    <col min="4868" max="4868" width="12.28515625" style="991" customWidth="1"/>
    <col min="4869" max="4869" width="10.85546875" style="991" bestFit="1" customWidth="1"/>
    <col min="4870" max="4870" width="15.5703125" style="991" bestFit="1" customWidth="1"/>
    <col min="4871" max="4871" width="12.28515625" style="991" bestFit="1" customWidth="1"/>
    <col min="4872" max="4872" width="8.140625" style="991" bestFit="1" customWidth="1"/>
    <col min="4873" max="4873" width="9.140625" style="991"/>
    <col min="4874" max="4875" width="8.140625" style="991" bestFit="1" customWidth="1"/>
    <col min="4876" max="5120" width="9.140625" style="991"/>
    <col min="5121" max="5121" width="4.42578125" style="991" bestFit="1" customWidth="1"/>
    <col min="5122" max="5122" width="37.42578125" style="991" bestFit="1" customWidth="1"/>
    <col min="5123" max="5123" width="6.28515625" style="991" bestFit="1" customWidth="1"/>
    <col min="5124" max="5124" width="12.28515625" style="991" customWidth="1"/>
    <col min="5125" max="5125" width="10.85546875" style="991" bestFit="1" customWidth="1"/>
    <col min="5126" max="5126" width="15.5703125" style="991" bestFit="1" customWidth="1"/>
    <col min="5127" max="5127" width="12.28515625" style="991" bestFit="1" customWidth="1"/>
    <col min="5128" max="5128" width="8.140625" style="991" bestFit="1" customWidth="1"/>
    <col min="5129" max="5129" width="9.140625" style="991"/>
    <col min="5130" max="5131" width="8.140625" style="991" bestFit="1" customWidth="1"/>
    <col min="5132" max="5376" width="9.140625" style="991"/>
    <col min="5377" max="5377" width="4.42578125" style="991" bestFit="1" customWidth="1"/>
    <col min="5378" max="5378" width="37.42578125" style="991" bestFit="1" customWidth="1"/>
    <col min="5379" max="5379" width="6.28515625" style="991" bestFit="1" customWidth="1"/>
    <col min="5380" max="5380" width="12.28515625" style="991" customWidth="1"/>
    <col min="5381" max="5381" width="10.85546875" style="991" bestFit="1" customWidth="1"/>
    <col min="5382" max="5382" width="15.5703125" style="991" bestFit="1" customWidth="1"/>
    <col min="5383" max="5383" width="12.28515625" style="991" bestFit="1" customWidth="1"/>
    <col min="5384" max="5384" width="8.140625" style="991" bestFit="1" customWidth="1"/>
    <col min="5385" max="5385" width="9.140625" style="991"/>
    <col min="5386" max="5387" width="8.140625" style="991" bestFit="1" customWidth="1"/>
    <col min="5388" max="5632" width="9.140625" style="991"/>
    <col min="5633" max="5633" width="4.42578125" style="991" bestFit="1" customWidth="1"/>
    <col min="5634" max="5634" width="37.42578125" style="991" bestFit="1" customWidth="1"/>
    <col min="5635" max="5635" width="6.28515625" style="991" bestFit="1" customWidth="1"/>
    <col min="5636" max="5636" width="12.28515625" style="991" customWidth="1"/>
    <col min="5637" max="5637" width="10.85546875" style="991" bestFit="1" customWidth="1"/>
    <col min="5638" max="5638" width="15.5703125" style="991" bestFit="1" customWidth="1"/>
    <col min="5639" max="5639" width="12.28515625" style="991" bestFit="1" customWidth="1"/>
    <col min="5640" max="5640" width="8.140625" style="991" bestFit="1" customWidth="1"/>
    <col min="5641" max="5641" width="9.140625" style="991"/>
    <col min="5642" max="5643" width="8.140625" style="991" bestFit="1" customWidth="1"/>
    <col min="5644" max="5888" width="9.140625" style="991"/>
    <col min="5889" max="5889" width="4.42578125" style="991" bestFit="1" customWidth="1"/>
    <col min="5890" max="5890" width="37.42578125" style="991" bestFit="1" customWidth="1"/>
    <col min="5891" max="5891" width="6.28515625" style="991" bestFit="1" customWidth="1"/>
    <col min="5892" max="5892" width="12.28515625" style="991" customWidth="1"/>
    <col min="5893" max="5893" width="10.85546875" style="991" bestFit="1" customWidth="1"/>
    <col min="5894" max="5894" width="15.5703125" style="991" bestFit="1" customWidth="1"/>
    <col min="5895" max="5895" width="12.28515625" style="991" bestFit="1" customWidth="1"/>
    <col min="5896" max="5896" width="8.140625" style="991" bestFit="1" customWidth="1"/>
    <col min="5897" max="5897" width="9.140625" style="991"/>
    <col min="5898" max="5899" width="8.140625" style="991" bestFit="1" customWidth="1"/>
    <col min="5900" max="6144" width="9.140625" style="991"/>
    <col min="6145" max="6145" width="4.42578125" style="991" bestFit="1" customWidth="1"/>
    <col min="6146" max="6146" width="37.42578125" style="991" bestFit="1" customWidth="1"/>
    <col min="6147" max="6147" width="6.28515625" style="991" bestFit="1" customWidth="1"/>
    <col min="6148" max="6148" width="12.28515625" style="991" customWidth="1"/>
    <col min="6149" max="6149" width="10.85546875" style="991" bestFit="1" customWidth="1"/>
    <col min="6150" max="6150" width="15.5703125" style="991" bestFit="1" customWidth="1"/>
    <col min="6151" max="6151" width="12.28515625" style="991" bestFit="1" customWidth="1"/>
    <col min="6152" max="6152" width="8.140625" style="991" bestFit="1" customWidth="1"/>
    <col min="6153" max="6153" width="9.140625" style="991"/>
    <col min="6154" max="6155" width="8.140625" style="991" bestFit="1" customWidth="1"/>
    <col min="6156" max="6400" width="9.140625" style="991"/>
    <col min="6401" max="6401" width="4.42578125" style="991" bestFit="1" customWidth="1"/>
    <col min="6402" max="6402" width="37.42578125" style="991" bestFit="1" customWidth="1"/>
    <col min="6403" max="6403" width="6.28515625" style="991" bestFit="1" customWidth="1"/>
    <col min="6404" max="6404" width="12.28515625" style="991" customWidth="1"/>
    <col min="6405" max="6405" width="10.85546875" style="991" bestFit="1" customWidth="1"/>
    <col min="6406" max="6406" width="15.5703125" style="991" bestFit="1" customWidth="1"/>
    <col min="6407" max="6407" width="12.28515625" style="991" bestFit="1" customWidth="1"/>
    <col min="6408" max="6408" width="8.140625" style="991" bestFit="1" customWidth="1"/>
    <col min="6409" max="6409" width="9.140625" style="991"/>
    <col min="6410" max="6411" width="8.140625" style="991" bestFit="1" customWidth="1"/>
    <col min="6412" max="6656" width="9.140625" style="991"/>
    <col min="6657" max="6657" width="4.42578125" style="991" bestFit="1" customWidth="1"/>
    <col min="6658" max="6658" width="37.42578125" style="991" bestFit="1" customWidth="1"/>
    <col min="6659" max="6659" width="6.28515625" style="991" bestFit="1" customWidth="1"/>
    <col min="6660" max="6660" width="12.28515625" style="991" customWidth="1"/>
    <col min="6661" max="6661" width="10.85546875" style="991" bestFit="1" customWidth="1"/>
    <col min="6662" max="6662" width="15.5703125" style="991" bestFit="1" customWidth="1"/>
    <col min="6663" max="6663" width="12.28515625" style="991" bestFit="1" customWidth="1"/>
    <col min="6664" max="6664" width="8.140625" style="991" bestFit="1" customWidth="1"/>
    <col min="6665" max="6665" width="9.140625" style="991"/>
    <col min="6666" max="6667" width="8.140625" style="991" bestFit="1" customWidth="1"/>
    <col min="6668" max="6912" width="9.140625" style="991"/>
    <col min="6913" max="6913" width="4.42578125" style="991" bestFit="1" customWidth="1"/>
    <col min="6914" max="6914" width="37.42578125" style="991" bestFit="1" customWidth="1"/>
    <col min="6915" max="6915" width="6.28515625" style="991" bestFit="1" customWidth="1"/>
    <col min="6916" max="6916" width="12.28515625" style="991" customWidth="1"/>
    <col min="6917" max="6917" width="10.85546875" style="991" bestFit="1" customWidth="1"/>
    <col min="6918" max="6918" width="15.5703125" style="991" bestFit="1" customWidth="1"/>
    <col min="6919" max="6919" width="12.28515625" style="991" bestFit="1" customWidth="1"/>
    <col min="6920" max="6920" width="8.140625" style="991" bestFit="1" customWidth="1"/>
    <col min="6921" max="6921" width="9.140625" style="991"/>
    <col min="6922" max="6923" width="8.140625" style="991" bestFit="1" customWidth="1"/>
    <col min="6924" max="7168" width="9.140625" style="991"/>
    <col min="7169" max="7169" width="4.42578125" style="991" bestFit="1" customWidth="1"/>
    <col min="7170" max="7170" width="37.42578125" style="991" bestFit="1" customWidth="1"/>
    <col min="7171" max="7171" width="6.28515625" style="991" bestFit="1" customWidth="1"/>
    <col min="7172" max="7172" width="12.28515625" style="991" customWidth="1"/>
    <col min="7173" max="7173" width="10.85546875" style="991" bestFit="1" customWidth="1"/>
    <col min="7174" max="7174" width="15.5703125" style="991" bestFit="1" customWidth="1"/>
    <col min="7175" max="7175" width="12.28515625" style="991" bestFit="1" customWidth="1"/>
    <col min="7176" max="7176" width="8.140625" style="991" bestFit="1" customWidth="1"/>
    <col min="7177" max="7177" width="9.140625" style="991"/>
    <col min="7178" max="7179" width="8.140625" style="991" bestFit="1" customWidth="1"/>
    <col min="7180" max="7424" width="9.140625" style="991"/>
    <col min="7425" max="7425" width="4.42578125" style="991" bestFit="1" customWidth="1"/>
    <col min="7426" max="7426" width="37.42578125" style="991" bestFit="1" customWidth="1"/>
    <col min="7427" max="7427" width="6.28515625" style="991" bestFit="1" customWidth="1"/>
    <col min="7428" max="7428" width="12.28515625" style="991" customWidth="1"/>
    <col min="7429" max="7429" width="10.85546875" style="991" bestFit="1" customWidth="1"/>
    <col min="7430" max="7430" width="15.5703125" style="991" bestFit="1" customWidth="1"/>
    <col min="7431" max="7431" width="12.28515625" style="991" bestFit="1" customWidth="1"/>
    <col min="7432" max="7432" width="8.140625" style="991" bestFit="1" customWidth="1"/>
    <col min="7433" max="7433" width="9.140625" style="991"/>
    <col min="7434" max="7435" width="8.140625" style="991" bestFit="1" customWidth="1"/>
    <col min="7436" max="7680" width="9.140625" style="991"/>
    <col min="7681" max="7681" width="4.42578125" style="991" bestFit="1" customWidth="1"/>
    <col min="7682" max="7682" width="37.42578125" style="991" bestFit="1" customWidth="1"/>
    <col min="7683" max="7683" width="6.28515625" style="991" bestFit="1" customWidth="1"/>
    <col min="7684" max="7684" width="12.28515625" style="991" customWidth="1"/>
    <col min="7685" max="7685" width="10.85546875" style="991" bestFit="1" customWidth="1"/>
    <col min="7686" max="7686" width="15.5703125" style="991" bestFit="1" customWidth="1"/>
    <col min="7687" max="7687" width="12.28515625" style="991" bestFit="1" customWidth="1"/>
    <col min="7688" max="7688" width="8.140625" style="991" bestFit="1" customWidth="1"/>
    <col min="7689" max="7689" width="9.140625" style="991"/>
    <col min="7690" max="7691" width="8.140625" style="991" bestFit="1" customWidth="1"/>
    <col min="7692" max="7936" width="9.140625" style="991"/>
    <col min="7937" max="7937" width="4.42578125" style="991" bestFit="1" customWidth="1"/>
    <col min="7938" max="7938" width="37.42578125" style="991" bestFit="1" customWidth="1"/>
    <col min="7939" max="7939" width="6.28515625" style="991" bestFit="1" customWidth="1"/>
    <col min="7940" max="7940" width="12.28515625" style="991" customWidth="1"/>
    <col min="7941" max="7941" width="10.85546875" style="991" bestFit="1" customWidth="1"/>
    <col min="7942" max="7942" width="15.5703125" style="991" bestFit="1" customWidth="1"/>
    <col min="7943" max="7943" width="12.28515625" style="991" bestFit="1" customWidth="1"/>
    <col min="7944" max="7944" width="8.140625" style="991" bestFit="1" customWidth="1"/>
    <col min="7945" max="7945" width="9.140625" style="991"/>
    <col min="7946" max="7947" width="8.140625" style="991" bestFit="1" customWidth="1"/>
    <col min="7948" max="8192" width="9.140625" style="991"/>
    <col min="8193" max="8193" width="4.42578125" style="991" bestFit="1" customWidth="1"/>
    <col min="8194" max="8194" width="37.42578125" style="991" bestFit="1" customWidth="1"/>
    <col min="8195" max="8195" width="6.28515625" style="991" bestFit="1" customWidth="1"/>
    <col min="8196" max="8196" width="12.28515625" style="991" customWidth="1"/>
    <col min="8197" max="8197" width="10.85546875" style="991" bestFit="1" customWidth="1"/>
    <col min="8198" max="8198" width="15.5703125" style="991" bestFit="1" customWidth="1"/>
    <col min="8199" max="8199" width="12.28515625" style="991" bestFit="1" customWidth="1"/>
    <col min="8200" max="8200" width="8.140625" style="991" bestFit="1" customWidth="1"/>
    <col min="8201" max="8201" width="9.140625" style="991"/>
    <col min="8202" max="8203" width="8.140625" style="991" bestFit="1" customWidth="1"/>
    <col min="8204" max="8448" width="9.140625" style="991"/>
    <col min="8449" max="8449" width="4.42578125" style="991" bestFit="1" customWidth="1"/>
    <col min="8450" max="8450" width="37.42578125" style="991" bestFit="1" customWidth="1"/>
    <col min="8451" max="8451" width="6.28515625" style="991" bestFit="1" customWidth="1"/>
    <col min="8452" max="8452" width="12.28515625" style="991" customWidth="1"/>
    <col min="8453" max="8453" width="10.85546875" style="991" bestFit="1" customWidth="1"/>
    <col min="8454" max="8454" width="15.5703125" style="991" bestFit="1" customWidth="1"/>
    <col min="8455" max="8455" width="12.28515625" style="991" bestFit="1" customWidth="1"/>
    <col min="8456" max="8456" width="8.140625" style="991" bestFit="1" customWidth="1"/>
    <col min="8457" max="8457" width="9.140625" style="991"/>
    <col min="8458" max="8459" width="8.140625" style="991" bestFit="1" customWidth="1"/>
    <col min="8460" max="8704" width="9.140625" style="991"/>
    <col min="8705" max="8705" width="4.42578125" style="991" bestFit="1" customWidth="1"/>
    <col min="8706" max="8706" width="37.42578125" style="991" bestFit="1" customWidth="1"/>
    <col min="8707" max="8707" width="6.28515625" style="991" bestFit="1" customWidth="1"/>
    <col min="8708" max="8708" width="12.28515625" style="991" customWidth="1"/>
    <col min="8709" max="8709" width="10.85546875" style="991" bestFit="1" customWidth="1"/>
    <col min="8710" max="8710" width="15.5703125" style="991" bestFit="1" customWidth="1"/>
    <col min="8711" max="8711" width="12.28515625" style="991" bestFit="1" customWidth="1"/>
    <col min="8712" max="8712" width="8.140625" style="991" bestFit="1" customWidth="1"/>
    <col min="8713" max="8713" width="9.140625" style="991"/>
    <col min="8714" max="8715" width="8.140625" style="991" bestFit="1" customWidth="1"/>
    <col min="8716" max="8960" width="9.140625" style="991"/>
    <col min="8961" max="8961" width="4.42578125" style="991" bestFit="1" customWidth="1"/>
    <col min="8962" max="8962" width="37.42578125" style="991" bestFit="1" customWidth="1"/>
    <col min="8963" max="8963" width="6.28515625" style="991" bestFit="1" customWidth="1"/>
    <col min="8964" max="8964" width="12.28515625" style="991" customWidth="1"/>
    <col min="8965" max="8965" width="10.85546875" style="991" bestFit="1" customWidth="1"/>
    <col min="8966" max="8966" width="15.5703125" style="991" bestFit="1" customWidth="1"/>
    <col min="8967" max="8967" width="12.28515625" style="991" bestFit="1" customWidth="1"/>
    <col min="8968" max="8968" width="8.140625" style="991" bestFit="1" customWidth="1"/>
    <col min="8969" max="8969" width="9.140625" style="991"/>
    <col min="8970" max="8971" width="8.140625" style="991" bestFit="1" customWidth="1"/>
    <col min="8972" max="9216" width="9.140625" style="991"/>
    <col min="9217" max="9217" width="4.42578125" style="991" bestFit="1" customWidth="1"/>
    <col min="9218" max="9218" width="37.42578125" style="991" bestFit="1" customWidth="1"/>
    <col min="9219" max="9219" width="6.28515625" style="991" bestFit="1" customWidth="1"/>
    <col min="9220" max="9220" width="12.28515625" style="991" customWidth="1"/>
    <col min="9221" max="9221" width="10.85546875" style="991" bestFit="1" customWidth="1"/>
    <col min="9222" max="9222" width="15.5703125" style="991" bestFit="1" customWidth="1"/>
    <col min="9223" max="9223" width="12.28515625" style="991" bestFit="1" customWidth="1"/>
    <col min="9224" max="9224" width="8.140625" style="991" bestFit="1" customWidth="1"/>
    <col min="9225" max="9225" width="9.140625" style="991"/>
    <col min="9226" max="9227" width="8.140625" style="991" bestFit="1" customWidth="1"/>
    <col min="9228" max="9472" width="9.140625" style="991"/>
    <col min="9473" max="9473" width="4.42578125" style="991" bestFit="1" customWidth="1"/>
    <col min="9474" max="9474" width="37.42578125" style="991" bestFit="1" customWidth="1"/>
    <col min="9475" max="9475" width="6.28515625" style="991" bestFit="1" customWidth="1"/>
    <col min="9476" max="9476" width="12.28515625" style="991" customWidth="1"/>
    <col min="9477" max="9477" width="10.85546875" style="991" bestFit="1" customWidth="1"/>
    <col min="9478" max="9478" width="15.5703125" style="991" bestFit="1" customWidth="1"/>
    <col min="9479" max="9479" width="12.28515625" style="991" bestFit="1" customWidth="1"/>
    <col min="9480" max="9480" width="8.140625" style="991" bestFit="1" customWidth="1"/>
    <col min="9481" max="9481" width="9.140625" style="991"/>
    <col min="9482" max="9483" width="8.140625" style="991" bestFit="1" customWidth="1"/>
    <col min="9484" max="9728" width="9.140625" style="991"/>
    <col min="9729" max="9729" width="4.42578125" style="991" bestFit="1" customWidth="1"/>
    <col min="9730" max="9730" width="37.42578125" style="991" bestFit="1" customWidth="1"/>
    <col min="9731" max="9731" width="6.28515625" style="991" bestFit="1" customWidth="1"/>
    <col min="9732" max="9732" width="12.28515625" style="991" customWidth="1"/>
    <col min="9733" max="9733" width="10.85546875" style="991" bestFit="1" customWidth="1"/>
    <col min="9734" max="9734" width="15.5703125" style="991" bestFit="1" customWidth="1"/>
    <col min="9735" max="9735" width="12.28515625" style="991" bestFit="1" customWidth="1"/>
    <col min="9736" max="9736" width="8.140625" style="991" bestFit="1" customWidth="1"/>
    <col min="9737" max="9737" width="9.140625" style="991"/>
    <col min="9738" max="9739" width="8.140625" style="991" bestFit="1" customWidth="1"/>
    <col min="9740" max="9984" width="9.140625" style="991"/>
    <col min="9985" max="9985" width="4.42578125" style="991" bestFit="1" customWidth="1"/>
    <col min="9986" max="9986" width="37.42578125" style="991" bestFit="1" customWidth="1"/>
    <col min="9987" max="9987" width="6.28515625" style="991" bestFit="1" customWidth="1"/>
    <col min="9988" max="9988" width="12.28515625" style="991" customWidth="1"/>
    <col min="9989" max="9989" width="10.85546875" style="991" bestFit="1" customWidth="1"/>
    <col min="9990" max="9990" width="15.5703125" style="991" bestFit="1" customWidth="1"/>
    <col min="9991" max="9991" width="12.28515625" style="991" bestFit="1" customWidth="1"/>
    <col min="9992" max="9992" width="8.140625" style="991" bestFit="1" customWidth="1"/>
    <col min="9993" max="9993" width="9.140625" style="991"/>
    <col min="9994" max="9995" width="8.140625" style="991" bestFit="1" customWidth="1"/>
    <col min="9996" max="10240" width="9.140625" style="991"/>
    <col min="10241" max="10241" width="4.42578125" style="991" bestFit="1" customWidth="1"/>
    <col min="10242" max="10242" width="37.42578125" style="991" bestFit="1" customWidth="1"/>
    <col min="10243" max="10243" width="6.28515625" style="991" bestFit="1" customWidth="1"/>
    <col min="10244" max="10244" width="12.28515625" style="991" customWidth="1"/>
    <col min="10245" max="10245" width="10.85546875" style="991" bestFit="1" customWidth="1"/>
    <col min="10246" max="10246" width="15.5703125" style="991" bestFit="1" customWidth="1"/>
    <col min="10247" max="10247" width="12.28515625" style="991" bestFit="1" customWidth="1"/>
    <col min="10248" max="10248" width="8.140625" style="991" bestFit="1" customWidth="1"/>
    <col min="10249" max="10249" width="9.140625" style="991"/>
    <col min="10250" max="10251" width="8.140625" style="991" bestFit="1" customWidth="1"/>
    <col min="10252" max="10496" width="9.140625" style="991"/>
    <col min="10497" max="10497" width="4.42578125" style="991" bestFit="1" customWidth="1"/>
    <col min="10498" max="10498" width="37.42578125" style="991" bestFit="1" customWidth="1"/>
    <col min="10499" max="10499" width="6.28515625" style="991" bestFit="1" customWidth="1"/>
    <col min="10500" max="10500" width="12.28515625" style="991" customWidth="1"/>
    <col min="10501" max="10501" width="10.85546875" style="991" bestFit="1" customWidth="1"/>
    <col min="10502" max="10502" width="15.5703125" style="991" bestFit="1" customWidth="1"/>
    <col min="10503" max="10503" width="12.28515625" style="991" bestFit="1" customWidth="1"/>
    <col min="10504" max="10504" width="8.140625" style="991" bestFit="1" customWidth="1"/>
    <col min="10505" max="10505" width="9.140625" style="991"/>
    <col min="10506" max="10507" width="8.140625" style="991" bestFit="1" customWidth="1"/>
    <col min="10508" max="10752" width="9.140625" style="991"/>
    <col min="10753" max="10753" width="4.42578125" style="991" bestFit="1" customWidth="1"/>
    <col min="10754" max="10754" width="37.42578125" style="991" bestFit="1" customWidth="1"/>
    <col min="10755" max="10755" width="6.28515625" style="991" bestFit="1" customWidth="1"/>
    <col min="10756" max="10756" width="12.28515625" style="991" customWidth="1"/>
    <col min="10757" max="10757" width="10.85546875" style="991" bestFit="1" customWidth="1"/>
    <col min="10758" max="10758" width="15.5703125" style="991" bestFit="1" customWidth="1"/>
    <col min="10759" max="10759" width="12.28515625" style="991" bestFit="1" customWidth="1"/>
    <col min="10760" max="10760" width="8.140625" style="991" bestFit="1" customWidth="1"/>
    <col min="10761" max="10761" width="9.140625" style="991"/>
    <col min="10762" max="10763" width="8.140625" style="991" bestFit="1" customWidth="1"/>
    <col min="10764" max="11008" width="9.140625" style="991"/>
    <col min="11009" max="11009" width="4.42578125" style="991" bestFit="1" customWidth="1"/>
    <col min="11010" max="11010" width="37.42578125" style="991" bestFit="1" customWidth="1"/>
    <col min="11011" max="11011" width="6.28515625" style="991" bestFit="1" customWidth="1"/>
    <col min="11012" max="11012" width="12.28515625" style="991" customWidth="1"/>
    <col min="11013" max="11013" width="10.85546875" style="991" bestFit="1" customWidth="1"/>
    <col min="11014" max="11014" width="15.5703125" style="991" bestFit="1" customWidth="1"/>
    <col min="11015" max="11015" width="12.28515625" style="991" bestFit="1" customWidth="1"/>
    <col min="11016" max="11016" width="8.140625" style="991" bestFit="1" customWidth="1"/>
    <col min="11017" max="11017" width="9.140625" style="991"/>
    <col min="11018" max="11019" width="8.140625" style="991" bestFit="1" customWidth="1"/>
    <col min="11020" max="11264" width="9.140625" style="991"/>
    <col min="11265" max="11265" width="4.42578125" style="991" bestFit="1" customWidth="1"/>
    <col min="11266" max="11266" width="37.42578125" style="991" bestFit="1" customWidth="1"/>
    <col min="11267" max="11267" width="6.28515625" style="991" bestFit="1" customWidth="1"/>
    <col min="11268" max="11268" width="12.28515625" style="991" customWidth="1"/>
    <col min="11269" max="11269" width="10.85546875" style="991" bestFit="1" customWidth="1"/>
    <col min="11270" max="11270" width="15.5703125" style="991" bestFit="1" customWidth="1"/>
    <col min="11271" max="11271" width="12.28515625" style="991" bestFit="1" customWidth="1"/>
    <col min="11272" max="11272" width="8.140625" style="991" bestFit="1" customWidth="1"/>
    <col min="11273" max="11273" width="9.140625" style="991"/>
    <col min="11274" max="11275" width="8.140625" style="991" bestFit="1" customWidth="1"/>
    <col min="11276" max="11520" width="9.140625" style="991"/>
    <col min="11521" max="11521" width="4.42578125" style="991" bestFit="1" customWidth="1"/>
    <col min="11522" max="11522" width="37.42578125" style="991" bestFit="1" customWidth="1"/>
    <col min="11523" max="11523" width="6.28515625" style="991" bestFit="1" customWidth="1"/>
    <col min="11524" max="11524" width="12.28515625" style="991" customWidth="1"/>
    <col min="11525" max="11525" width="10.85546875" style="991" bestFit="1" customWidth="1"/>
    <col min="11526" max="11526" width="15.5703125" style="991" bestFit="1" customWidth="1"/>
    <col min="11527" max="11527" width="12.28515625" style="991" bestFit="1" customWidth="1"/>
    <col min="11528" max="11528" width="8.140625" style="991" bestFit="1" customWidth="1"/>
    <col min="11529" max="11529" width="9.140625" style="991"/>
    <col min="11530" max="11531" width="8.140625" style="991" bestFit="1" customWidth="1"/>
    <col min="11532" max="11776" width="9.140625" style="991"/>
    <col min="11777" max="11777" width="4.42578125" style="991" bestFit="1" customWidth="1"/>
    <col min="11778" max="11778" width="37.42578125" style="991" bestFit="1" customWidth="1"/>
    <col min="11779" max="11779" width="6.28515625" style="991" bestFit="1" customWidth="1"/>
    <col min="11780" max="11780" width="12.28515625" style="991" customWidth="1"/>
    <col min="11781" max="11781" width="10.85546875" style="991" bestFit="1" customWidth="1"/>
    <col min="11782" max="11782" width="15.5703125" style="991" bestFit="1" customWidth="1"/>
    <col min="11783" max="11783" width="12.28515625" style="991" bestFit="1" customWidth="1"/>
    <col min="11784" max="11784" width="8.140625" style="991" bestFit="1" customWidth="1"/>
    <col min="11785" max="11785" width="9.140625" style="991"/>
    <col min="11786" max="11787" width="8.140625" style="991" bestFit="1" customWidth="1"/>
    <col min="11788" max="12032" width="9.140625" style="991"/>
    <col min="12033" max="12033" width="4.42578125" style="991" bestFit="1" customWidth="1"/>
    <col min="12034" max="12034" width="37.42578125" style="991" bestFit="1" customWidth="1"/>
    <col min="12035" max="12035" width="6.28515625" style="991" bestFit="1" customWidth="1"/>
    <col min="12036" max="12036" width="12.28515625" style="991" customWidth="1"/>
    <col min="12037" max="12037" width="10.85546875" style="991" bestFit="1" customWidth="1"/>
    <col min="12038" max="12038" width="15.5703125" style="991" bestFit="1" customWidth="1"/>
    <col min="12039" max="12039" width="12.28515625" style="991" bestFit="1" customWidth="1"/>
    <col min="12040" max="12040" width="8.140625" style="991" bestFit="1" customWidth="1"/>
    <col min="12041" max="12041" width="9.140625" style="991"/>
    <col min="12042" max="12043" width="8.140625" style="991" bestFit="1" customWidth="1"/>
    <col min="12044" max="12288" width="9.140625" style="991"/>
    <col min="12289" max="12289" width="4.42578125" style="991" bestFit="1" customWidth="1"/>
    <col min="12290" max="12290" width="37.42578125" style="991" bestFit="1" customWidth="1"/>
    <col min="12291" max="12291" width="6.28515625" style="991" bestFit="1" customWidth="1"/>
    <col min="12292" max="12292" width="12.28515625" style="991" customWidth="1"/>
    <col min="12293" max="12293" width="10.85546875" style="991" bestFit="1" customWidth="1"/>
    <col min="12294" max="12294" width="15.5703125" style="991" bestFit="1" customWidth="1"/>
    <col min="12295" max="12295" width="12.28515625" style="991" bestFit="1" customWidth="1"/>
    <col min="12296" max="12296" width="8.140625" style="991" bestFit="1" customWidth="1"/>
    <col min="12297" max="12297" width="9.140625" style="991"/>
    <col min="12298" max="12299" width="8.140625" style="991" bestFit="1" customWidth="1"/>
    <col min="12300" max="12544" width="9.140625" style="991"/>
    <col min="12545" max="12545" width="4.42578125" style="991" bestFit="1" customWidth="1"/>
    <col min="12546" max="12546" width="37.42578125" style="991" bestFit="1" customWidth="1"/>
    <col min="12547" max="12547" width="6.28515625" style="991" bestFit="1" customWidth="1"/>
    <col min="12548" max="12548" width="12.28515625" style="991" customWidth="1"/>
    <col min="12549" max="12549" width="10.85546875" style="991" bestFit="1" customWidth="1"/>
    <col min="12550" max="12550" width="15.5703125" style="991" bestFit="1" customWidth="1"/>
    <col min="12551" max="12551" width="12.28515625" style="991" bestFit="1" customWidth="1"/>
    <col min="12552" max="12552" width="8.140625" style="991" bestFit="1" customWidth="1"/>
    <col min="12553" max="12553" width="9.140625" style="991"/>
    <col min="12554" max="12555" width="8.140625" style="991" bestFit="1" customWidth="1"/>
    <col min="12556" max="12800" width="9.140625" style="991"/>
    <col min="12801" max="12801" width="4.42578125" style="991" bestFit="1" customWidth="1"/>
    <col min="12802" max="12802" width="37.42578125" style="991" bestFit="1" customWidth="1"/>
    <col min="12803" max="12803" width="6.28515625" style="991" bestFit="1" customWidth="1"/>
    <col min="12804" max="12804" width="12.28515625" style="991" customWidth="1"/>
    <col min="12805" max="12805" width="10.85546875" style="991" bestFit="1" customWidth="1"/>
    <col min="12806" max="12806" width="15.5703125" style="991" bestFit="1" customWidth="1"/>
    <col min="12807" max="12807" width="12.28515625" style="991" bestFit="1" customWidth="1"/>
    <col min="12808" max="12808" width="8.140625" style="991" bestFit="1" customWidth="1"/>
    <col min="12809" max="12809" width="9.140625" style="991"/>
    <col min="12810" max="12811" width="8.140625" style="991" bestFit="1" customWidth="1"/>
    <col min="12812" max="13056" width="9.140625" style="991"/>
    <col min="13057" max="13057" width="4.42578125" style="991" bestFit="1" customWidth="1"/>
    <col min="13058" max="13058" width="37.42578125" style="991" bestFit="1" customWidth="1"/>
    <col min="13059" max="13059" width="6.28515625" style="991" bestFit="1" customWidth="1"/>
    <col min="13060" max="13060" width="12.28515625" style="991" customWidth="1"/>
    <col min="13061" max="13061" width="10.85546875" style="991" bestFit="1" customWidth="1"/>
    <col min="13062" max="13062" width="15.5703125" style="991" bestFit="1" customWidth="1"/>
    <col min="13063" max="13063" width="12.28515625" style="991" bestFit="1" customWidth="1"/>
    <col min="13064" max="13064" width="8.140625" style="991" bestFit="1" customWidth="1"/>
    <col min="13065" max="13065" width="9.140625" style="991"/>
    <col min="13066" max="13067" width="8.140625" style="991" bestFit="1" customWidth="1"/>
    <col min="13068" max="13312" width="9.140625" style="991"/>
    <col min="13313" max="13313" width="4.42578125" style="991" bestFit="1" customWidth="1"/>
    <col min="13314" max="13314" width="37.42578125" style="991" bestFit="1" customWidth="1"/>
    <col min="13315" max="13315" width="6.28515625" style="991" bestFit="1" customWidth="1"/>
    <col min="13316" max="13316" width="12.28515625" style="991" customWidth="1"/>
    <col min="13317" max="13317" width="10.85546875" style="991" bestFit="1" customWidth="1"/>
    <col min="13318" max="13318" width="15.5703125" style="991" bestFit="1" customWidth="1"/>
    <col min="13319" max="13319" width="12.28515625" style="991" bestFit="1" customWidth="1"/>
    <col min="13320" max="13320" width="8.140625" style="991" bestFit="1" customWidth="1"/>
    <col min="13321" max="13321" width="9.140625" style="991"/>
    <col min="13322" max="13323" width="8.140625" style="991" bestFit="1" customWidth="1"/>
    <col min="13324" max="13568" width="9.140625" style="991"/>
    <col min="13569" max="13569" width="4.42578125" style="991" bestFit="1" customWidth="1"/>
    <col min="13570" max="13570" width="37.42578125" style="991" bestFit="1" customWidth="1"/>
    <col min="13571" max="13571" width="6.28515625" style="991" bestFit="1" customWidth="1"/>
    <col min="13572" max="13572" width="12.28515625" style="991" customWidth="1"/>
    <col min="13573" max="13573" width="10.85546875" style="991" bestFit="1" customWidth="1"/>
    <col min="13574" max="13574" width="15.5703125" style="991" bestFit="1" customWidth="1"/>
    <col min="13575" max="13575" width="12.28515625" style="991" bestFit="1" customWidth="1"/>
    <col min="13576" max="13576" width="8.140625" style="991" bestFit="1" customWidth="1"/>
    <col min="13577" max="13577" width="9.140625" style="991"/>
    <col min="13578" max="13579" width="8.140625" style="991" bestFit="1" customWidth="1"/>
    <col min="13580" max="13824" width="9.140625" style="991"/>
    <col min="13825" max="13825" width="4.42578125" style="991" bestFit="1" customWidth="1"/>
    <col min="13826" max="13826" width="37.42578125" style="991" bestFit="1" customWidth="1"/>
    <col min="13827" max="13827" width="6.28515625" style="991" bestFit="1" customWidth="1"/>
    <col min="13828" max="13828" width="12.28515625" style="991" customWidth="1"/>
    <col min="13829" max="13829" width="10.85546875" style="991" bestFit="1" customWidth="1"/>
    <col min="13830" max="13830" width="15.5703125" style="991" bestFit="1" customWidth="1"/>
    <col min="13831" max="13831" width="12.28515625" style="991" bestFit="1" customWidth="1"/>
    <col min="13832" max="13832" width="8.140625" style="991" bestFit="1" customWidth="1"/>
    <col min="13833" max="13833" width="9.140625" style="991"/>
    <col min="13834" max="13835" width="8.140625" style="991" bestFit="1" customWidth="1"/>
    <col min="13836" max="14080" width="9.140625" style="991"/>
    <col min="14081" max="14081" width="4.42578125" style="991" bestFit="1" customWidth="1"/>
    <col min="14082" max="14082" width="37.42578125" style="991" bestFit="1" customWidth="1"/>
    <col min="14083" max="14083" width="6.28515625" style="991" bestFit="1" customWidth="1"/>
    <col min="14084" max="14084" width="12.28515625" style="991" customWidth="1"/>
    <col min="14085" max="14085" width="10.85546875" style="991" bestFit="1" customWidth="1"/>
    <col min="14086" max="14086" width="15.5703125" style="991" bestFit="1" customWidth="1"/>
    <col min="14087" max="14087" width="12.28515625" style="991" bestFit="1" customWidth="1"/>
    <col min="14088" max="14088" width="8.140625" style="991" bestFit="1" customWidth="1"/>
    <col min="14089" max="14089" width="9.140625" style="991"/>
    <col min="14090" max="14091" width="8.140625" style="991" bestFit="1" customWidth="1"/>
    <col min="14092" max="14336" width="9.140625" style="991"/>
    <col min="14337" max="14337" width="4.42578125" style="991" bestFit="1" customWidth="1"/>
    <col min="14338" max="14338" width="37.42578125" style="991" bestFit="1" customWidth="1"/>
    <col min="14339" max="14339" width="6.28515625" style="991" bestFit="1" customWidth="1"/>
    <col min="14340" max="14340" width="12.28515625" style="991" customWidth="1"/>
    <col min="14341" max="14341" width="10.85546875" style="991" bestFit="1" customWidth="1"/>
    <col min="14342" max="14342" width="15.5703125" style="991" bestFit="1" customWidth="1"/>
    <col min="14343" max="14343" width="12.28515625" style="991" bestFit="1" customWidth="1"/>
    <col min="14344" max="14344" width="8.140625" style="991" bestFit="1" customWidth="1"/>
    <col min="14345" max="14345" width="9.140625" style="991"/>
    <col min="14346" max="14347" width="8.140625" style="991" bestFit="1" customWidth="1"/>
    <col min="14348" max="14592" width="9.140625" style="991"/>
    <col min="14593" max="14593" width="4.42578125" style="991" bestFit="1" customWidth="1"/>
    <col min="14594" max="14594" width="37.42578125" style="991" bestFit="1" customWidth="1"/>
    <col min="14595" max="14595" width="6.28515625" style="991" bestFit="1" customWidth="1"/>
    <col min="14596" max="14596" width="12.28515625" style="991" customWidth="1"/>
    <col min="14597" max="14597" width="10.85546875" style="991" bestFit="1" customWidth="1"/>
    <col min="14598" max="14598" width="15.5703125" style="991" bestFit="1" customWidth="1"/>
    <col min="14599" max="14599" width="12.28515625" style="991" bestFit="1" customWidth="1"/>
    <col min="14600" max="14600" width="8.140625" style="991" bestFit="1" customWidth="1"/>
    <col min="14601" max="14601" width="9.140625" style="991"/>
    <col min="14602" max="14603" width="8.140625" style="991" bestFit="1" customWidth="1"/>
    <col min="14604" max="14848" width="9.140625" style="991"/>
    <col min="14849" max="14849" width="4.42578125" style="991" bestFit="1" customWidth="1"/>
    <col min="14850" max="14850" width="37.42578125" style="991" bestFit="1" customWidth="1"/>
    <col min="14851" max="14851" width="6.28515625" style="991" bestFit="1" customWidth="1"/>
    <col min="14852" max="14852" width="12.28515625" style="991" customWidth="1"/>
    <col min="14853" max="14853" width="10.85546875" style="991" bestFit="1" customWidth="1"/>
    <col min="14854" max="14854" width="15.5703125" style="991" bestFit="1" customWidth="1"/>
    <col min="14855" max="14855" width="12.28515625" style="991" bestFit="1" customWidth="1"/>
    <col min="14856" max="14856" width="8.140625" style="991" bestFit="1" customWidth="1"/>
    <col min="14857" max="14857" width="9.140625" style="991"/>
    <col min="14858" max="14859" width="8.140625" style="991" bestFit="1" customWidth="1"/>
    <col min="14860" max="15104" width="9.140625" style="991"/>
    <col min="15105" max="15105" width="4.42578125" style="991" bestFit="1" customWidth="1"/>
    <col min="15106" max="15106" width="37.42578125" style="991" bestFit="1" customWidth="1"/>
    <col min="15107" max="15107" width="6.28515625" style="991" bestFit="1" customWidth="1"/>
    <col min="15108" max="15108" width="12.28515625" style="991" customWidth="1"/>
    <col min="15109" max="15109" width="10.85546875" style="991" bestFit="1" customWidth="1"/>
    <col min="15110" max="15110" width="15.5703125" style="991" bestFit="1" customWidth="1"/>
    <col min="15111" max="15111" width="12.28515625" style="991" bestFit="1" customWidth="1"/>
    <col min="15112" max="15112" width="8.140625" style="991" bestFit="1" customWidth="1"/>
    <col min="15113" max="15113" width="9.140625" style="991"/>
    <col min="15114" max="15115" width="8.140625" style="991" bestFit="1" customWidth="1"/>
    <col min="15116" max="15360" width="9.140625" style="991"/>
    <col min="15361" max="15361" width="4.42578125" style="991" bestFit="1" customWidth="1"/>
    <col min="15362" max="15362" width="37.42578125" style="991" bestFit="1" customWidth="1"/>
    <col min="15363" max="15363" width="6.28515625" style="991" bestFit="1" customWidth="1"/>
    <col min="15364" max="15364" width="12.28515625" style="991" customWidth="1"/>
    <col min="15365" max="15365" width="10.85546875" style="991" bestFit="1" customWidth="1"/>
    <col min="15366" max="15366" width="15.5703125" style="991" bestFit="1" customWidth="1"/>
    <col min="15367" max="15367" width="12.28515625" style="991" bestFit="1" customWidth="1"/>
    <col min="15368" max="15368" width="8.140625" style="991" bestFit="1" customWidth="1"/>
    <col min="15369" max="15369" width="9.140625" style="991"/>
    <col min="15370" max="15371" width="8.140625" style="991" bestFit="1" customWidth="1"/>
    <col min="15372" max="15616" width="9.140625" style="991"/>
    <col min="15617" max="15617" width="4.42578125" style="991" bestFit="1" customWidth="1"/>
    <col min="15618" max="15618" width="37.42578125" style="991" bestFit="1" customWidth="1"/>
    <col min="15619" max="15619" width="6.28515625" style="991" bestFit="1" customWidth="1"/>
    <col min="15620" max="15620" width="12.28515625" style="991" customWidth="1"/>
    <col min="15621" max="15621" width="10.85546875" style="991" bestFit="1" customWidth="1"/>
    <col min="15622" max="15622" width="15.5703125" style="991" bestFit="1" customWidth="1"/>
    <col min="15623" max="15623" width="12.28515625" style="991" bestFit="1" customWidth="1"/>
    <col min="15624" max="15624" width="8.140625" style="991" bestFit="1" customWidth="1"/>
    <col min="15625" max="15625" width="9.140625" style="991"/>
    <col min="15626" max="15627" width="8.140625" style="991" bestFit="1" customWidth="1"/>
    <col min="15628" max="15872" width="9.140625" style="991"/>
    <col min="15873" max="15873" width="4.42578125" style="991" bestFit="1" customWidth="1"/>
    <col min="15874" max="15874" width="37.42578125" style="991" bestFit="1" customWidth="1"/>
    <col min="15875" max="15875" width="6.28515625" style="991" bestFit="1" customWidth="1"/>
    <col min="15876" max="15876" width="12.28515625" style="991" customWidth="1"/>
    <col min="15877" max="15877" width="10.85546875" style="991" bestFit="1" customWidth="1"/>
    <col min="15878" max="15878" width="15.5703125" style="991" bestFit="1" customWidth="1"/>
    <col min="15879" max="15879" width="12.28515625" style="991" bestFit="1" customWidth="1"/>
    <col min="15880" max="15880" width="8.140625" style="991" bestFit="1" customWidth="1"/>
    <col min="15881" max="15881" width="9.140625" style="991"/>
    <col min="15882" max="15883" width="8.140625" style="991" bestFit="1" customWidth="1"/>
    <col min="15884" max="16128" width="9.140625" style="991"/>
    <col min="16129" max="16129" width="4.42578125" style="991" bestFit="1" customWidth="1"/>
    <col min="16130" max="16130" width="37.42578125" style="991" bestFit="1" customWidth="1"/>
    <col min="16131" max="16131" width="6.28515625" style="991" bestFit="1" customWidth="1"/>
    <col min="16132" max="16132" width="12.28515625" style="991" customWidth="1"/>
    <col min="16133" max="16133" width="10.85546875" style="991" bestFit="1" customWidth="1"/>
    <col min="16134" max="16134" width="15.5703125" style="991" bestFit="1" customWidth="1"/>
    <col min="16135" max="16135" width="12.28515625" style="991" bestFit="1" customWidth="1"/>
    <col min="16136" max="16136" width="8.140625" style="991" bestFit="1" customWidth="1"/>
    <col min="16137" max="16137" width="9.140625" style="991"/>
    <col min="16138" max="16139" width="8.140625" style="991" bestFit="1" customWidth="1"/>
    <col min="16140" max="16384" width="9.140625" style="991"/>
  </cols>
  <sheetData>
    <row r="1" spans="1:11">
      <c r="C1" s="991" t="s">
        <v>1935</v>
      </c>
      <c r="G1" s="1387" t="s">
        <v>1020</v>
      </c>
    </row>
    <row r="5" spans="1:11" s="1002" customFormat="1" ht="18" customHeight="1">
      <c r="A5" s="1028" t="s">
        <v>97</v>
      </c>
      <c r="B5" s="1029" t="s">
        <v>64</v>
      </c>
      <c r="C5" s="1028" t="s">
        <v>100</v>
      </c>
      <c r="D5" s="1028" t="s">
        <v>3</v>
      </c>
      <c r="E5" s="1027" t="s">
        <v>1</v>
      </c>
      <c r="F5" s="1026" t="s">
        <v>4</v>
      </c>
      <c r="H5" s="1003"/>
      <c r="J5" s="1003"/>
    </row>
    <row r="6" spans="1:11" s="1002" customFormat="1" ht="18" customHeight="1">
      <c r="A6" s="1005" t="s">
        <v>109</v>
      </c>
      <c r="B6" s="1006" t="s">
        <v>1934</v>
      </c>
      <c r="C6" s="1005"/>
      <c r="D6" s="1016"/>
      <c r="E6" s="1004"/>
      <c r="F6" s="1004">
        <f>F7+F26+F46+F71</f>
        <v>19169880000</v>
      </c>
      <c r="H6" s="1003"/>
      <c r="J6" s="1003"/>
    </row>
    <row r="7" spans="1:11" s="1002" customFormat="1" ht="18" customHeight="1">
      <c r="A7" s="1005" t="s">
        <v>480</v>
      </c>
      <c r="B7" s="1006" t="s">
        <v>1929</v>
      </c>
      <c r="C7" s="1005"/>
      <c r="D7" s="1016"/>
      <c r="E7" s="1004"/>
      <c r="F7" s="1004">
        <f>SUM(F8:F25)</f>
        <v>12227410000</v>
      </c>
      <c r="H7" s="1003"/>
      <c r="J7" s="1003"/>
    </row>
    <row r="8" spans="1:11" s="1002" customFormat="1" ht="18" customHeight="1">
      <c r="A8" s="1013">
        <v>1</v>
      </c>
      <c r="B8" s="1012" t="s">
        <v>1928</v>
      </c>
      <c r="C8" s="1011" t="s">
        <v>11</v>
      </c>
      <c r="D8" s="1010">
        <v>12823</v>
      </c>
      <c r="E8" s="1009">
        <v>60000</v>
      </c>
      <c r="F8" s="1007">
        <f t="shared" ref="F8:F25" si="0">E8*D8</f>
        <v>769380000</v>
      </c>
      <c r="H8" s="1003">
        <f t="shared" ref="H8:H13" si="1">E8+15</f>
        <v>60015</v>
      </c>
      <c r="I8" s="1021"/>
      <c r="J8" s="1003">
        <f t="shared" ref="J8:J25" si="2">D8*1.2</f>
        <v>15387.599999999999</v>
      </c>
      <c r="K8" s="1003">
        <f t="shared" ref="K8:K13" si="3">E8-10</f>
        <v>59990</v>
      </c>
    </row>
    <row r="9" spans="1:11" s="1002" customFormat="1" ht="18" customHeight="1">
      <c r="A9" s="1013">
        <v>2</v>
      </c>
      <c r="B9" s="1012" t="s">
        <v>1927</v>
      </c>
      <c r="C9" s="1011" t="s">
        <v>11</v>
      </c>
      <c r="D9" s="1010">
        <v>12391</v>
      </c>
      <c r="E9" s="1009">
        <v>60000</v>
      </c>
      <c r="F9" s="1007">
        <f t="shared" si="0"/>
        <v>743460000</v>
      </c>
      <c r="H9" s="1003">
        <f t="shared" si="1"/>
        <v>60015</v>
      </c>
      <c r="I9" s="1021"/>
      <c r="J9" s="1003">
        <f t="shared" si="2"/>
        <v>14869.199999999999</v>
      </c>
      <c r="K9" s="1003">
        <f t="shared" si="3"/>
        <v>59990</v>
      </c>
    </row>
    <row r="10" spans="1:11" s="1002" customFormat="1" ht="18" customHeight="1">
      <c r="A10" s="1013">
        <v>3</v>
      </c>
      <c r="B10" s="1012" t="s">
        <v>1926</v>
      </c>
      <c r="C10" s="1011" t="s">
        <v>11</v>
      </c>
      <c r="D10" s="1010">
        <v>13990</v>
      </c>
      <c r="E10" s="1009">
        <v>60000</v>
      </c>
      <c r="F10" s="1007">
        <f t="shared" si="0"/>
        <v>839400000</v>
      </c>
      <c r="H10" s="1003">
        <f t="shared" si="1"/>
        <v>60015</v>
      </c>
      <c r="I10" s="1021"/>
      <c r="J10" s="1003">
        <f t="shared" si="2"/>
        <v>16788</v>
      </c>
      <c r="K10" s="1003">
        <f t="shared" si="3"/>
        <v>59990</v>
      </c>
    </row>
    <row r="11" spans="1:11" s="1002" customFormat="1" ht="18" customHeight="1">
      <c r="A11" s="1013">
        <v>4</v>
      </c>
      <c r="B11" s="1012" t="s">
        <v>1925</v>
      </c>
      <c r="C11" s="1011" t="s">
        <v>11</v>
      </c>
      <c r="D11" s="1010">
        <v>10520</v>
      </c>
      <c r="E11" s="1009">
        <v>50000</v>
      </c>
      <c r="F11" s="1007">
        <f t="shared" si="0"/>
        <v>526000000</v>
      </c>
      <c r="H11" s="1003">
        <f t="shared" si="1"/>
        <v>50015</v>
      </c>
      <c r="I11" s="1021"/>
      <c r="J11" s="1003">
        <f t="shared" si="2"/>
        <v>12624</v>
      </c>
      <c r="K11" s="1003">
        <f t="shared" si="3"/>
        <v>49990</v>
      </c>
    </row>
    <row r="12" spans="1:11" s="1002" customFormat="1" ht="18" customHeight="1">
      <c r="A12" s="1013">
        <v>5</v>
      </c>
      <c r="B12" s="1012" t="s">
        <v>1924</v>
      </c>
      <c r="C12" s="1011" t="s">
        <v>11</v>
      </c>
      <c r="D12" s="1010">
        <v>10550</v>
      </c>
      <c r="E12" s="1009">
        <v>50000</v>
      </c>
      <c r="F12" s="1007">
        <f t="shared" si="0"/>
        <v>527500000</v>
      </c>
      <c r="H12" s="1003">
        <f t="shared" si="1"/>
        <v>50015</v>
      </c>
      <c r="I12" s="1021"/>
      <c r="J12" s="1003">
        <f t="shared" si="2"/>
        <v>12660</v>
      </c>
      <c r="K12" s="1003">
        <f t="shared" si="3"/>
        <v>49990</v>
      </c>
    </row>
    <row r="13" spans="1:11" s="1002" customFormat="1" ht="18" customHeight="1">
      <c r="A13" s="1013">
        <v>6</v>
      </c>
      <c r="B13" s="1012" t="s">
        <v>1923</v>
      </c>
      <c r="C13" s="1011" t="s">
        <v>11</v>
      </c>
      <c r="D13" s="1010">
        <v>13638</v>
      </c>
      <c r="E13" s="1009">
        <v>50000</v>
      </c>
      <c r="F13" s="1007">
        <f t="shared" si="0"/>
        <v>681900000</v>
      </c>
      <c r="H13" s="1003">
        <f t="shared" si="1"/>
        <v>50015</v>
      </c>
      <c r="I13" s="1021"/>
      <c r="J13" s="1003">
        <f t="shared" si="2"/>
        <v>16365.599999999999</v>
      </c>
      <c r="K13" s="1003">
        <f t="shared" si="3"/>
        <v>49990</v>
      </c>
    </row>
    <row r="14" spans="1:11" s="1002" customFormat="1" ht="18" customHeight="1">
      <c r="A14" s="1013">
        <v>7</v>
      </c>
      <c r="B14" s="1012" t="s">
        <v>1922</v>
      </c>
      <c r="C14" s="1011" t="s">
        <v>11</v>
      </c>
      <c r="D14" s="1010">
        <v>13790</v>
      </c>
      <c r="E14" s="1009">
        <v>60000</v>
      </c>
      <c r="F14" s="1007">
        <f t="shared" si="0"/>
        <v>827400000</v>
      </c>
      <c r="H14" s="1003"/>
      <c r="I14" s="1021"/>
      <c r="J14" s="1003">
        <f t="shared" si="2"/>
        <v>16548</v>
      </c>
      <c r="K14" s="1003"/>
    </row>
    <row r="15" spans="1:11" s="1002" customFormat="1" ht="18" customHeight="1">
      <c r="A15" s="1013">
        <v>8</v>
      </c>
      <c r="B15" s="1012" t="s">
        <v>1921</v>
      </c>
      <c r="C15" s="1011" t="s">
        <v>11</v>
      </c>
      <c r="D15" s="1010">
        <v>13830</v>
      </c>
      <c r="E15" s="1009">
        <v>60000</v>
      </c>
      <c r="F15" s="1007">
        <f t="shared" si="0"/>
        <v>829800000</v>
      </c>
      <c r="H15" s="1003"/>
      <c r="I15" s="1021"/>
      <c r="J15" s="1003">
        <f t="shared" si="2"/>
        <v>16596</v>
      </c>
      <c r="K15" s="1003"/>
    </row>
    <row r="16" spans="1:11" s="1002" customFormat="1" ht="18" customHeight="1">
      <c r="A16" s="1013">
        <v>9</v>
      </c>
      <c r="B16" s="1012" t="s">
        <v>1920</v>
      </c>
      <c r="C16" s="1011" t="s">
        <v>11</v>
      </c>
      <c r="D16" s="1010">
        <v>14649</v>
      </c>
      <c r="E16" s="1009">
        <v>50000</v>
      </c>
      <c r="F16" s="1007">
        <f t="shared" si="0"/>
        <v>732450000</v>
      </c>
      <c r="H16" s="1003"/>
      <c r="I16" s="1021"/>
      <c r="J16" s="1003">
        <f t="shared" si="2"/>
        <v>17578.8</v>
      </c>
      <c r="K16" s="1003"/>
    </row>
    <row r="17" spans="1:11" s="1002" customFormat="1" ht="18" customHeight="1">
      <c r="A17" s="1013">
        <v>10</v>
      </c>
      <c r="B17" s="1012" t="s">
        <v>1919</v>
      </c>
      <c r="C17" s="1011" t="s">
        <v>11</v>
      </c>
      <c r="D17" s="1010">
        <v>13542</v>
      </c>
      <c r="E17" s="1009">
        <v>40000</v>
      </c>
      <c r="F17" s="1007">
        <f t="shared" si="0"/>
        <v>541680000</v>
      </c>
      <c r="H17" s="1003"/>
      <c r="I17" s="1021"/>
      <c r="J17" s="1003">
        <f t="shared" si="2"/>
        <v>16250.4</v>
      </c>
      <c r="K17" s="1003"/>
    </row>
    <row r="18" spans="1:11" s="1002" customFormat="1" ht="18" customHeight="1">
      <c r="A18" s="1013">
        <v>11</v>
      </c>
      <c r="B18" s="1012" t="s">
        <v>1918</v>
      </c>
      <c r="C18" s="1011" t="s">
        <v>11</v>
      </c>
      <c r="D18" s="1010">
        <v>12326</v>
      </c>
      <c r="E18" s="1009">
        <v>50000</v>
      </c>
      <c r="F18" s="1007">
        <f t="shared" si="0"/>
        <v>616300000</v>
      </c>
      <c r="H18" s="1003"/>
      <c r="I18" s="1021"/>
      <c r="J18" s="1003">
        <f t="shared" si="2"/>
        <v>14791.199999999999</v>
      </c>
      <c r="K18" s="1003"/>
    </row>
    <row r="19" spans="1:11" s="1002" customFormat="1" ht="18" customHeight="1">
      <c r="A19" s="1013">
        <v>12</v>
      </c>
      <c r="B19" s="1012" t="s">
        <v>1917</v>
      </c>
      <c r="C19" s="1011" t="s">
        <v>11</v>
      </c>
      <c r="D19" s="1010">
        <v>12990</v>
      </c>
      <c r="E19" s="1009">
        <v>60000</v>
      </c>
      <c r="F19" s="1007">
        <f t="shared" si="0"/>
        <v>779400000</v>
      </c>
      <c r="H19" s="1003"/>
      <c r="I19" s="1021"/>
      <c r="J19" s="1003">
        <f t="shared" si="2"/>
        <v>15588</v>
      </c>
      <c r="K19" s="1003"/>
    </row>
    <row r="20" spans="1:11" s="1002" customFormat="1" ht="18" customHeight="1">
      <c r="A20" s="1013">
        <v>13</v>
      </c>
      <c r="B20" s="1012" t="s">
        <v>1916</v>
      </c>
      <c r="C20" s="1011" t="s">
        <v>11</v>
      </c>
      <c r="D20" s="1010">
        <v>18779</v>
      </c>
      <c r="E20" s="1009">
        <v>40000</v>
      </c>
      <c r="F20" s="1007">
        <f t="shared" si="0"/>
        <v>751160000</v>
      </c>
      <c r="H20" s="1003"/>
      <c r="I20" s="1021"/>
      <c r="J20" s="1003">
        <f t="shared" si="2"/>
        <v>22534.799999999999</v>
      </c>
      <c r="K20" s="1003"/>
    </row>
    <row r="21" spans="1:11" s="1002" customFormat="1" ht="18" customHeight="1">
      <c r="A21" s="1013">
        <v>14</v>
      </c>
      <c r="B21" s="1012" t="s">
        <v>1915</v>
      </c>
      <c r="C21" s="1011" t="s">
        <v>11</v>
      </c>
      <c r="D21" s="1010">
        <v>12316</v>
      </c>
      <c r="E21" s="1009">
        <v>60000</v>
      </c>
      <c r="F21" s="1007">
        <f t="shared" si="0"/>
        <v>738960000</v>
      </c>
      <c r="H21" s="1003"/>
      <c r="I21" s="1021"/>
      <c r="J21" s="1003">
        <f t="shared" si="2"/>
        <v>14779.199999999999</v>
      </c>
      <c r="K21" s="1003"/>
    </row>
    <row r="22" spans="1:11" s="1002" customFormat="1" ht="18" customHeight="1">
      <c r="A22" s="1013">
        <v>15</v>
      </c>
      <c r="B22" s="1012" t="s">
        <v>1914</v>
      </c>
      <c r="C22" s="1011" t="s">
        <v>11</v>
      </c>
      <c r="D22" s="1010">
        <v>19240</v>
      </c>
      <c r="E22" s="1009">
        <v>30000</v>
      </c>
      <c r="F22" s="1007">
        <f t="shared" si="0"/>
        <v>577200000</v>
      </c>
      <c r="H22" s="1003"/>
      <c r="I22" s="1021"/>
      <c r="J22" s="1003">
        <f t="shared" si="2"/>
        <v>23088</v>
      </c>
      <c r="K22" s="1003"/>
    </row>
    <row r="23" spans="1:11" s="1002" customFormat="1" ht="18" customHeight="1">
      <c r="A23" s="1013">
        <v>16</v>
      </c>
      <c r="B23" s="1012" t="s">
        <v>1913</v>
      </c>
      <c r="C23" s="1011" t="s">
        <v>11</v>
      </c>
      <c r="D23" s="1010">
        <v>25830</v>
      </c>
      <c r="E23" s="1009">
        <v>30000</v>
      </c>
      <c r="F23" s="1007">
        <f t="shared" si="0"/>
        <v>774900000</v>
      </c>
      <c r="H23" s="1003"/>
      <c r="I23" s="1021"/>
      <c r="J23" s="1003">
        <f t="shared" si="2"/>
        <v>30996</v>
      </c>
      <c r="K23" s="1003"/>
    </row>
    <row r="24" spans="1:11" s="1002" customFormat="1" ht="18" customHeight="1">
      <c r="A24" s="1013">
        <v>17</v>
      </c>
      <c r="B24" s="1012" t="s">
        <v>1912</v>
      </c>
      <c r="C24" s="1011" t="s">
        <v>11</v>
      </c>
      <c r="D24" s="1010">
        <v>14009</v>
      </c>
      <c r="E24" s="1009">
        <v>30000</v>
      </c>
      <c r="F24" s="1007">
        <f t="shared" si="0"/>
        <v>420270000</v>
      </c>
      <c r="H24" s="1003"/>
      <c r="I24" s="1021"/>
      <c r="J24" s="1003">
        <f t="shared" si="2"/>
        <v>16810.8</v>
      </c>
      <c r="K24" s="1003"/>
    </row>
    <row r="25" spans="1:11" s="1002" customFormat="1" ht="18" customHeight="1">
      <c r="A25" s="1013">
        <v>18</v>
      </c>
      <c r="B25" s="1012" t="s">
        <v>1911</v>
      </c>
      <c r="C25" s="1011" t="s">
        <v>11</v>
      </c>
      <c r="D25" s="1010">
        <v>11005</v>
      </c>
      <c r="E25" s="1009">
        <v>50000</v>
      </c>
      <c r="F25" s="1007">
        <f t="shared" si="0"/>
        <v>550250000</v>
      </c>
      <c r="H25" s="1003"/>
      <c r="I25" s="1021"/>
      <c r="J25" s="1003">
        <f t="shared" si="2"/>
        <v>13206</v>
      </c>
      <c r="K25" s="1003"/>
    </row>
    <row r="26" spans="1:11" s="1022" customFormat="1" ht="18" customHeight="1">
      <c r="A26" s="1005" t="s">
        <v>485</v>
      </c>
      <c r="B26" s="1015" t="s">
        <v>1910</v>
      </c>
      <c r="C26" s="2338"/>
      <c r="D26" s="1014"/>
      <c r="E26" s="1025"/>
      <c r="F26" s="1004">
        <f>SUM(F27:F45)</f>
        <v>3070650000</v>
      </c>
      <c r="H26" s="1023"/>
      <c r="I26" s="1024"/>
      <c r="J26" s="1023"/>
      <c r="K26" s="1023"/>
    </row>
    <row r="27" spans="1:11" s="1002" customFormat="1" ht="18" customHeight="1">
      <c r="A27" s="1013">
        <v>19</v>
      </c>
      <c r="B27" s="1012" t="s">
        <v>1909</v>
      </c>
      <c r="C27" s="1011" t="s">
        <v>11</v>
      </c>
      <c r="D27" s="1010">
        <v>5500</v>
      </c>
      <c r="E27" s="1009">
        <v>30000</v>
      </c>
      <c r="F27" s="1007">
        <f t="shared" ref="F27:F45" si="4">E27*D27</f>
        <v>165000000</v>
      </c>
      <c r="H27" s="1003"/>
      <c r="I27" s="1021"/>
      <c r="J27" s="1003"/>
      <c r="K27" s="1003"/>
    </row>
    <row r="28" spans="1:11" s="1002" customFormat="1" ht="18" customHeight="1">
      <c r="A28" s="1013">
        <v>20</v>
      </c>
      <c r="B28" s="1012" t="s">
        <v>1908</v>
      </c>
      <c r="C28" s="1011" t="s">
        <v>11</v>
      </c>
      <c r="D28" s="1010">
        <v>9100</v>
      </c>
      <c r="E28" s="1009">
        <v>25000</v>
      </c>
      <c r="F28" s="1007">
        <f t="shared" si="4"/>
        <v>227500000</v>
      </c>
      <c r="H28" s="1003"/>
      <c r="I28" s="1021"/>
      <c r="J28" s="1003"/>
      <c r="K28" s="1003"/>
    </row>
    <row r="29" spans="1:11" s="1002" customFormat="1" ht="18" customHeight="1">
      <c r="A29" s="1013">
        <v>21</v>
      </c>
      <c r="B29" s="1012" t="s">
        <v>1907</v>
      </c>
      <c r="C29" s="1011" t="s">
        <v>11</v>
      </c>
      <c r="D29" s="1010">
        <v>8600</v>
      </c>
      <c r="E29" s="1009">
        <v>20000</v>
      </c>
      <c r="F29" s="1007">
        <f t="shared" si="4"/>
        <v>172000000</v>
      </c>
      <c r="H29" s="1003"/>
      <c r="I29" s="1021"/>
      <c r="J29" s="1003"/>
      <c r="K29" s="1003"/>
    </row>
    <row r="30" spans="1:11" s="1002" customFormat="1" ht="18" customHeight="1">
      <c r="A30" s="1013">
        <v>22</v>
      </c>
      <c r="B30" s="1012" t="s">
        <v>1906</v>
      </c>
      <c r="C30" s="1011" t="s">
        <v>11</v>
      </c>
      <c r="D30" s="1010">
        <v>8700</v>
      </c>
      <c r="E30" s="1009">
        <v>30000</v>
      </c>
      <c r="F30" s="1007">
        <f t="shared" si="4"/>
        <v>261000000</v>
      </c>
      <c r="H30" s="1003"/>
      <c r="I30" s="1021"/>
      <c r="J30" s="1003"/>
      <c r="K30" s="1003"/>
    </row>
    <row r="31" spans="1:11" s="1002" customFormat="1" ht="18" customHeight="1">
      <c r="A31" s="1013">
        <v>23</v>
      </c>
      <c r="B31" s="1012" t="s">
        <v>1905</v>
      </c>
      <c r="C31" s="1011" t="s">
        <v>11</v>
      </c>
      <c r="D31" s="1010">
        <v>5100</v>
      </c>
      <c r="E31" s="1009">
        <v>30000</v>
      </c>
      <c r="F31" s="1007">
        <f t="shared" si="4"/>
        <v>153000000</v>
      </c>
      <c r="H31" s="1003"/>
      <c r="I31" s="1021"/>
      <c r="J31" s="1003"/>
      <c r="K31" s="1003"/>
    </row>
    <row r="32" spans="1:11" s="1002" customFormat="1" ht="18" customHeight="1">
      <c r="A32" s="1013">
        <v>24</v>
      </c>
      <c r="B32" s="1012" t="s">
        <v>1904</v>
      </c>
      <c r="C32" s="1011" t="s">
        <v>11</v>
      </c>
      <c r="D32" s="1010">
        <v>8700</v>
      </c>
      <c r="E32" s="1009">
        <v>20000</v>
      </c>
      <c r="F32" s="1007">
        <f t="shared" si="4"/>
        <v>174000000</v>
      </c>
      <c r="H32" s="1003"/>
      <c r="I32" s="1021"/>
      <c r="J32" s="1003"/>
      <c r="K32" s="1003"/>
    </row>
    <row r="33" spans="1:11" s="1002" customFormat="1" ht="18" customHeight="1">
      <c r="A33" s="1013">
        <v>25</v>
      </c>
      <c r="B33" s="1012" t="s">
        <v>1903</v>
      </c>
      <c r="C33" s="1011" t="s">
        <v>11</v>
      </c>
      <c r="D33" s="1010">
        <v>4400</v>
      </c>
      <c r="E33" s="1009">
        <v>25000</v>
      </c>
      <c r="F33" s="1007">
        <f t="shared" si="4"/>
        <v>110000000</v>
      </c>
      <c r="H33" s="1003"/>
      <c r="I33" s="1021"/>
      <c r="J33" s="1003"/>
      <c r="K33" s="1003"/>
    </row>
    <row r="34" spans="1:11" s="1002" customFormat="1" ht="18" customHeight="1">
      <c r="A34" s="1013">
        <v>26</v>
      </c>
      <c r="B34" s="1012" t="s">
        <v>1902</v>
      </c>
      <c r="C34" s="1011" t="s">
        <v>11</v>
      </c>
      <c r="D34" s="1010">
        <v>8000</v>
      </c>
      <c r="E34" s="1009">
        <v>15000</v>
      </c>
      <c r="F34" s="1007">
        <f t="shared" si="4"/>
        <v>120000000</v>
      </c>
      <c r="H34" s="1003"/>
      <c r="I34" s="1021"/>
      <c r="J34" s="1003"/>
      <c r="K34" s="1003"/>
    </row>
    <row r="35" spans="1:11" s="1002" customFormat="1" ht="18" customHeight="1">
      <c r="A35" s="1013">
        <v>27</v>
      </c>
      <c r="B35" s="1012" t="s">
        <v>1901</v>
      </c>
      <c r="C35" s="1011" t="s">
        <v>11</v>
      </c>
      <c r="D35" s="1010">
        <v>5150</v>
      </c>
      <c r="E35" s="1009">
        <v>25000</v>
      </c>
      <c r="F35" s="1007">
        <f t="shared" si="4"/>
        <v>128750000</v>
      </c>
      <c r="H35" s="1003"/>
      <c r="I35" s="1021"/>
      <c r="J35" s="1003"/>
      <c r="K35" s="1003"/>
    </row>
    <row r="36" spans="1:11" s="1002" customFormat="1" ht="18" customHeight="1">
      <c r="A36" s="1013">
        <v>28</v>
      </c>
      <c r="B36" s="1012" t="s">
        <v>1900</v>
      </c>
      <c r="C36" s="1011" t="s">
        <v>11</v>
      </c>
      <c r="D36" s="1010">
        <v>9500</v>
      </c>
      <c r="E36" s="1009">
        <v>15000</v>
      </c>
      <c r="F36" s="1007">
        <f t="shared" si="4"/>
        <v>142500000</v>
      </c>
      <c r="H36" s="1003"/>
      <c r="I36" s="1021"/>
      <c r="J36" s="1003"/>
      <c r="K36" s="1003"/>
    </row>
    <row r="37" spans="1:11" s="1002" customFormat="1" ht="18" customHeight="1">
      <c r="A37" s="1013">
        <v>29</v>
      </c>
      <c r="B37" s="1012" t="s">
        <v>1899</v>
      </c>
      <c r="C37" s="1011" t="s">
        <v>11</v>
      </c>
      <c r="D37" s="1010">
        <v>8000</v>
      </c>
      <c r="E37" s="1009">
        <v>20000</v>
      </c>
      <c r="F37" s="1007">
        <f t="shared" si="4"/>
        <v>160000000</v>
      </c>
      <c r="H37" s="1003"/>
      <c r="I37" s="1021"/>
      <c r="J37" s="1003"/>
      <c r="K37" s="1003"/>
    </row>
    <row r="38" spans="1:11" s="1002" customFormat="1" ht="18" customHeight="1">
      <c r="A38" s="1013">
        <v>30</v>
      </c>
      <c r="B38" s="1012" t="s">
        <v>1898</v>
      </c>
      <c r="C38" s="1011" t="s">
        <v>11</v>
      </c>
      <c r="D38" s="1010">
        <v>8100</v>
      </c>
      <c r="E38" s="1009">
        <v>20000</v>
      </c>
      <c r="F38" s="1007">
        <f t="shared" si="4"/>
        <v>162000000</v>
      </c>
      <c r="H38" s="1003"/>
      <c r="I38" s="1021"/>
      <c r="J38" s="1003"/>
      <c r="K38" s="1003"/>
    </row>
    <row r="39" spans="1:11" s="1002" customFormat="1" ht="18" customHeight="1">
      <c r="A39" s="1013">
        <v>31</v>
      </c>
      <c r="B39" s="1012" t="s">
        <v>1897</v>
      </c>
      <c r="C39" s="1011" t="s">
        <v>11</v>
      </c>
      <c r="D39" s="1010">
        <v>8900</v>
      </c>
      <c r="E39" s="1009">
        <v>20000</v>
      </c>
      <c r="F39" s="1007">
        <f t="shared" si="4"/>
        <v>178000000</v>
      </c>
      <c r="H39" s="1003"/>
      <c r="I39" s="1021"/>
      <c r="J39" s="1003"/>
      <c r="K39" s="1003"/>
    </row>
    <row r="40" spans="1:11" s="1002" customFormat="1" ht="18" customHeight="1">
      <c r="A40" s="1013">
        <v>32</v>
      </c>
      <c r="B40" s="1012" t="s">
        <v>1896</v>
      </c>
      <c r="C40" s="1011" t="s">
        <v>11</v>
      </c>
      <c r="D40" s="1010">
        <v>10300</v>
      </c>
      <c r="E40" s="1009">
        <v>15000</v>
      </c>
      <c r="F40" s="1007">
        <f t="shared" si="4"/>
        <v>154500000</v>
      </c>
      <c r="H40" s="1003"/>
      <c r="I40" s="1021"/>
      <c r="J40" s="1003"/>
      <c r="K40" s="1003"/>
    </row>
    <row r="41" spans="1:11" s="1002" customFormat="1" ht="18" customHeight="1">
      <c r="A41" s="1013">
        <v>33</v>
      </c>
      <c r="B41" s="1012" t="s">
        <v>1895</v>
      </c>
      <c r="C41" s="1011" t="s">
        <v>11</v>
      </c>
      <c r="D41" s="1010">
        <v>5250</v>
      </c>
      <c r="E41" s="1009">
        <v>30000</v>
      </c>
      <c r="F41" s="1007">
        <f t="shared" si="4"/>
        <v>157500000</v>
      </c>
      <c r="H41" s="1003"/>
      <c r="I41" s="1021"/>
      <c r="J41" s="1003"/>
      <c r="K41" s="1003"/>
    </row>
    <row r="42" spans="1:11" s="1002" customFormat="1" ht="18" customHeight="1">
      <c r="A42" s="1013">
        <v>34</v>
      </c>
      <c r="B42" s="1012" t="s">
        <v>1894</v>
      </c>
      <c r="C42" s="1011" t="s">
        <v>11</v>
      </c>
      <c r="D42" s="1010">
        <v>5760</v>
      </c>
      <c r="E42" s="1009">
        <v>30000</v>
      </c>
      <c r="F42" s="1007">
        <f t="shared" si="4"/>
        <v>172800000</v>
      </c>
      <c r="H42" s="1003"/>
      <c r="I42" s="1021"/>
      <c r="J42" s="1003"/>
      <c r="K42" s="1003"/>
    </row>
    <row r="43" spans="1:11" s="1002" customFormat="1" ht="18" customHeight="1">
      <c r="A43" s="1013">
        <v>35</v>
      </c>
      <c r="B43" s="1012" t="s">
        <v>1893</v>
      </c>
      <c r="C43" s="1011" t="s">
        <v>11</v>
      </c>
      <c r="D43" s="1010">
        <v>8680</v>
      </c>
      <c r="E43" s="1009">
        <v>25000</v>
      </c>
      <c r="F43" s="1007">
        <f t="shared" si="4"/>
        <v>217000000</v>
      </c>
      <c r="H43" s="1003"/>
      <c r="I43" s="1021"/>
      <c r="J43" s="1003"/>
      <c r="K43" s="1003"/>
    </row>
    <row r="44" spans="1:11" s="1002" customFormat="1" ht="18" customHeight="1">
      <c r="A44" s="1013">
        <v>36</v>
      </c>
      <c r="B44" s="1012" t="s">
        <v>1892</v>
      </c>
      <c r="C44" s="1011" t="s">
        <v>11</v>
      </c>
      <c r="D44" s="1010">
        <v>4120</v>
      </c>
      <c r="E44" s="1009">
        <v>30000</v>
      </c>
      <c r="F44" s="1007">
        <f t="shared" si="4"/>
        <v>123600000</v>
      </c>
      <c r="H44" s="1003"/>
      <c r="I44" s="1021"/>
      <c r="J44" s="1003"/>
      <c r="K44" s="1003"/>
    </row>
    <row r="45" spans="1:11" s="1002" customFormat="1" ht="18" customHeight="1">
      <c r="A45" s="1013">
        <v>37</v>
      </c>
      <c r="B45" s="1012" t="s">
        <v>1891</v>
      </c>
      <c r="C45" s="1011" t="s">
        <v>11</v>
      </c>
      <c r="D45" s="1010">
        <v>3050</v>
      </c>
      <c r="E45" s="1009">
        <v>30000</v>
      </c>
      <c r="F45" s="1007">
        <f t="shared" si="4"/>
        <v>91500000</v>
      </c>
      <c r="H45" s="1003"/>
      <c r="I45" s="1021"/>
      <c r="J45" s="1003"/>
      <c r="K45" s="1003"/>
    </row>
    <row r="46" spans="1:11" s="1022" customFormat="1" ht="18" customHeight="1">
      <c r="A46" s="1005" t="s">
        <v>489</v>
      </c>
      <c r="B46" s="1015" t="s">
        <v>1890</v>
      </c>
      <c r="C46" s="2338"/>
      <c r="D46" s="1014"/>
      <c r="E46" s="1025"/>
      <c r="F46" s="1004">
        <f>SUM(F47:F67)</f>
        <v>2066820000</v>
      </c>
      <c r="H46" s="1023"/>
      <c r="I46" s="1024"/>
      <c r="J46" s="1023"/>
      <c r="K46" s="1023"/>
    </row>
    <row r="47" spans="1:11" s="1002" customFormat="1" ht="18" customHeight="1">
      <c r="A47" s="1013">
        <v>38</v>
      </c>
      <c r="B47" s="1012" t="s">
        <v>1889</v>
      </c>
      <c r="C47" s="1011" t="s">
        <v>1870</v>
      </c>
      <c r="D47" s="1010">
        <v>6100</v>
      </c>
      <c r="E47" s="1009">
        <v>15000</v>
      </c>
      <c r="F47" s="1007">
        <f t="shared" ref="F47:F67" si="5">E47*D47</f>
        <v>91500000</v>
      </c>
      <c r="H47" s="1003"/>
      <c r="I47" s="1021"/>
      <c r="J47" s="1003"/>
      <c r="K47" s="1003"/>
    </row>
    <row r="48" spans="1:11" s="1002" customFormat="1" ht="18" customHeight="1">
      <c r="A48" s="1013">
        <v>39</v>
      </c>
      <c r="B48" s="1012" t="s">
        <v>1888</v>
      </c>
      <c r="C48" s="1011" t="s">
        <v>396</v>
      </c>
      <c r="D48" s="1010">
        <v>25000</v>
      </c>
      <c r="E48" s="1009">
        <v>5000</v>
      </c>
      <c r="F48" s="1007">
        <f t="shared" si="5"/>
        <v>125000000</v>
      </c>
      <c r="H48" s="1003"/>
      <c r="I48" s="1021"/>
      <c r="J48" s="1003"/>
      <c r="K48" s="1003"/>
    </row>
    <row r="49" spans="1:11" s="1002" customFormat="1" ht="18" customHeight="1">
      <c r="A49" s="1013">
        <v>40</v>
      </c>
      <c r="B49" s="1012" t="s">
        <v>1887</v>
      </c>
      <c r="C49" s="1011" t="s">
        <v>396</v>
      </c>
      <c r="D49" s="1010">
        <v>14500</v>
      </c>
      <c r="E49" s="1009">
        <v>8000</v>
      </c>
      <c r="F49" s="1007">
        <f t="shared" si="5"/>
        <v>116000000</v>
      </c>
      <c r="H49" s="1003"/>
      <c r="I49" s="1021"/>
      <c r="J49" s="1003"/>
      <c r="K49" s="1003"/>
    </row>
    <row r="50" spans="1:11" s="1002" customFormat="1" ht="18" customHeight="1">
      <c r="A50" s="1013">
        <v>41</v>
      </c>
      <c r="B50" s="1012" t="s">
        <v>1886</v>
      </c>
      <c r="C50" s="1011" t="s">
        <v>1870</v>
      </c>
      <c r="D50" s="1010">
        <v>4000</v>
      </c>
      <c r="E50" s="1009">
        <v>20000</v>
      </c>
      <c r="F50" s="1007">
        <f t="shared" si="5"/>
        <v>80000000</v>
      </c>
      <c r="H50" s="1003"/>
      <c r="I50" s="1021"/>
      <c r="J50" s="1003"/>
      <c r="K50" s="1003"/>
    </row>
    <row r="51" spans="1:11" s="1002" customFormat="1" ht="18" customHeight="1">
      <c r="A51" s="1013">
        <v>42</v>
      </c>
      <c r="B51" s="1012" t="s">
        <v>1885</v>
      </c>
      <c r="C51" s="1011" t="s">
        <v>1870</v>
      </c>
      <c r="D51" s="1010">
        <v>45479</v>
      </c>
      <c r="E51" s="1009">
        <v>5000</v>
      </c>
      <c r="F51" s="1007">
        <f t="shared" si="5"/>
        <v>227395000</v>
      </c>
      <c r="H51" s="1003"/>
      <c r="I51" s="1021"/>
      <c r="J51" s="1003"/>
      <c r="K51" s="1003"/>
    </row>
    <row r="52" spans="1:11" s="1002" customFormat="1" ht="18" customHeight="1">
      <c r="A52" s="1013">
        <v>43</v>
      </c>
      <c r="B52" s="1012" t="s">
        <v>1884</v>
      </c>
      <c r="C52" s="1011" t="s">
        <v>1870</v>
      </c>
      <c r="D52" s="1010">
        <v>1600</v>
      </c>
      <c r="E52" s="1009">
        <v>15000</v>
      </c>
      <c r="F52" s="1007">
        <f t="shared" si="5"/>
        <v>24000000</v>
      </c>
      <c r="H52" s="1003"/>
      <c r="I52" s="1021"/>
      <c r="J52" s="1003"/>
      <c r="K52" s="1003"/>
    </row>
    <row r="53" spans="1:11" s="1002" customFormat="1" ht="18" customHeight="1">
      <c r="A53" s="1013">
        <v>44</v>
      </c>
      <c r="B53" s="1012" t="s">
        <v>1883</v>
      </c>
      <c r="C53" s="1011" t="s">
        <v>1870</v>
      </c>
      <c r="D53" s="1010">
        <v>3900</v>
      </c>
      <c r="E53" s="1009">
        <v>20000</v>
      </c>
      <c r="F53" s="1007">
        <f t="shared" si="5"/>
        <v>78000000</v>
      </c>
      <c r="H53" s="1003"/>
      <c r="I53" s="1021"/>
      <c r="J53" s="1003"/>
      <c r="K53" s="1003"/>
    </row>
    <row r="54" spans="1:11" s="1002" customFormat="1" ht="18" customHeight="1">
      <c r="A54" s="1013">
        <v>45</v>
      </c>
      <c r="B54" s="1012" t="s">
        <v>1882</v>
      </c>
      <c r="C54" s="1011" t="s">
        <v>1870</v>
      </c>
      <c r="D54" s="1010">
        <v>11967</v>
      </c>
      <c r="E54" s="1009">
        <v>10000</v>
      </c>
      <c r="F54" s="1007">
        <f t="shared" si="5"/>
        <v>119670000</v>
      </c>
      <c r="H54" s="1003"/>
      <c r="I54" s="1021"/>
      <c r="J54" s="1003"/>
      <c r="K54" s="1003"/>
    </row>
    <row r="55" spans="1:11" s="1002" customFormat="1" ht="18" customHeight="1">
      <c r="A55" s="1013">
        <v>46</v>
      </c>
      <c r="B55" s="1012" t="s">
        <v>1881</v>
      </c>
      <c r="C55" s="1011" t="s">
        <v>1870</v>
      </c>
      <c r="D55" s="1010">
        <v>19700</v>
      </c>
      <c r="E55" s="1009">
        <v>15000</v>
      </c>
      <c r="F55" s="1007">
        <f t="shared" si="5"/>
        <v>295500000</v>
      </c>
      <c r="H55" s="1003"/>
      <c r="I55" s="1021"/>
      <c r="J55" s="1003"/>
      <c r="K55" s="1003"/>
    </row>
    <row r="56" spans="1:11" s="1002" customFormat="1" ht="18" customHeight="1">
      <c r="A56" s="1013">
        <v>47</v>
      </c>
      <c r="B56" s="1012" t="s">
        <v>1880</v>
      </c>
      <c r="C56" s="1011" t="s">
        <v>1870</v>
      </c>
      <c r="D56" s="1010">
        <v>2500</v>
      </c>
      <c r="E56" s="1009">
        <v>10000</v>
      </c>
      <c r="F56" s="1007">
        <f t="shared" si="5"/>
        <v>25000000</v>
      </c>
      <c r="H56" s="1003"/>
      <c r="I56" s="1021"/>
      <c r="J56" s="1003"/>
      <c r="K56" s="1003"/>
    </row>
    <row r="57" spans="1:11" s="1002" customFormat="1" ht="18" customHeight="1">
      <c r="A57" s="1013">
        <v>48</v>
      </c>
      <c r="B57" s="1012" t="s">
        <v>1879</v>
      </c>
      <c r="C57" s="1011" t="s">
        <v>1870</v>
      </c>
      <c r="D57" s="1010">
        <v>5700</v>
      </c>
      <c r="E57" s="1009">
        <v>15000</v>
      </c>
      <c r="F57" s="1007">
        <f t="shared" si="5"/>
        <v>85500000</v>
      </c>
      <c r="H57" s="1003"/>
      <c r="I57" s="1021"/>
      <c r="J57" s="1003"/>
      <c r="K57" s="1003"/>
    </row>
    <row r="58" spans="1:11" s="1002" customFormat="1" ht="18" customHeight="1">
      <c r="A58" s="1013">
        <v>49</v>
      </c>
      <c r="B58" s="1012" t="s">
        <v>1878</v>
      </c>
      <c r="C58" s="1011" t="s">
        <v>1870</v>
      </c>
      <c r="D58" s="1010">
        <v>2300</v>
      </c>
      <c r="E58" s="1009">
        <v>10000</v>
      </c>
      <c r="F58" s="1007">
        <f t="shared" si="5"/>
        <v>23000000</v>
      </c>
      <c r="H58" s="1003"/>
      <c r="I58" s="1021"/>
      <c r="J58" s="1003"/>
      <c r="K58" s="1003"/>
    </row>
    <row r="59" spans="1:11" s="1002" customFormat="1" ht="18" customHeight="1">
      <c r="A59" s="1013">
        <v>50</v>
      </c>
      <c r="B59" s="1012" t="s">
        <v>1877</v>
      </c>
      <c r="C59" s="1011" t="s">
        <v>1870</v>
      </c>
      <c r="D59" s="1010">
        <v>950</v>
      </c>
      <c r="E59" s="1009">
        <v>20000</v>
      </c>
      <c r="F59" s="1007">
        <f t="shared" si="5"/>
        <v>19000000</v>
      </c>
      <c r="H59" s="1003"/>
      <c r="I59" s="1021"/>
      <c r="J59" s="1003"/>
      <c r="K59" s="1003"/>
    </row>
    <row r="60" spans="1:11" s="1002" customFormat="1" ht="18" customHeight="1">
      <c r="A60" s="1013">
        <v>51</v>
      </c>
      <c r="B60" s="1012" t="s">
        <v>1876</v>
      </c>
      <c r="C60" s="1011" t="s">
        <v>396</v>
      </c>
      <c r="D60" s="1010">
        <v>12000</v>
      </c>
      <c r="E60" s="1009">
        <v>10000</v>
      </c>
      <c r="F60" s="1007">
        <f t="shared" si="5"/>
        <v>120000000</v>
      </c>
      <c r="H60" s="1003"/>
      <c r="I60" s="1021"/>
      <c r="J60" s="1003"/>
      <c r="K60" s="1003"/>
    </row>
    <row r="61" spans="1:11" s="1002" customFormat="1" ht="18" customHeight="1">
      <c r="A61" s="1013">
        <v>52</v>
      </c>
      <c r="B61" s="1012" t="s">
        <v>1875</v>
      </c>
      <c r="C61" s="1011" t="s">
        <v>396</v>
      </c>
      <c r="D61" s="1010">
        <v>14500</v>
      </c>
      <c r="E61" s="1009">
        <v>5000</v>
      </c>
      <c r="F61" s="1007">
        <f t="shared" si="5"/>
        <v>72500000</v>
      </c>
      <c r="H61" s="1003"/>
      <c r="I61" s="1021"/>
      <c r="J61" s="1003"/>
      <c r="K61" s="1003"/>
    </row>
    <row r="62" spans="1:11" s="1002" customFormat="1" ht="18" customHeight="1">
      <c r="A62" s="1013">
        <v>53</v>
      </c>
      <c r="B62" s="1012" t="s">
        <v>1874</v>
      </c>
      <c r="C62" s="1011" t="s">
        <v>1870</v>
      </c>
      <c r="D62" s="1010">
        <v>4500</v>
      </c>
      <c r="E62" s="1009">
        <v>20000</v>
      </c>
      <c r="F62" s="1007">
        <f t="shared" si="5"/>
        <v>90000000</v>
      </c>
      <c r="H62" s="1003"/>
      <c r="I62" s="1021"/>
      <c r="J62" s="1003"/>
      <c r="K62" s="1003"/>
    </row>
    <row r="63" spans="1:11" s="1002" customFormat="1" ht="18" customHeight="1">
      <c r="A63" s="1013">
        <v>54</v>
      </c>
      <c r="B63" s="1012" t="s">
        <v>1873</v>
      </c>
      <c r="C63" s="1011" t="s">
        <v>1870</v>
      </c>
      <c r="D63" s="1010">
        <v>1200</v>
      </c>
      <c r="E63" s="1009">
        <v>15000</v>
      </c>
      <c r="F63" s="1007">
        <f t="shared" si="5"/>
        <v>18000000</v>
      </c>
      <c r="H63" s="1003"/>
      <c r="I63" s="1021"/>
      <c r="J63" s="1003"/>
      <c r="K63" s="1003"/>
    </row>
    <row r="64" spans="1:11" s="1002" customFormat="1" ht="18" customHeight="1">
      <c r="A64" s="1013">
        <v>55</v>
      </c>
      <c r="B64" s="1012" t="s">
        <v>1872</v>
      </c>
      <c r="C64" s="1011" t="s">
        <v>396</v>
      </c>
      <c r="D64" s="1010">
        <v>9700</v>
      </c>
      <c r="E64" s="1009">
        <v>15000</v>
      </c>
      <c r="F64" s="1007">
        <f t="shared" si="5"/>
        <v>145500000</v>
      </c>
      <c r="H64" s="1003"/>
      <c r="I64" s="1021"/>
      <c r="J64" s="1003"/>
      <c r="K64" s="1003"/>
    </row>
    <row r="65" spans="1:11" s="1002" customFormat="1" ht="18" customHeight="1">
      <c r="A65" s="1013">
        <v>56</v>
      </c>
      <c r="B65" s="1012" t="s">
        <v>1871</v>
      </c>
      <c r="C65" s="1011" t="s">
        <v>1870</v>
      </c>
      <c r="D65" s="1010">
        <v>1350</v>
      </c>
      <c r="E65" s="1009">
        <v>20000</v>
      </c>
      <c r="F65" s="1007">
        <f t="shared" si="5"/>
        <v>27000000</v>
      </c>
      <c r="H65" s="1003"/>
      <c r="I65" s="1021"/>
      <c r="J65" s="1003"/>
      <c r="K65" s="1003"/>
    </row>
    <row r="66" spans="1:11" s="1002" customFormat="1" ht="18" customHeight="1">
      <c r="A66" s="1013">
        <v>57</v>
      </c>
      <c r="B66" s="1012" t="s">
        <v>1869</v>
      </c>
      <c r="C66" s="1011" t="s">
        <v>396</v>
      </c>
      <c r="D66" s="1010">
        <v>6617</v>
      </c>
      <c r="E66" s="1009">
        <v>15000</v>
      </c>
      <c r="F66" s="1007">
        <f t="shared" si="5"/>
        <v>99255000</v>
      </c>
      <c r="H66" s="1003"/>
      <c r="I66" s="1021"/>
      <c r="J66" s="1003"/>
      <c r="K66" s="1003"/>
    </row>
    <row r="67" spans="1:11" s="1002" customFormat="1" ht="18" customHeight="1">
      <c r="A67" s="1013">
        <v>58</v>
      </c>
      <c r="B67" s="1012" t="s">
        <v>1868</v>
      </c>
      <c r="C67" s="1011" t="s">
        <v>396</v>
      </c>
      <c r="D67" s="1010">
        <v>18500</v>
      </c>
      <c r="E67" s="1009">
        <v>10000</v>
      </c>
      <c r="F67" s="1007">
        <f t="shared" si="5"/>
        <v>185000000</v>
      </c>
      <c r="H67" s="1003"/>
      <c r="I67" s="1021"/>
      <c r="J67" s="1003"/>
      <c r="K67" s="1003"/>
    </row>
    <row r="68" spans="1:11" s="1002" customFormat="1" ht="18" customHeight="1">
      <c r="A68" s="2661" t="s">
        <v>1933</v>
      </c>
      <c r="B68" s="2661"/>
      <c r="C68" s="2661"/>
      <c r="D68" s="1008"/>
      <c r="E68" s="1007"/>
      <c r="F68" s="1004">
        <f>F7+F26+F46</f>
        <v>17364880000</v>
      </c>
      <c r="H68" s="1003"/>
      <c r="J68" s="1003"/>
    </row>
    <row r="69" spans="1:11" s="1002" customFormat="1" ht="18" customHeight="1">
      <c r="A69" s="2661"/>
      <c r="B69" s="2661"/>
      <c r="C69" s="2661"/>
      <c r="D69" s="1008"/>
      <c r="E69" s="1007"/>
      <c r="F69" s="1007"/>
      <c r="H69" s="1003"/>
      <c r="J69" s="1003"/>
    </row>
    <row r="70" spans="1:11" s="1002" customFormat="1" ht="18" customHeight="1">
      <c r="A70" s="2661"/>
      <c r="B70" s="2661"/>
      <c r="C70" s="2661"/>
      <c r="D70" s="1008"/>
      <c r="E70" s="1007"/>
      <c r="F70" s="1004">
        <f>F68-F69</f>
        <v>17364880000</v>
      </c>
      <c r="H70" s="1003"/>
      <c r="J70" s="1003"/>
    </row>
    <row r="71" spans="1:11" s="1002" customFormat="1" ht="18" customHeight="1">
      <c r="A71" s="1005" t="s">
        <v>485</v>
      </c>
      <c r="B71" s="1006" t="s">
        <v>217</v>
      </c>
      <c r="C71" s="1005"/>
      <c r="D71" s="1005"/>
      <c r="E71" s="1004"/>
      <c r="F71" s="1004">
        <f>SUM(F72:F77)</f>
        <v>1805000000</v>
      </c>
      <c r="H71" s="1003"/>
      <c r="J71" s="1003"/>
    </row>
    <row r="72" spans="1:11" s="1002" customFormat="1" ht="18" customHeight="1">
      <c r="A72" s="1013">
        <v>1</v>
      </c>
      <c r="B72" s="1019" t="s">
        <v>1932</v>
      </c>
      <c r="C72" s="1013" t="s">
        <v>358</v>
      </c>
      <c r="D72" s="1020">
        <v>60000000</v>
      </c>
      <c r="E72" s="1007">
        <v>12</v>
      </c>
      <c r="F72" s="1007">
        <f>D72*E72</f>
        <v>720000000</v>
      </c>
      <c r="H72" s="1003"/>
      <c r="J72" s="1003"/>
    </row>
    <row r="73" spans="1:11" s="1002" customFormat="1" ht="18" customHeight="1">
      <c r="A73" s="1013">
        <v>2</v>
      </c>
      <c r="B73" s="1019" t="s">
        <v>801</v>
      </c>
      <c r="C73" s="1013"/>
      <c r="D73" s="1008">
        <v>5500000000</v>
      </c>
      <c r="E73" s="1018">
        <v>7.0000000000000007E-2</v>
      </c>
      <c r="F73" s="1007">
        <f>D73*E73</f>
        <v>385000000.00000006</v>
      </c>
      <c r="H73" s="1003"/>
      <c r="J73" s="1003"/>
    </row>
    <row r="74" spans="1:11" s="1002" customFormat="1" ht="18" customHeight="1">
      <c r="A74" s="1013">
        <v>3</v>
      </c>
      <c r="B74" s="1019" t="s">
        <v>1931</v>
      </c>
      <c r="C74" s="1013" t="s">
        <v>504</v>
      </c>
      <c r="D74" s="1008"/>
      <c r="E74" s="1018"/>
      <c r="F74" s="1007">
        <v>160000000</v>
      </c>
      <c r="H74" s="1003"/>
      <c r="J74" s="1003"/>
    </row>
    <row r="75" spans="1:11" s="1002" customFormat="1" ht="18" customHeight="1">
      <c r="A75" s="1013">
        <v>4</v>
      </c>
      <c r="B75" s="1017" t="s">
        <v>1930</v>
      </c>
      <c r="C75" s="1013" t="s">
        <v>358</v>
      </c>
      <c r="D75" s="1013">
        <v>12</v>
      </c>
      <c r="E75" s="1007">
        <v>10000000</v>
      </c>
      <c r="F75" s="1007">
        <f>D75*E75</f>
        <v>120000000</v>
      </c>
      <c r="H75" s="1003"/>
      <c r="J75" s="1003"/>
    </row>
    <row r="76" spans="1:11" s="1002" customFormat="1" ht="18" customHeight="1">
      <c r="A76" s="1013">
        <v>5</v>
      </c>
      <c r="B76" s="1017" t="s">
        <v>802</v>
      </c>
      <c r="C76" s="1013" t="s">
        <v>74</v>
      </c>
      <c r="D76" s="1013">
        <v>12</v>
      </c>
      <c r="E76" s="1007">
        <v>30000000</v>
      </c>
      <c r="F76" s="1007">
        <f>D76*E76</f>
        <v>360000000</v>
      </c>
      <c r="H76" s="1003"/>
      <c r="J76" s="1003"/>
    </row>
    <row r="77" spans="1:11" s="1002" customFormat="1" ht="18" customHeight="1">
      <c r="A77" s="1013">
        <v>6</v>
      </c>
      <c r="B77" s="1017" t="s">
        <v>21</v>
      </c>
      <c r="C77" s="1013" t="s">
        <v>358</v>
      </c>
      <c r="D77" s="1013">
        <v>12</v>
      </c>
      <c r="E77" s="1007">
        <v>5000000</v>
      </c>
      <c r="F77" s="1007">
        <f>D77*E77</f>
        <v>60000000</v>
      </c>
      <c r="H77" s="1003"/>
      <c r="J77" s="1003"/>
    </row>
    <row r="78" spans="1:11" s="1002" customFormat="1" ht="18" customHeight="1">
      <c r="A78" s="1005" t="s">
        <v>116</v>
      </c>
      <c r="B78" s="1006" t="s">
        <v>23</v>
      </c>
      <c r="C78" s="1005"/>
      <c r="D78" s="1016"/>
      <c r="E78" s="1004"/>
      <c r="F78" s="1004">
        <f>F79+F98+F118</f>
        <v>21283600000</v>
      </c>
      <c r="H78" s="1003"/>
      <c r="J78" s="1003"/>
    </row>
    <row r="79" spans="1:11" s="1002" customFormat="1" ht="18" customHeight="1">
      <c r="A79" s="1005" t="s">
        <v>480</v>
      </c>
      <c r="B79" s="1006" t="s">
        <v>1929</v>
      </c>
      <c r="C79" s="1005"/>
      <c r="D79" s="1016"/>
      <c r="E79" s="1004"/>
      <c r="F79" s="1004">
        <f>SUM(F80:F97)</f>
        <v>14259000000</v>
      </c>
      <c r="H79" s="1003"/>
      <c r="J79" s="1003"/>
    </row>
    <row r="80" spans="1:11" s="1002" customFormat="1" ht="18" customHeight="1">
      <c r="A80" s="1013">
        <v>1</v>
      </c>
      <c r="B80" s="1012" t="s">
        <v>1928</v>
      </c>
      <c r="C80" s="1011" t="s">
        <v>11</v>
      </c>
      <c r="D80" s="1010">
        <v>1600</v>
      </c>
      <c r="E80" s="1009">
        <f t="shared" ref="E80:E111" si="6">E8</f>
        <v>60000</v>
      </c>
      <c r="F80" s="1007">
        <f t="shared" ref="F80:F97" si="7">E80*D80</f>
        <v>96000000</v>
      </c>
      <c r="H80" s="1003"/>
      <c r="J80" s="1003"/>
    </row>
    <row r="81" spans="1:10" s="1002" customFormat="1" ht="18" customHeight="1">
      <c r="A81" s="1013">
        <v>2</v>
      </c>
      <c r="B81" s="1012" t="s">
        <v>1927</v>
      </c>
      <c r="C81" s="1011" t="s">
        <v>11</v>
      </c>
      <c r="D81" s="1010">
        <v>15300</v>
      </c>
      <c r="E81" s="1009">
        <f t="shared" si="6"/>
        <v>60000</v>
      </c>
      <c r="F81" s="1007">
        <f t="shared" si="7"/>
        <v>918000000</v>
      </c>
      <c r="H81" s="1003"/>
      <c r="J81" s="1003"/>
    </row>
    <row r="82" spans="1:10" s="1002" customFormat="1" ht="18" customHeight="1">
      <c r="A82" s="1013">
        <v>3</v>
      </c>
      <c r="B82" s="1012" t="s">
        <v>1926</v>
      </c>
      <c r="C82" s="1011" t="s">
        <v>11</v>
      </c>
      <c r="D82" s="1010">
        <v>17200</v>
      </c>
      <c r="E82" s="1009">
        <f t="shared" si="6"/>
        <v>60000</v>
      </c>
      <c r="F82" s="1007">
        <f t="shared" si="7"/>
        <v>1032000000</v>
      </c>
      <c r="H82" s="1003"/>
      <c r="J82" s="1003"/>
    </row>
    <row r="83" spans="1:10" s="1002" customFormat="1" ht="18" customHeight="1">
      <c r="A83" s="1013">
        <v>4</v>
      </c>
      <c r="B83" s="1012" t="s">
        <v>1925</v>
      </c>
      <c r="C83" s="1011" t="s">
        <v>11</v>
      </c>
      <c r="D83" s="1010">
        <v>13000</v>
      </c>
      <c r="E83" s="1009">
        <f t="shared" si="6"/>
        <v>50000</v>
      </c>
      <c r="F83" s="1007">
        <f t="shared" si="7"/>
        <v>650000000</v>
      </c>
      <c r="H83" s="1003"/>
      <c r="J83" s="1003"/>
    </row>
    <row r="84" spans="1:10" s="1002" customFormat="1" ht="18" customHeight="1">
      <c r="A84" s="1013">
        <v>5</v>
      </c>
      <c r="B84" s="1012" t="s">
        <v>1924</v>
      </c>
      <c r="C84" s="1011" t="s">
        <v>11</v>
      </c>
      <c r="D84" s="1010">
        <v>13000</v>
      </c>
      <c r="E84" s="1009">
        <f t="shared" si="6"/>
        <v>50000</v>
      </c>
      <c r="F84" s="1007">
        <f t="shared" si="7"/>
        <v>650000000</v>
      </c>
      <c r="H84" s="1003"/>
      <c r="J84" s="1003"/>
    </row>
    <row r="85" spans="1:10" s="1002" customFormat="1" ht="18" customHeight="1">
      <c r="A85" s="1013">
        <v>6</v>
      </c>
      <c r="B85" s="1012" t="s">
        <v>1923</v>
      </c>
      <c r="C85" s="1011" t="s">
        <v>11</v>
      </c>
      <c r="D85" s="1010">
        <v>16900</v>
      </c>
      <c r="E85" s="1009">
        <f t="shared" si="6"/>
        <v>50000</v>
      </c>
      <c r="F85" s="1007">
        <f t="shared" si="7"/>
        <v>845000000</v>
      </c>
      <c r="H85" s="1003"/>
      <c r="J85" s="1003"/>
    </row>
    <row r="86" spans="1:10" s="1002" customFormat="1" ht="18" customHeight="1">
      <c r="A86" s="1013">
        <v>7</v>
      </c>
      <c r="B86" s="1012" t="s">
        <v>1922</v>
      </c>
      <c r="C86" s="1011" t="s">
        <v>11</v>
      </c>
      <c r="D86" s="1010">
        <v>17000</v>
      </c>
      <c r="E86" s="1009">
        <f t="shared" si="6"/>
        <v>60000</v>
      </c>
      <c r="F86" s="1007">
        <f t="shared" si="7"/>
        <v>1020000000</v>
      </c>
      <c r="H86" s="1003"/>
      <c r="J86" s="1003"/>
    </row>
    <row r="87" spans="1:10" s="1002" customFormat="1" ht="18" customHeight="1">
      <c r="A87" s="1013">
        <v>8</v>
      </c>
      <c r="B87" s="1012" t="s">
        <v>1921</v>
      </c>
      <c r="C87" s="1011" t="s">
        <v>11</v>
      </c>
      <c r="D87" s="1010">
        <v>17000</v>
      </c>
      <c r="E87" s="1009">
        <f t="shared" si="6"/>
        <v>60000</v>
      </c>
      <c r="F87" s="1007">
        <f t="shared" si="7"/>
        <v>1020000000</v>
      </c>
      <c r="H87" s="1003"/>
      <c r="J87" s="1003"/>
    </row>
    <row r="88" spans="1:10" s="1002" customFormat="1" ht="18" customHeight="1">
      <c r="A88" s="1013">
        <v>9</v>
      </c>
      <c r="B88" s="1012" t="s">
        <v>1920</v>
      </c>
      <c r="C88" s="1011" t="s">
        <v>11</v>
      </c>
      <c r="D88" s="1010">
        <v>18100</v>
      </c>
      <c r="E88" s="1009">
        <f t="shared" si="6"/>
        <v>50000</v>
      </c>
      <c r="F88" s="1007">
        <f t="shared" si="7"/>
        <v>905000000</v>
      </c>
      <c r="H88" s="1003"/>
      <c r="J88" s="1003"/>
    </row>
    <row r="89" spans="1:10" s="1002" customFormat="1" ht="18" customHeight="1">
      <c r="A89" s="1013">
        <v>10</v>
      </c>
      <c r="B89" s="1012" t="s">
        <v>1919</v>
      </c>
      <c r="C89" s="1011" t="s">
        <v>11</v>
      </c>
      <c r="D89" s="1010">
        <v>16900</v>
      </c>
      <c r="E89" s="1009">
        <f t="shared" si="6"/>
        <v>40000</v>
      </c>
      <c r="F89" s="1007">
        <f t="shared" si="7"/>
        <v>676000000</v>
      </c>
      <c r="H89" s="1003"/>
      <c r="J89" s="1003"/>
    </row>
    <row r="90" spans="1:10" s="1002" customFormat="1" ht="18" customHeight="1">
      <c r="A90" s="1013">
        <v>11</v>
      </c>
      <c r="B90" s="1012" t="s">
        <v>1918</v>
      </c>
      <c r="C90" s="1011" t="s">
        <v>11</v>
      </c>
      <c r="D90" s="1010">
        <v>15200</v>
      </c>
      <c r="E90" s="1009">
        <f t="shared" si="6"/>
        <v>50000</v>
      </c>
      <c r="F90" s="1007">
        <f t="shared" si="7"/>
        <v>760000000</v>
      </c>
      <c r="H90" s="1003"/>
      <c r="J90" s="1003"/>
    </row>
    <row r="91" spans="1:10" s="1002" customFormat="1" ht="18" customHeight="1">
      <c r="A91" s="1013">
        <v>12</v>
      </c>
      <c r="B91" s="1012" t="s">
        <v>1917</v>
      </c>
      <c r="C91" s="1011" t="s">
        <v>11</v>
      </c>
      <c r="D91" s="1010">
        <v>16200</v>
      </c>
      <c r="E91" s="1009">
        <f t="shared" si="6"/>
        <v>60000</v>
      </c>
      <c r="F91" s="1007">
        <f t="shared" si="7"/>
        <v>972000000</v>
      </c>
      <c r="H91" s="1003"/>
      <c r="J91" s="1003"/>
    </row>
    <row r="92" spans="1:10" s="1002" customFormat="1" ht="18" customHeight="1">
      <c r="A92" s="1013">
        <v>13</v>
      </c>
      <c r="B92" s="1012" t="s">
        <v>1916</v>
      </c>
      <c r="C92" s="1011" t="s">
        <v>11</v>
      </c>
      <c r="D92" s="1010">
        <v>23200</v>
      </c>
      <c r="E92" s="1009">
        <f t="shared" si="6"/>
        <v>40000</v>
      </c>
      <c r="F92" s="1007">
        <f t="shared" si="7"/>
        <v>928000000</v>
      </c>
      <c r="H92" s="1003"/>
      <c r="J92" s="1003"/>
    </row>
    <row r="93" spans="1:10" s="1002" customFormat="1" ht="18" customHeight="1">
      <c r="A93" s="1013">
        <v>14</v>
      </c>
      <c r="B93" s="1012" t="s">
        <v>1915</v>
      </c>
      <c r="C93" s="1011" t="s">
        <v>11</v>
      </c>
      <c r="D93" s="1010">
        <v>15100</v>
      </c>
      <c r="E93" s="1009">
        <f t="shared" si="6"/>
        <v>60000</v>
      </c>
      <c r="F93" s="1007">
        <f t="shared" si="7"/>
        <v>906000000</v>
      </c>
      <c r="H93" s="1003"/>
      <c r="J93" s="1003"/>
    </row>
    <row r="94" spans="1:10" s="1002" customFormat="1" ht="18" customHeight="1">
      <c r="A94" s="1013">
        <v>15</v>
      </c>
      <c r="B94" s="1012" t="s">
        <v>1914</v>
      </c>
      <c r="C94" s="1011" t="s">
        <v>11</v>
      </c>
      <c r="D94" s="1010">
        <v>24000</v>
      </c>
      <c r="E94" s="1009">
        <f t="shared" si="6"/>
        <v>30000</v>
      </c>
      <c r="F94" s="1007">
        <f t="shared" si="7"/>
        <v>720000000</v>
      </c>
      <c r="H94" s="1003"/>
      <c r="J94" s="1003"/>
    </row>
    <row r="95" spans="1:10" s="1002" customFormat="1" ht="18" customHeight="1">
      <c r="A95" s="1013">
        <v>16</v>
      </c>
      <c r="B95" s="1012" t="s">
        <v>1913</v>
      </c>
      <c r="C95" s="1011" t="s">
        <v>11</v>
      </c>
      <c r="D95" s="1010">
        <v>32000</v>
      </c>
      <c r="E95" s="1009">
        <f t="shared" si="6"/>
        <v>30000</v>
      </c>
      <c r="F95" s="1007">
        <f t="shared" si="7"/>
        <v>960000000</v>
      </c>
      <c r="H95" s="1003"/>
      <c r="J95" s="1003"/>
    </row>
    <row r="96" spans="1:10" s="1002" customFormat="1" ht="18" customHeight="1">
      <c r="A96" s="1013">
        <v>17</v>
      </c>
      <c r="B96" s="1012" t="s">
        <v>1912</v>
      </c>
      <c r="C96" s="1011" t="s">
        <v>11</v>
      </c>
      <c r="D96" s="1010">
        <v>17200</v>
      </c>
      <c r="E96" s="1009">
        <f t="shared" si="6"/>
        <v>30000</v>
      </c>
      <c r="F96" s="1007">
        <f t="shared" si="7"/>
        <v>516000000</v>
      </c>
      <c r="H96" s="1003"/>
      <c r="J96" s="1003"/>
    </row>
    <row r="97" spans="1:10" s="1002" customFormat="1" ht="18" customHeight="1">
      <c r="A97" s="1013">
        <v>18</v>
      </c>
      <c r="B97" s="1012" t="s">
        <v>1911</v>
      </c>
      <c r="C97" s="1011" t="s">
        <v>11</v>
      </c>
      <c r="D97" s="1010">
        <v>13700</v>
      </c>
      <c r="E97" s="1009">
        <f t="shared" si="6"/>
        <v>50000</v>
      </c>
      <c r="F97" s="1007">
        <f t="shared" si="7"/>
        <v>685000000</v>
      </c>
      <c r="H97" s="1003"/>
      <c r="J97" s="1003"/>
    </row>
    <row r="98" spans="1:10" s="1002" customFormat="1" ht="18" customHeight="1">
      <c r="A98" s="1005" t="s">
        <v>485</v>
      </c>
      <c r="B98" s="1015" t="s">
        <v>1910</v>
      </c>
      <c r="C98" s="2338"/>
      <c r="D98" s="1014"/>
      <c r="E98" s="1009">
        <f t="shared" si="6"/>
        <v>0</v>
      </c>
      <c r="F98" s="1004">
        <f>SUM(F99:F117)</f>
        <v>3936500000</v>
      </c>
      <c r="H98" s="1003"/>
      <c r="J98" s="1003"/>
    </row>
    <row r="99" spans="1:10" s="1002" customFormat="1" ht="18" customHeight="1">
      <c r="A99" s="1013">
        <v>19</v>
      </c>
      <c r="B99" s="1012" t="s">
        <v>1909</v>
      </c>
      <c r="C99" s="1011" t="s">
        <v>11</v>
      </c>
      <c r="D99" s="1010">
        <v>7100</v>
      </c>
      <c r="E99" s="1009">
        <f t="shared" si="6"/>
        <v>30000</v>
      </c>
      <c r="F99" s="1007">
        <f t="shared" ref="F99:F117" si="8">E99*D99</f>
        <v>213000000</v>
      </c>
      <c r="H99" s="1003"/>
      <c r="J99" s="1003"/>
    </row>
    <row r="100" spans="1:10" s="1002" customFormat="1" ht="18" customHeight="1">
      <c r="A100" s="1013">
        <v>20</v>
      </c>
      <c r="B100" s="1012" t="s">
        <v>1908</v>
      </c>
      <c r="C100" s="1011" t="s">
        <v>11</v>
      </c>
      <c r="D100" s="1010">
        <v>11500</v>
      </c>
      <c r="E100" s="1009">
        <f t="shared" si="6"/>
        <v>25000</v>
      </c>
      <c r="F100" s="1007">
        <f t="shared" si="8"/>
        <v>287500000</v>
      </c>
      <c r="H100" s="1003"/>
      <c r="J100" s="1003"/>
    </row>
    <row r="101" spans="1:10" s="1002" customFormat="1" ht="18" customHeight="1">
      <c r="A101" s="1013">
        <v>21</v>
      </c>
      <c r="B101" s="1012" t="s">
        <v>1907</v>
      </c>
      <c r="C101" s="1011" t="s">
        <v>11</v>
      </c>
      <c r="D101" s="1010">
        <v>11100</v>
      </c>
      <c r="E101" s="1009">
        <f t="shared" si="6"/>
        <v>20000</v>
      </c>
      <c r="F101" s="1007">
        <f t="shared" si="8"/>
        <v>222000000</v>
      </c>
      <c r="H101" s="1003"/>
      <c r="J101" s="1003"/>
    </row>
    <row r="102" spans="1:10" s="1002" customFormat="1" ht="18" customHeight="1">
      <c r="A102" s="1013">
        <v>22</v>
      </c>
      <c r="B102" s="1012" t="s">
        <v>1906</v>
      </c>
      <c r="C102" s="1011" t="s">
        <v>11</v>
      </c>
      <c r="D102" s="1010">
        <v>11200</v>
      </c>
      <c r="E102" s="1009">
        <f t="shared" si="6"/>
        <v>30000</v>
      </c>
      <c r="F102" s="1007">
        <f t="shared" si="8"/>
        <v>336000000</v>
      </c>
      <c r="H102" s="1003"/>
      <c r="J102" s="1003"/>
    </row>
    <row r="103" spans="1:10" s="1002" customFormat="1" ht="18" customHeight="1">
      <c r="A103" s="1013">
        <v>23</v>
      </c>
      <c r="B103" s="1012" t="s">
        <v>1905</v>
      </c>
      <c r="C103" s="1011" t="s">
        <v>11</v>
      </c>
      <c r="D103" s="1010">
        <v>6500</v>
      </c>
      <c r="E103" s="1009">
        <f t="shared" si="6"/>
        <v>30000</v>
      </c>
      <c r="F103" s="1007">
        <f t="shared" si="8"/>
        <v>195000000</v>
      </c>
      <c r="H103" s="1003"/>
      <c r="J103" s="1003"/>
    </row>
    <row r="104" spans="1:10" s="1002" customFormat="1" ht="18" customHeight="1">
      <c r="A104" s="1013">
        <v>24</v>
      </c>
      <c r="B104" s="1012" t="s">
        <v>1904</v>
      </c>
      <c r="C104" s="1011" t="s">
        <v>11</v>
      </c>
      <c r="D104" s="1010">
        <v>11200</v>
      </c>
      <c r="E104" s="1009">
        <f t="shared" si="6"/>
        <v>20000</v>
      </c>
      <c r="F104" s="1007">
        <f t="shared" si="8"/>
        <v>224000000</v>
      </c>
      <c r="H104" s="1003"/>
      <c r="J104" s="1003"/>
    </row>
    <row r="105" spans="1:10" s="1002" customFormat="1" ht="18" customHeight="1">
      <c r="A105" s="1013">
        <v>25</v>
      </c>
      <c r="B105" s="1012" t="s">
        <v>1903</v>
      </c>
      <c r="C105" s="1011" t="s">
        <v>11</v>
      </c>
      <c r="D105" s="1010">
        <v>5700</v>
      </c>
      <c r="E105" s="1009">
        <f t="shared" si="6"/>
        <v>25000</v>
      </c>
      <c r="F105" s="1007">
        <f t="shared" si="8"/>
        <v>142500000</v>
      </c>
      <c r="H105" s="1003"/>
      <c r="J105" s="1003"/>
    </row>
    <row r="106" spans="1:10" s="1002" customFormat="1" ht="18" customHeight="1">
      <c r="A106" s="1013">
        <v>26</v>
      </c>
      <c r="B106" s="1012" t="s">
        <v>1902</v>
      </c>
      <c r="C106" s="1011" t="s">
        <v>11</v>
      </c>
      <c r="D106" s="1010">
        <v>10200</v>
      </c>
      <c r="E106" s="1009">
        <f t="shared" si="6"/>
        <v>15000</v>
      </c>
      <c r="F106" s="1007">
        <f t="shared" si="8"/>
        <v>153000000</v>
      </c>
      <c r="H106" s="1003"/>
      <c r="J106" s="1003"/>
    </row>
    <row r="107" spans="1:10" s="1002" customFormat="1" ht="18" customHeight="1">
      <c r="A107" s="1013">
        <v>27</v>
      </c>
      <c r="B107" s="1012" t="s">
        <v>1901</v>
      </c>
      <c r="C107" s="1011" t="s">
        <v>11</v>
      </c>
      <c r="D107" s="1010">
        <v>6700</v>
      </c>
      <c r="E107" s="1009">
        <f t="shared" si="6"/>
        <v>25000</v>
      </c>
      <c r="F107" s="1007">
        <f t="shared" si="8"/>
        <v>167500000</v>
      </c>
      <c r="H107" s="1003"/>
      <c r="J107" s="1003"/>
    </row>
    <row r="108" spans="1:10" s="1002" customFormat="1" ht="18" customHeight="1">
      <c r="A108" s="1013">
        <v>28</v>
      </c>
      <c r="B108" s="1012" t="s">
        <v>1900</v>
      </c>
      <c r="C108" s="1011" t="s">
        <v>11</v>
      </c>
      <c r="D108" s="1010">
        <v>12100</v>
      </c>
      <c r="E108" s="1009">
        <f t="shared" si="6"/>
        <v>15000</v>
      </c>
      <c r="F108" s="1007">
        <f t="shared" si="8"/>
        <v>181500000</v>
      </c>
      <c r="H108" s="1003"/>
      <c r="J108" s="1003"/>
    </row>
    <row r="109" spans="1:10" s="1002" customFormat="1" ht="18" customHeight="1">
      <c r="A109" s="1013">
        <v>29</v>
      </c>
      <c r="B109" s="1012" t="s">
        <v>1899</v>
      </c>
      <c r="C109" s="1011" t="s">
        <v>11</v>
      </c>
      <c r="D109" s="1010">
        <f>D37*1.3</f>
        <v>10400</v>
      </c>
      <c r="E109" s="1009">
        <f t="shared" si="6"/>
        <v>20000</v>
      </c>
      <c r="F109" s="1007">
        <f t="shared" si="8"/>
        <v>208000000</v>
      </c>
      <c r="H109" s="1003"/>
      <c r="J109" s="1003"/>
    </row>
    <row r="110" spans="1:10" s="1002" customFormat="1" ht="18" customHeight="1">
      <c r="A110" s="1013">
        <v>30</v>
      </c>
      <c r="B110" s="1012" t="s">
        <v>1898</v>
      </c>
      <c r="C110" s="1011" t="s">
        <v>11</v>
      </c>
      <c r="D110" s="1010">
        <v>10500</v>
      </c>
      <c r="E110" s="1009">
        <f t="shared" si="6"/>
        <v>20000</v>
      </c>
      <c r="F110" s="1007">
        <f t="shared" si="8"/>
        <v>210000000</v>
      </c>
      <c r="H110" s="1003"/>
      <c r="J110" s="1003"/>
    </row>
    <row r="111" spans="1:10" s="1002" customFormat="1" ht="18" customHeight="1">
      <c r="A111" s="1013">
        <v>31</v>
      </c>
      <c r="B111" s="1012" t="s">
        <v>1897</v>
      </c>
      <c r="C111" s="1011" t="s">
        <v>11</v>
      </c>
      <c r="D111" s="1010">
        <v>11300</v>
      </c>
      <c r="E111" s="1009">
        <f t="shared" si="6"/>
        <v>20000</v>
      </c>
      <c r="F111" s="1007">
        <f t="shared" si="8"/>
        <v>226000000</v>
      </c>
      <c r="H111" s="1003"/>
      <c r="J111" s="1003"/>
    </row>
    <row r="112" spans="1:10" s="1002" customFormat="1" ht="18" customHeight="1">
      <c r="A112" s="1013">
        <v>32</v>
      </c>
      <c r="B112" s="1012" t="s">
        <v>1896</v>
      </c>
      <c r="C112" s="1011" t="s">
        <v>11</v>
      </c>
      <c r="D112" s="1010">
        <v>13100</v>
      </c>
      <c r="E112" s="1009">
        <f t="shared" ref="E112:E139" si="9">E40</f>
        <v>15000</v>
      </c>
      <c r="F112" s="1007">
        <f t="shared" si="8"/>
        <v>196500000</v>
      </c>
      <c r="H112" s="1003"/>
      <c r="J112" s="1003"/>
    </row>
    <row r="113" spans="1:10" s="1002" customFormat="1" ht="18" customHeight="1">
      <c r="A113" s="1013">
        <v>33</v>
      </c>
      <c r="B113" s="1012" t="s">
        <v>1895</v>
      </c>
      <c r="C113" s="1011" t="s">
        <v>11</v>
      </c>
      <c r="D113" s="1010">
        <v>6800</v>
      </c>
      <c r="E113" s="1009">
        <f t="shared" si="9"/>
        <v>30000</v>
      </c>
      <c r="F113" s="1007">
        <f t="shared" si="8"/>
        <v>204000000</v>
      </c>
      <c r="H113" s="1003"/>
      <c r="J113" s="1003"/>
    </row>
    <row r="114" spans="1:10" s="1002" customFormat="1" ht="18" customHeight="1">
      <c r="A114" s="1013">
        <v>34</v>
      </c>
      <c r="B114" s="1012" t="s">
        <v>1894</v>
      </c>
      <c r="C114" s="1011" t="s">
        <v>11</v>
      </c>
      <c r="D114" s="1010">
        <v>7500</v>
      </c>
      <c r="E114" s="1009">
        <f t="shared" si="9"/>
        <v>30000</v>
      </c>
      <c r="F114" s="1007">
        <f t="shared" si="8"/>
        <v>225000000</v>
      </c>
      <c r="H114" s="1003"/>
      <c r="J114" s="1003"/>
    </row>
    <row r="115" spans="1:10" s="1002" customFormat="1" ht="18" customHeight="1">
      <c r="A115" s="1013">
        <v>35</v>
      </c>
      <c r="B115" s="1012" t="s">
        <v>1893</v>
      </c>
      <c r="C115" s="1011" t="s">
        <v>11</v>
      </c>
      <c r="D115" s="1010">
        <v>11000</v>
      </c>
      <c r="E115" s="1009">
        <f t="shared" si="9"/>
        <v>25000</v>
      </c>
      <c r="F115" s="1007">
        <f t="shared" si="8"/>
        <v>275000000</v>
      </c>
      <c r="H115" s="1003"/>
      <c r="J115" s="1003"/>
    </row>
    <row r="116" spans="1:10" s="1002" customFormat="1" ht="18" customHeight="1">
      <c r="A116" s="1013">
        <v>36</v>
      </c>
      <c r="B116" s="1012" t="s">
        <v>1892</v>
      </c>
      <c r="C116" s="1011" t="s">
        <v>11</v>
      </c>
      <c r="D116" s="1010">
        <v>5300</v>
      </c>
      <c r="E116" s="1009">
        <f t="shared" si="9"/>
        <v>30000</v>
      </c>
      <c r="F116" s="1007">
        <f t="shared" si="8"/>
        <v>159000000</v>
      </c>
      <c r="H116" s="1003"/>
      <c r="J116" s="1003"/>
    </row>
    <row r="117" spans="1:10" s="1002" customFormat="1" ht="18" customHeight="1">
      <c r="A117" s="1013">
        <v>37</v>
      </c>
      <c r="B117" s="1012" t="s">
        <v>1891</v>
      </c>
      <c r="C117" s="1011" t="s">
        <v>11</v>
      </c>
      <c r="D117" s="1010">
        <v>3700</v>
      </c>
      <c r="E117" s="1009">
        <f t="shared" si="9"/>
        <v>30000</v>
      </c>
      <c r="F117" s="1007">
        <f t="shared" si="8"/>
        <v>111000000</v>
      </c>
      <c r="H117" s="1003"/>
      <c r="J117" s="1003"/>
    </row>
    <row r="118" spans="1:10" s="1002" customFormat="1" ht="18" customHeight="1">
      <c r="A118" s="1005" t="s">
        <v>489</v>
      </c>
      <c r="B118" s="1015" t="s">
        <v>1890</v>
      </c>
      <c r="C118" s="2338"/>
      <c r="D118" s="1014"/>
      <c r="E118" s="1009">
        <f t="shared" si="9"/>
        <v>0</v>
      </c>
      <c r="F118" s="1004">
        <f>SUM(F119:F139)</f>
        <v>3088100000</v>
      </c>
      <c r="H118" s="1003"/>
      <c r="J118" s="1003"/>
    </row>
    <row r="119" spans="1:10" s="1002" customFormat="1" ht="18" customHeight="1">
      <c r="A119" s="1013">
        <v>38</v>
      </c>
      <c r="B119" s="1012" t="s">
        <v>1889</v>
      </c>
      <c r="C119" s="1011" t="s">
        <v>1870</v>
      </c>
      <c r="D119" s="1010">
        <v>9000</v>
      </c>
      <c r="E119" s="1009">
        <f t="shared" si="9"/>
        <v>15000</v>
      </c>
      <c r="F119" s="1007">
        <f t="shared" ref="F119:F139" si="10">E119*D119</f>
        <v>135000000</v>
      </c>
      <c r="H119" s="1003"/>
      <c r="J119" s="1003"/>
    </row>
    <row r="120" spans="1:10" s="1002" customFormat="1" ht="18" customHeight="1">
      <c r="A120" s="1013">
        <v>39</v>
      </c>
      <c r="B120" s="1012" t="s">
        <v>1888</v>
      </c>
      <c r="C120" s="1011" t="s">
        <v>396</v>
      </c>
      <c r="D120" s="1010">
        <v>37200</v>
      </c>
      <c r="E120" s="1009">
        <f t="shared" si="9"/>
        <v>5000</v>
      </c>
      <c r="F120" s="1007">
        <f t="shared" si="10"/>
        <v>186000000</v>
      </c>
      <c r="H120" s="1003"/>
      <c r="J120" s="1003"/>
    </row>
    <row r="121" spans="1:10" s="1002" customFormat="1" ht="18" customHeight="1">
      <c r="A121" s="1013">
        <v>40</v>
      </c>
      <c r="B121" s="1012" t="s">
        <v>1887</v>
      </c>
      <c r="C121" s="1011" t="s">
        <v>396</v>
      </c>
      <c r="D121" s="1010">
        <v>21700</v>
      </c>
      <c r="E121" s="1009">
        <f t="shared" si="9"/>
        <v>8000</v>
      </c>
      <c r="F121" s="1007">
        <f t="shared" si="10"/>
        <v>173600000</v>
      </c>
      <c r="H121" s="1003"/>
      <c r="J121" s="1003"/>
    </row>
    <row r="122" spans="1:10" s="1002" customFormat="1" ht="18" customHeight="1">
      <c r="A122" s="1013">
        <v>41</v>
      </c>
      <c r="B122" s="1012" t="s">
        <v>1886</v>
      </c>
      <c r="C122" s="1011" t="s">
        <v>1870</v>
      </c>
      <c r="D122" s="1010">
        <f>D50*1.5</f>
        <v>6000</v>
      </c>
      <c r="E122" s="1009">
        <f t="shared" si="9"/>
        <v>20000</v>
      </c>
      <c r="F122" s="1007">
        <f t="shared" si="10"/>
        <v>120000000</v>
      </c>
      <c r="H122" s="1003"/>
      <c r="J122" s="1003"/>
    </row>
    <row r="123" spans="1:10" s="1002" customFormat="1" ht="18" customHeight="1">
      <c r="A123" s="1013">
        <v>42</v>
      </c>
      <c r="B123" s="1012" t="s">
        <v>1885</v>
      </c>
      <c r="C123" s="1011" t="s">
        <v>1870</v>
      </c>
      <c r="D123" s="1010">
        <v>68200</v>
      </c>
      <c r="E123" s="1009">
        <f t="shared" si="9"/>
        <v>5000</v>
      </c>
      <c r="F123" s="1007">
        <f t="shared" si="10"/>
        <v>341000000</v>
      </c>
      <c r="H123" s="1003"/>
      <c r="J123" s="1003"/>
    </row>
    <row r="124" spans="1:10" s="1002" customFormat="1" ht="18" customHeight="1">
      <c r="A124" s="1013">
        <v>43</v>
      </c>
      <c r="B124" s="1012" t="s">
        <v>1884</v>
      </c>
      <c r="C124" s="1011" t="s">
        <v>1870</v>
      </c>
      <c r="D124" s="1010">
        <f>D52*1.5</f>
        <v>2400</v>
      </c>
      <c r="E124" s="1009">
        <f t="shared" si="9"/>
        <v>15000</v>
      </c>
      <c r="F124" s="1007">
        <f t="shared" si="10"/>
        <v>36000000</v>
      </c>
      <c r="H124" s="1003"/>
      <c r="J124" s="1003"/>
    </row>
    <row r="125" spans="1:10" s="1002" customFormat="1" ht="18" customHeight="1">
      <c r="A125" s="1013">
        <v>44</v>
      </c>
      <c r="B125" s="1012" t="s">
        <v>1883</v>
      </c>
      <c r="C125" s="1011" t="s">
        <v>1870</v>
      </c>
      <c r="D125" s="1010">
        <v>5800</v>
      </c>
      <c r="E125" s="1009">
        <f t="shared" si="9"/>
        <v>20000</v>
      </c>
      <c r="F125" s="1007">
        <f t="shared" si="10"/>
        <v>116000000</v>
      </c>
      <c r="H125" s="1003"/>
      <c r="J125" s="1003"/>
    </row>
    <row r="126" spans="1:10" s="1002" customFormat="1" ht="18" customHeight="1">
      <c r="A126" s="1013">
        <v>45</v>
      </c>
      <c r="B126" s="1012" t="s">
        <v>1882</v>
      </c>
      <c r="C126" s="1011" t="s">
        <v>1870</v>
      </c>
      <c r="D126" s="1010">
        <v>17900</v>
      </c>
      <c r="E126" s="1009">
        <f t="shared" si="9"/>
        <v>10000</v>
      </c>
      <c r="F126" s="1007">
        <f t="shared" si="10"/>
        <v>179000000</v>
      </c>
      <c r="H126" s="1003"/>
      <c r="J126" s="1003"/>
    </row>
    <row r="127" spans="1:10" s="1002" customFormat="1" ht="18" customHeight="1">
      <c r="A127" s="1013">
        <v>46</v>
      </c>
      <c r="B127" s="1012" t="s">
        <v>1881</v>
      </c>
      <c r="C127" s="1011" t="s">
        <v>1870</v>
      </c>
      <c r="D127" s="1010">
        <v>29500</v>
      </c>
      <c r="E127" s="1009">
        <f t="shared" si="9"/>
        <v>15000</v>
      </c>
      <c r="F127" s="1007">
        <f t="shared" si="10"/>
        <v>442500000</v>
      </c>
      <c r="H127" s="1003"/>
      <c r="J127" s="1003"/>
    </row>
    <row r="128" spans="1:10" s="1002" customFormat="1" ht="18" customHeight="1">
      <c r="A128" s="1013">
        <v>47</v>
      </c>
      <c r="B128" s="1012" t="s">
        <v>1880</v>
      </c>
      <c r="C128" s="1011" t="s">
        <v>1870</v>
      </c>
      <c r="D128" s="1010">
        <v>3700</v>
      </c>
      <c r="E128" s="1009">
        <f t="shared" si="9"/>
        <v>10000</v>
      </c>
      <c r="F128" s="1007">
        <f t="shared" si="10"/>
        <v>37000000</v>
      </c>
      <c r="H128" s="1003"/>
      <c r="J128" s="1003"/>
    </row>
    <row r="129" spans="1:10" s="1002" customFormat="1" ht="18" customHeight="1">
      <c r="A129" s="1013">
        <v>48</v>
      </c>
      <c r="B129" s="1012" t="s">
        <v>1879</v>
      </c>
      <c r="C129" s="1011" t="s">
        <v>1870</v>
      </c>
      <c r="D129" s="1010">
        <v>8500</v>
      </c>
      <c r="E129" s="1009">
        <f t="shared" si="9"/>
        <v>15000</v>
      </c>
      <c r="F129" s="1007">
        <f t="shared" si="10"/>
        <v>127500000</v>
      </c>
      <c r="H129" s="1003"/>
      <c r="J129" s="1003"/>
    </row>
    <row r="130" spans="1:10" s="1002" customFormat="1" ht="18" customHeight="1">
      <c r="A130" s="1013">
        <v>49</v>
      </c>
      <c r="B130" s="1012" t="s">
        <v>1878</v>
      </c>
      <c r="C130" s="1011" t="s">
        <v>1870</v>
      </c>
      <c r="D130" s="1010">
        <v>3400</v>
      </c>
      <c r="E130" s="1009">
        <f t="shared" si="9"/>
        <v>10000</v>
      </c>
      <c r="F130" s="1007">
        <f t="shared" si="10"/>
        <v>34000000</v>
      </c>
      <c r="H130" s="1003"/>
      <c r="J130" s="1003"/>
    </row>
    <row r="131" spans="1:10" s="1002" customFormat="1" ht="18" customHeight="1">
      <c r="A131" s="1013">
        <v>50</v>
      </c>
      <c r="B131" s="1012" t="s">
        <v>1877</v>
      </c>
      <c r="C131" s="1011" t="s">
        <v>1870</v>
      </c>
      <c r="D131" s="1010">
        <v>1400</v>
      </c>
      <c r="E131" s="1009">
        <f t="shared" si="9"/>
        <v>20000</v>
      </c>
      <c r="F131" s="1007">
        <f t="shared" si="10"/>
        <v>28000000</v>
      </c>
      <c r="H131" s="1003"/>
      <c r="J131" s="1003"/>
    </row>
    <row r="132" spans="1:10" s="1002" customFormat="1" ht="18" customHeight="1">
      <c r="A132" s="1013">
        <v>51</v>
      </c>
      <c r="B132" s="1012" t="s">
        <v>1876</v>
      </c>
      <c r="C132" s="1011" t="s">
        <v>396</v>
      </c>
      <c r="D132" s="1010">
        <f>D60*1.5</f>
        <v>18000</v>
      </c>
      <c r="E132" s="1009">
        <f t="shared" si="9"/>
        <v>10000</v>
      </c>
      <c r="F132" s="1007">
        <f t="shared" si="10"/>
        <v>180000000</v>
      </c>
      <c r="H132" s="1003"/>
      <c r="J132" s="1003"/>
    </row>
    <row r="133" spans="1:10" s="1002" customFormat="1" ht="18" customHeight="1">
      <c r="A133" s="1013">
        <v>52</v>
      </c>
      <c r="B133" s="1012" t="s">
        <v>1875</v>
      </c>
      <c r="C133" s="1011" t="s">
        <v>396</v>
      </c>
      <c r="D133" s="1010">
        <v>21700</v>
      </c>
      <c r="E133" s="1009">
        <f t="shared" si="9"/>
        <v>5000</v>
      </c>
      <c r="F133" s="1007">
        <f t="shared" si="10"/>
        <v>108500000</v>
      </c>
      <c r="H133" s="1003"/>
      <c r="J133" s="1003"/>
    </row>
    <row r="134" spans="1:10" s="1002" customFormat="1" ht="18" customHeight="1">
      <c r="A134" s="1013">
        <v>53</v>
      </c>
      <c r="B134" s="1012" t="s">
        <v>1874</v>
      </c>
      <c r="C134" s="1011" t="s">
        <v>1870</v>
      </c>
      <c r="D134" s="1010">
        <v>6700</v>
      </c>
      <c r="E134" s="1009">
        <f t="shared" si="9"/>
        <v>20000</v>
      </c>
      <c r="F134" s="1007">
        <f t="shared" si="10"/>
        <v>134000000</v>
      </c>
      <c r="H134" s="1003"/>
      <c r="J134" s="1003"/>
    </row>
    <row r="135" spans="1:10" s="1002" customFormat="1" ht="18" customHeight="1">
      <c r="A135" s="1013">
        <v>54</v>
      </c>
      <c r="B135" s="1012" t="s">
        <v>1873</v>
      </c>
      <c r="C135" s="1011" t="s">
        <v>1870</v>
      </c>
      <c r="D135" s="1010">
        <f>D63*1.5</f>
        <v>1800</v>
      </c>
      <c r="E135" s="1009">
        <f t="shared" si="9"/>
        <v>15000</v>
      </c>
      <c r="F135" s="1007">
        <f t="shared" si="10"/>
        <v>27000000</v>
      </c>
      <c r="H135" s="1003"/>
      <c r="J135" s="1003"/>
    </row>
    <row r="136" spans="1:10" s="1002" customFormat="1" ht="18" customHeight="1">
      <c r="A136" s="1013">
        <v>55</v>
      </c>
      <c r="B136" s="1012" t="s">
        <v>1872</v>
      </c>
      <c r="C136" s="1011" t="s">
        <v>396</v>
      </c>
      <c r="D136" s="1010">
        <v>14500</v>
      </c>
      <c r="E136" s="1009">
        <f t="shared" si="9"/>
        <v>15000</v>
      </c>
      <c r="F136" s="1007">
        <f t="shared" si="10"/>
        <v>217500000</v>
      </c>
      <c r="H136" s="1003"/>
      <c r="J136" s="1003"/>
    </row>
    <row r="137" spans="1:10" s="1002" customFormat="1" ht="18" customHeight="1">
      <c r="A137" s="1013">
        <v>56</v>
      </c>
      <c r="B137" s="1012" t="s">
        <v>1871</v>
      </c>
      <c r="C137" s="1011" t="s">
        <v>1870</v>
      </c>
      <c r="D137" s="1010">
        <v>2000</v>
      </c>
      <c r="E137" s="1009">
        <f t="shared" si="9"/>
        <v>20000</v>
      </c>
      <c r="F137" s="1007">
        <f t="shared" si="10"/>
        <v>40000000</v>
      </c>
      <c r="H137" s="1003"/>
      <c r="J137" s="1003"/>
    </row>
    <row r="138" spans="1:10" s="1002" customFormat="1" ht="18" customHeight="1">
      <c r="A138" s="1013">
        <v>57</v>
      </c>
      <c r="B138" s="1012" t="s">
        <v>1869</v>
      </c>
      <c r="C138" s="1011" t="s">
        <v>396</v>
      </c>
      <c r="D138" s="1010">
        <v>9900</v>
      </c>
      <c r="E138" s="1009">
        <f t="shared" si="9"/>
        <v>15000</v>
      </c>
      <c r="F138" s="1007">
        <f t="shared" si="10"/>
        <v>148500000</v>
      </c>
      <c r="H138" s="1003"/>
      <c r="J138" s="1003"/>
    </row>
    <row r="139" spans="1:10" s="1002" customFormat="1" ht="18" customHeight="1">
      <c r="A139" s="1013">
        <v>58</v>
      </c>
      <c r="B139" s="1012" t="s">
        <v>1868</v>
      </c>
      <c r="C139" s="1011" t="s">
        <v>396</v>
      </c>
      <c r="D139" s="1010">
        <v>27700</v>
      </c>
      <c r="E139" s="1009">
        <f t="shared" si="9"/>
        <v>10000</v>
      </c>
      <c r="F139" s="1007">
        <f t="shared" si="10"/>
        <v>277000000</v>
      </c>
      <c r="H139" s="1003"/>
      <c r="J139" s="1003"/>
    </row>
    <row r="140" spans="1:10" s="1002" customFormat="1" ht="18" customHeight="1">
      <c r="A140" s="2661" t="s">
        <v>1867</v>
      </c>
      <c r="B140" s="2661"/>
      <c r="C140" s="2338"/>
      <c r="D140" s="1008"/>
      <c r="E140" s="1007"/>
      <c r="F140" s="1007"/>
      <c r="H140" s="1003"/>
      <c r="J140" s="1003"/>
    </row>
    <row r="141" spans="1:10" s="1002" customFormat="1" ht="18" customHeight="1">
      <c r="A141" s="1005" t="s">
        <v>135</v>
      </c>
      <c r="B141" s="1006" t="s">
        <v>24</v>
      </c>
      <c r="C141" s="1005"/>
      <c r="D141" s="1005"/>
      <c r="E141" s="1004"/>
      <c r="F141" s="1004">
        <f>F78-F6</f>
        <v>2113720000</v>
      </c>
      <c r="G141" s="1002">
        <f>F141/F78</f>
        <v>9.9312146441391497E-2</v>
      </c>
      <c r="H141" s="1003"/>
      <c r="J141" s="1003"/>
    </row>
    <row r="142" spans="1:10" s="1002" customFormat="1" ht="18" customHeight="1">
      <c r="A142" s="1005" t="s">
        <v>1866</v>
      </c>
      <c r="B142" s="1006" t="s">
        <v>1865</v>
      </c>
      <c r="C142" s="1006"/>
      <c r="D142" s="1005"/>
      <c r="E142" s="1004"/>
      <c r="F142" s="1004">
        <f>F6-F73-F74</f>
        <v>18624880000</v>
      </c>
      <c r="H142" s="1003"/>
      <c r="J142" s="1003"/>
    </row>
    <row r="143" spans="1:10" s="1002" customFormat="1" ht="18" customHeight="1">
      <c r="A143" s="1005" t="s">
        <v>1864</v>
      </c>
      <c r="B143" s="1006" t="s">
        <v>1863</v>
      </c>
      <c r="C143" s="1005"/>
      <c r="D143" s="1005"/>
      <c r="E143" s="1004"/>
      <c r="F143" s="1004">
        <f>F142</f>
        <v>18624880000</v>
      </c>
      <c r="H143" s="1003"/>
      <c r="J143" s="1003"/>
    </row>
    <row r="144" spans="1:10" s="1002" customFormat="1" ht="18" customHeight="1">
      <c r="A144" s="1005" t="s">
        <v>1862</v>
      </c>
      <c r="B144" s="1006" t="s">
        <v>557</v>
      </c>
      <c r="C144" s="1005" t="s">
        <v>1861</v>
      </c>
      <c r="D144" s="1005">
        <v>2</v>
      </c>
      <c r="E144" s="1004"/>
      <c r="F144" s="1004">
        <f>F143/D144</f>
        <v>9312440000</v>
      </c>
      <c r="H144" s="1003"/>
      <c r="J144" s="1003"/>
    </row>
    <row r="145" spans="1:10" s="1002" customFormat="1" ht="23.25" customHeight="1">
      <c r="A145" s="1005" t="s">
        <v>1860</v>
      </c>
      <c r="B145" s="1006" t="s">
        <v>1859</v>
      </c>
      <c r="C145" s="1005"/>
      <c r="D145" s="1005"/>
      <c r="E145" s="1004"/>
      <c r="F145" s="1004">
        <f>F144</f>
        <v>9312440000</v>
      </c>
      <c r="H145" s="1003"/>
      <c r="J145" s="1003"/>
    </row>
    <row r="146" spans="1:10" s="995" customFormat="1" ht="18" customHeight="1">
      <c r="A146" s="1001"/>
      <c r="B146" s="1000" t="s">
        <v>1858</v>
      </c>
      <c r="C146" s="1001"/>
      <c r="D146" s="1001"/>
      <c r="E146" s="998"/>
      <c r="F146" s="998">
        <f>F145-F152</f>
        <v>3812440000</v>
      </c>
      <c r="H146" s="996"/>
      <c r="J146" s="996"/>
    </row>
    <row r="147" spans="1:10" s="995" customFormat="1" ht="18" customHeight="1">
      <c r="A147" s="1001"/>
      <c r="B147" s="1000" t="s">
        <v>1855</v>
      </c>
      <c r="C147" s="1001"/>
      <c r="D147" s="1001"/>
      <c r="E147" s="998"/>
      <c r="F147" s="998">
        <f>F146/F145*100</f>
        <v>40.939216789584684</v>
      </c>
      <c r="H147" s="996"/>
      <c r="J147" s="996"/>
    </row>
    <row r="148" spans="1:10" s="995" customFormat="1" ht="18" customHeight="1">
      <c r="A148" s="1001"/>
      <c r="B148" s="1000" t="s">
        <v>26</v>
      </c>
      <c r="C148" s="1001"/>
      <c r="D148" s="1001"/>
      <c r="E148" s="998"/>
      <c r="F148" s="998">
        <f>F146-F150</f>
        <v>1412440000</v>
      </c>
      <c r="G148" s="996">
        <f>F148-360000000</f>
        <v>1052440000</v>
      </c>
      <c r="H148" s="996"/>
      <c r="J148" s="996"/>
    </row>
    <row r="149" spans="1:10" s="995" customFormat="1" ht="18" customHeight="1">
      <c r="A149" s="1001"/>
      <c r="B149" s="1000" t="s">
        <v>1855</v>
      </c>
      <c r="C149" s="1001"/>
      <c r="D149" s="1001"/>
      <c r="E149" s="998"/>
      <c r="F149" s="998">
        <f>F148/F145*100</f>
        <v>15.167238661403456</v>
      </c>
      <c r="H149" s="996"/>
      <c r="J149" s="996"/>
    </row>
    <row r="150" spans="1:10" s="995" customFormat="1" ht="18" customHeight="1">
      <c r="A150" s="1001"/>
      <c r="B150" s="1000" t="s">
        <v>1857</v>
      </c>
      <c r="C150" s="1001"/>
      <c r="D150" s="1001"/>
      <c r="E150" s="998"/>
      <c r="F150" s="998">
        <v>2400000000</v>
      </c>
      <c r="H150" s="996"/>
      <c r="J150" s="996"/>
    </row>
    <row r="151" spans="1:10" s="995" customFormat="1" ht="18" customHeight="1">
      <c r="A151" s="1001"/>
      <c r="B151" s="1000" t="s">
        <v>1855</v>
      </c>
      <c r="C151" s="1001"/>
      <c r="D151" s="1001"/>
      <c r="E151" s="998"/>
      <c r="F151" s="998">
        <f>F150/F145*100</f>
        <v>25.771978128181228</v>
      </c>
      <c r="H151" s="996"/>
      <c r="J151" s="996"/>
    </row>
    <row r="152" spans="1:10" s="995" customFormat="1" ht="33" customHeight="1">
      <c r="A152" s="1001"/>
      <c r="B152" s="1000" t="s">
        <v>1856</v>
      </c>
      <c r="C152" s="1001"/>
      <c r="D152" s="1001"/>
      <c r="E152" s="998"/>
      <c r="F152" s="998">
        <v>5500000000</v>
      </c>
      <c r="H152" s="996"/>
      <c r="J152" s="996"/>
    </row>
    <row r="153" spans="1:10" s="995" customFormat="1" ht="18" customHeight="1">
      <c r="A153" s="999"/>
      <c r="B153" s="1000" t="s">
        <v>1855</v>
      </c>
      <c r="C153" s="999"/>
      <c r="D153" s="999"/>
      <c r="E153" s="998"/>
      <c r="F153" s="997">
        <f>F152/F145*100</f>
        <v>59.060783210415316</v>
      </c>
      <c r="H153" s="996"/>
      <c r="J153" s="996"/>
    </row>
  </sheetData>
  <mergeCells count="4">
    <mergeCell ref="A68:C68"/>
    <mergeCell ref="A69:C69"/>
    <mergeCell ref="A70:C70"/>
    <mergeCell ref="A140:B140"/>
  </mergeCells>
  <hyperlinks>
    <hyperlink ref="B8" r:id="rId1" display="http://bosiquanao.net/p/ao-so-mi-tay-dai-hollister/"/>
    <hyperlink ref="B80" r:id="rId2" display="http://bosiquanao.net/p/ao-so-mi-tay-dai-hollister/"/>
  </hyperlinks>
  <pageMargins left="0.7" right="0.7" top="0.75" bottom="0.75" header="0.3" footer="0.3"/>
  <pageSetup orientation="portrait" r:id="rId3"/>
  <drawing r:id="rId4"/>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31"/>
  <sheetViews>
    <sheetView workbookViewId="0">
      <selection activeCell="C1" sqref="C1"/>
    </sheetView>
  </sheetViews>
  <sheetFormatPr defaultRowHeight="16.5"/>
  <cols>
    <col min="1" max="1" width="4.42578125" style="381" bestFit="1" customWidth="1"/>
    <col min="2" max="2" width="33.140625" style="381" customWidth="1"/>
    <col min="3" max="3" width="8.140625" style="381" bestFit="1" customWidth="1"/>
    <col min="4" max="4" width="8.140625" style="381" customWidth="1"/>
    <col min="5" max="5" width="9.7109375" style="381" bestFit="1" customWidth="1"/>
    <col min="6" max="6" width="11" style="439" bestFit="1" customWidth="1"/>
    <col min="7" max="7" width="16.28515625" style="381" bestFit="1" customWidth="1"/>
    <col min="8" max="10" width="9.140625" style="381"/>
    <col min="11" max="11" width="17.85546875" style="381" bestFit="1" customWidth="1"/>
    <col min="12" max="16384" width="9.140625" style="381"/>
  </cols>
  <sheetData>
    <row r="1" spans="1:11">
      <c r="C1" s="381" t="s">
        <v>995</v>
      </c>
      <c r="G1" s="438" t="s">
        <v>1020</v>
      </c>
    </row>
    <row r="4" spans="1:11" ht="82.5">
      <c r="A4" s="395" t="s">
        <v>0</v>
      </c>
      <c r="B4" s="395" t="s">
        <v>103</v>
      </c>
      <c r="C4" s="395" t="s">
        <v>2</v>
      </c>
      <c r="D4" s="395" t="s">
        <v>974</v>
      </c>
      <c r="E4" s="395" t="s">
        <v>975</v>
      </c>
      <c r="F4" s="2342" t="s">
        <v>3</v>
      </c>
      <c r="G4" s="395" t="s">
        <v>4</v>
      </c>
    </row>
    <row r="5" spans="1:11">
      <c r="A5" s="367" t="s">
        <v>109</v>
      </c>
      <c r="B5" s="365" t="s">
        <v>359</v>
      </c>
      <c r="C5" s="365"/>
      <c r="D5" s="365"/>
      <c r="E5" s="365"/>
      <c r="F5" s="38"/>
      <c r="G5" s="403">
        <f>SUM(G6:G23)</f>
        <v>2065100000</v>
      </c>
    </row>
    <row r="6" spans="1:11">
      <c r="A6" s="369">
        <v>1</v>
      </c>
      <c r="B6" s="370" t="s">
        <v>976</v>
      </c>
      <c r="C6" s="369" t="s">
        <v>11</v>
      </c>
      <c r="D6" s="42">
        <v>11</v>
      </c>
      <c r="E6" s="42">
        <f>D6*150</f>
        <v>1650</v>
      </c>
      <c r="F6" s="42">
        <v>45000</v>
      </c>
      <c r="G6" s="404">
        <f>F6*E6</f>
        <v>74250000</v>
      </c>
      <c r="H6" s="396"/>
    </row>
    <row r="7" spans="1:11">
      <c r="A7" s="369">
        <v>2</v>
      </c>
      <c r="B7" s="370" t="s">
        <v>977</v>
      </c>
      <c r="C7" s="369" t="s">
        <v>393</v>
      </c>
      <c r="D7" s="42">
        <v>17</v>
      </c>
      <c r="E7" s="42">
        <f t="shared" ref="E7:E18" si="0">D7*150</f>
        <v>2550</v>
      </c>
      <c r="F7" s="42">
        <v>42000</v>
      </c>
      <c r="G7" s="404">
        <f t="shared" ref="G7:G17" si="1">F7*E7</f>
        <v>107100000</v>
      </c>
      <c r="H7" s="396"/>
      <c r="K7" s="405">
        <f>SUM(G6:G18)</f>
        <v>1985850000</v>
      </c>
    </row>
    <row r="8" spans="1:11">
      <c r="A8" s="369">
        <v>3</v>
      </c>
      <c r="B8" s="370" t="s">
        <v>978</v>
      </c>
      <c r="C8" s="369" t="s">
        <v>513</v>
      </c>
      <c r="D8" s="42">
        <v>100</v>
      </c>
      <c r="E8" s="42">
        <f t="shared" si="0"/>
        <v>15000</v>
      </c>
      <c r="F8" s="42">
        <v>30000</v>
      </c>
      <c r="G8" s="404">
        <f t="shared" si="1"/>
        <v>450000000</v>
      </c>
      <c r="H8" s="396"/>
      <c r="K8" s="439">
        <v>1800000000</v>
      </c>
    </row>
    <row r="9" spans="1:11">
      <c r="A9" s="369">
        <v>4</v>
      </c>
      <c r="B9" s="370" t="s">
        <v>979</v>
      </c>
      <c r="C9" s="369" t="s">
        <v>11</v>
      </c>
      <c r="D9" s="42">
        <v>14</v>
      </c>
      <c r="E9" s="42">
        <f t="shared" si="0"/>
        <v>2100</v>
      </c>
      <c r="F9" s="42">
        <v>30000</v>
      </c>
      <c r="G9" s="404">
        <f t="shared" si="1"/>
        <v>63000000</v>
      </c>
      <c r="H9" s="396"/>
      <c r="K9" s="405">
        <f>K7-K8</f>
        <v>185850000</v>
      </c>
    </row>
    <row r="10" spans="1:11">
      <c r="A10" s="369">
        <v>5</v>
      </c>
      <c r="B10" s="370" t="s">
        <v>980</v>
      </c>
      <c r="C10" s="369" t="s">
        <v>11</v>
      </c>
      <c r="D10" s="42">
        <v>100</v>
      </c>
      <c r="E10" s="42">
        <f t="shared" si="0"/>
        <v>15000</v>
      </c>
      <c r="F10" s="42">
        <v>16000</v>
      </c>
      <c r="G10" s="404">
        <f t="shared" si="1"/>
        <v>240000000</v>
      </c>
      <c r="H10" s="396"/>
      <c r="K10" s="381">
        <f>K9/K7</f>
        <v>9.358712893723091E-2</v>
      </c>
    </row>
    <row r="11" spans="1:11">
      <c r="A11" s="369">
        <v>6</v>
      </c>
      <c r="B11" s="370" t="s">
        <v>981</v>
      </c>
      <c r="C11" s="369" t="s">
        <v>11</v>
      </c>
      <c r="D11" s="42">
        <v>7</v>
      </c>
      <c r="E11" s="42">
        <f t="shared" si="0"/>
        <v>1050</v>
      </c>
      <c r="F11" s="42">
        <v>20000</v>
      </c>
      <c r="G11" s="404">
        <f t="shared" si="1"/>
        <v>21000000</v>
      </c>
      <c r="H11" s="396"/>
    </row>
    <row r="12" spans="1:11">
      <c r="A12" s="369">
        <v>7</v>
      </c>
      <c r="B12" s="370" t="s">
        <v>982</v>
      </c>
      <c r="C12" s="369" t="s">
        <v>11</v>
      </c>
      <c r="D12" s="42">
        <v>70</v>
      </c>
      <c r="E12" s="42">
        <f t="shared" si="0"/>
        <v>10500</v>
      </c>
      <c r="F12" s="42">
        <v>15000</v>
      </c>
      <c r="G12" s="404">
        <f t="shared" si="1"/>
        <v>157500000</v>
      </c>
      <c r="H12" s="396"/>
    </row>
    <row r="13" spans="1:11">
      <c r="A13" s="369">
        <v>8</v>
      </c>
      <c r="B13" s="370" t="s">
        <v>983</v>
      </c>
      <c r="C13" s="369" t="s">
        <v>11</v>
      </c>
      <c r="D13" s="42">
        <v>10</v>
      </c>
      <c r="E13" s="42">
        <f t="shared" si="0"/>
        <v>1500</v>
      </c>
      <c r="F13" s="42">
        <v>200000</v>
      </c>
      <c r="G13" s="404">
        <f t="shared" si="1"/>
        <v>300000000</v>
      </c>
      <c r="H13" s="396"/>
    </row>
    <row r="14" spans="1:11">
      <c r="A14" s="369">
        <v>9</v>
      </c>
      <c r="B14" s="370" t="s">
        <v>984</v>
      </c>
      <c r="C14" s="369" t="s">
        <v>393</v>
      </c>
      <c r="D14" s="42">
        <v>7</v>
      </c>
      <c r="E14" s="42">
        <f t="shared" si="0"/>
        <v>1050</v>
      </c>
      <c r="F14" s="42">
        <v>150000</v>
      </c>
      <c r="G14" s="404">
        <f t="shared" si="1"/>
        <v>157500000</v>
      </c>
      <c r="H14" s="396"/>
    </row>
    <row r="15" spans="1:11">
      <c r="A15" s="369">
        <v>10</v>
      </c>
      <c r="B15" s="370" t="s">
        <v>985</v>
      </c>
      <c r="C15" s="369" t="s">
        <v>396</v>
      </c>
      <c r="D15" s="42">
        <v>3</v>
      </c>
      <c r="E15" s="42">
        <f t="shared" si="0"/>
        <v>450</v>
      </c>
      <c r="F15" s="42">
        <v>50000</v>
      </c>
      <c r="G15" s="404">
        <f t="shared" si="1"/>
        <v>22500000</v>
      </c>
      <c r="H15" s="396"/>
    </row>
    <row r="16" spans="1:11">
      <c r="A16" s="369">
        <v>11</v>
      </c>
      <c r="B16" s="370" t="s">
        <v>986</v>
      </c>
      <c r="C16" s="369" t="s">
        <v>987</v>
      </c>
      <c r="D16" s="42">
        <v>17</v>
      </c>
      <c r="E16" s="42">
        <f t="shared" si="0"/>
        <v>2550</v>
      </c>
      <c r="F16" s="418">
        <v>10000</v>
      </c>
      <c r="G16" s="404">
        <f t="shared" si="1"/>
        <v>25500000</v>
      </c>
      <c r="H16" s="396"/>
    </row>
    <row r="17" spans="1:8">
      <c r="A17" s="369">
        <v>12</v>
      </c>
      <c r="B17" s="370" t="s">
        <v>988</v>
      </c>
      <c r="C17" s="369" t="s">
        <v>11</v>
      </c>
      <c r="D17" s="42">
        <v>7</v>
      </c>
      <c r="E17" s="42">
        <f t="shared" si="0"/>
        <v>1050</v>
      </c>
      <c r="F17" s="418">
        <v>150000</v>
      </c>
      <c r="G17" s="404">
        <f t="shared" si="1"/>
        <v>157500000</v>
      </c>
      <c r="H17" s="396"/>
    </row>
    <row r="18" spans="1:8">
      <c r="A18" s="369">
        <v>13</v>
      </c>
      <c r="B18" s="370" t="s">
        <v>989</v>
      </c>
      <c r="C18" s="369" t="s">
        <v>418</v>
      </c>
      <c r="D18" s="418">
        <v>7</v>
      </c>
      <c r="E18" s="42">
        <f t="shared" si="0"/>
        <v>1050</v>
      </c>
      <c r="F18" s="418">
        <v>200000</v>
      </c>
      <c r="G18" s="404">
        <f>F18*E18</f>
        <v>210000000</v>
      </c>
      <c r="H18" s="396"/>
    </row>
    <row r="19" spans="1:8">
      <c r="A19" s="369">
        <v>20</v>
      </c>
      <c r="B19" s="370" t="s">
        <v>990</v>
      </c>
      <c r="C19" s="369"/>
      <c r="D19" s="416"/>
      <c r="E19" s="416"/>
      <c r="F19" s="418"/>
      <c r="G19" s="417">
        <v>12000000</v>
      </c>
    </row>
    <row r="20" spans="1:8">
      <c r="A20" s="369">
        <v>22</v>
      </c>
      <c r="B20" s="370" t="s">
        <v>323</v>
      </c>
      <c r="C20" s="370"/>
      <c r="D20" s="370"/>
      <c r="E20" s="370"/>
      <c r="F20" s="42"/>
      <c r="G20" s="404">
        <v>1100000</v>
      </c>
    </row>
    <row r="21" spans="1:8">
      <c r="A21" s="369">
        <v>23</v>
      </c>
      <c r="B21" s="370" t="s">
        <v>291</v>
      </c>
      <c r="C21" s="370"/>
      <c r="D21" s="370"/>
      <c r="E21" s="370"/>
      <c r="F21" s="42"/>
      <c r="G21" s="404">
        <f>K8*6.5%*5/12</f>
        <v>48750000</v>
      </c>
    </row>
    <row r="22" spans="1:8">
      <c r="A22" s="369">
        <v>24</v>
      </c>
      <c r="B22" s="370" t="s">
        <v>292</v>
      </c>
      <c r="C22" s="370"/>
      <c r="D22" s="370"/>
      <c r="E22" s="370"/>
      <c r="F22" s="42"/>
      <c r="G22" s="404">
        <f>G24*0.005</f>
        <v>11400000</v>
      </c>
      <c r="H22" s="405"/>
    </row>
    <row r="23" spans="1:8">
      <c r="A23" s="369">
        <v>25</v>
      </c>
      <c r="B23" s="370" t="s">
        <v>293</v>
      </c>
      <c r="C23" s="370"/>
      <c r="D23" s="370"/>
      <c r="E23" s="370"/>
      <c r="F23" s="42"/>
      <c r="G23" s="404">
        <v>6000000</v>
      </c>
    </row>
    <row r="24" spans="1:8">
      <c r="A24" s="367" t="s">
        <v>116</v>
      </c>
      <c r="B24" s="365" t="s">
        <v>242</v>
      </c>
      <c r="C24" s="412"/>
      <c r="D24" s="413"/>
      <c r="E24" s="413"/>
      <c r="F24" s="420"/>
      <c r="G24" s="414">
        <f>SUM(G25:G29)</f>
        <v>2280000000</v>
      </c>
    </row>
    <row r="25" spans="1:8">
      <c r="A25" s="369">
        <v>1</v>
      </c>
      <c r="B25" s="370" t="s">
        <v>991</v>
      </c>
      <c r="C25" s="369" t="s">
        <v>108</v>
      </c>
      <c r="D25" s="42">
        <v>50</v>
      </c>
      <c r="E25" s="42">
        <f>D25*150</f>
        <v>7500</v>
      </c>
      <c r="F25" s="42">
        <v>40000</v>
      </c>
      <c r="G25" s="404">
        <f>F25*E25</f>
        <v>300000000</v>
      </c>
    </row>
    <row r="26" spans="1:8">
      <c r="A26" s="369">
        <v>2</v>
      </c>
      <c r="B26" s="370" t="s">
        <v>992</v>
      </c>
      <c r="C26" s="369" t="s">
        <v>108</v>
      </c>
      <c r="D26" s="42">
        <v>15</v>
      </c>
      <c r="E26" s="42">
        <f>D26*150</f>
        <v>2250</v>
      </c>
      <c r="F26" s="42">
        <v>300000</v>
      </c>
      <c r="G26" s="404">
        <f>F26*E26</f>
        <v>675000000</v>
      </c>
    </row>
    <row r="27" spans="1:8">
      <c r="A27" s="369">
        <v>2</v>
      </c>
      <c r="B27" s="370" t="s">
        <v>993</v>
      </c>
      <c r="C27" s="369" t="s">
        <v>108</v>
      </c>
      <c r="D27" s="42">
        <v>15</v>
      </c>
      <c r="E27" s="42">
        <f>D27*150</f>
        <v>2250</v>
      </c>
      <c r="F27" s="42">
        <v>500000</v>
      </c>
      <c r="G27" s="404">
        <f>F27*E27</f>
        <v>1125000000</v>
      </c>
    </row>
    <row r="28" spans="1:8">
      <c r="A28" s="369">
        <v>3</v>
      </c>
      <c r="B28" s="370" t="s">
        <v>994</v>
      </c>
      <c r="C28" s="369" t="s">
        <v>120</v>
      </c>
      <c r="D28" s="42">
        <v>30</v>
      </c>
      <c r="E28" s="42">
        <f>D28*150</f>
        <v>4500</v>
      </c>
      <c r="F28" s="42">
        <v>20000</v>
      </c>
      <c r="G28" s="404">
        <f>F28*E28</f>
        <v>90000000</v>
      </c>
    </row>
    <row r="29" spans="1:8">
      <c r="A29" s="369">
        <v>4</v>
      </c>
      <c r="B29" s="370" t="s">
        <v>981</v>
      </c>
      <c r="C29" s="369" t="s">
        <v>120</v>
      </c>
      <c r="D29" s="42">
        <v>40</v>
      </c>
      <c r="E29" s="42">
        <f>D29*150</f>
        <v>6000</v>
      </c>
      <c r="F29" s="42">
        <v>15000</v>
      </c>
      <c r="G29" s="404">
        <f>F29*E29</f>
        <v>90000000</v>
      </c>
    </row>
    <row r="30" spans="1:8">
      <c r="A30" s="367" t="s">
        <v>135</v>
      </c>
      <c r="B30" s="365" t="s">
        <v>406</v>
      </c>
      <c r="C30" s="365"/>
      <c r="D30" s="365"/>
      <c r="E30" s="365"/>
      <c r="F30" s="38"/>
      <c r="G30" s="403">
        <f>G24-G5</f>
        <v>214900000</v>
      </c>
    </row>
    <row r="31" spans="1:8" ht="17.25">
      <c r="A31" s="421" t="s">
        <v>221</v>
      </c>
      <c r="B31" s="2581" t="s">
        <v>222</v>
      </c>
      <c r="C31" s="2582"/>
      <c r="D31" s="2324"/>
      <c r="E31" s="415"/>
      <c r="F31" s="422"/>
      <c r="G31" s="95">
        <f>G30/G24</f>
        <v>9.4254385964912285E-2</v>
      </c>
    </row>
  </sheetData>
  <mergeCells count="1">
    <mergeCell ref="B31:C31"/>
  </mergeCells>
  <pageMargins left="0.7" right="0.7" top="0.75" bottom="0.75" header="0.3" footer="0.3"/>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I41"/>
  <sheetViews>
    <sheetView zoomScaleNormal="100" workbookViewId="0">
      <selection activeCell="J13" sqref="J13"/>
    </sheetView>
  </sheetViews>
  <sheetFormatPr defaultRowHeight="16.5"/>
  <cols>
    <col min="1" max="1" width="4.28515625" style="525" customWidth="1"/>
    <col min="2" max="2" width="33.5703125" style="525" customWidth="1"/>
    <col min="3" max="3" width="8.5703125" style="1095" bestFit="1" customWidth="1"/>
    <col min="4" max="4" width="9.28515625" style="525" customWidth="1"/>
    <col min="5" max="5" width="14.5703125" style="8" bestFit="1" customWidth="1"/>
    <col min="6" max="6" width="18.140625" style="8" customWidth="1"/>
    <col min="7" max="7" width="19.7109375" style="8" bestFit="1" customWidth="1"/>
    <col min="8" max="8" width="9.140625" style="525" customWidth="1"/>
    <col min="9" max="9" width="16.140625" style="525" customWidth="1"/>
    <col min="10" max="11" width="9.140625" style="525"/>
    <col min="12" max="12" width="19.7109375" style="525" bestFit="1" customWidth="1"/>
    <col min="13" max="256" width="9.140625" style="525"/>
    <col min="257" max="257" width="4.28515625" style="525" customWidth="1"/>
    <col min="258" max="258" width="33.5703125" style="525" customWidth="1"/>
    <col min="259" max="259" width="8.5703125" style="525" bestFit="1" customWidth="1"/>
    <col min="260" max="260" width="9.28515625" style="525" customWidth="1"/>
    <col min="261" max="261" width="12.5703125" style="525" customWidth="1"/>
    <col min="262" max="262" width="18.140625" style="525" customWidth="1"/>
    <col min="263" max="263" width="19.7109375" style="525" bestFit="1" customWidth="1"/>
    <col min="264" max="264" width="9.140625" style="525" customWidth="1"/>
    <col min="265" max="265" width="16.140625" style="525" customWidth="1"/>
    <col min="266" max="267" width="9.140625" style="525"/>
    <col min="268" max="268" width="19.7109375" style="525" bestFit="1" customWidth="1"/>
    <col min="269" max="512" width="9.140625" style="525"/>
    <col min="513" max="513" width="4.28515625" style="525" customWidth="1"/>
    <col min="514" max="514" width="33.5703125" style="525" customWidth="1"/>
    <col min="515" max="515" width="8.5703125" style="525" bestFit="1" customWidth="1"/>
    <col min="516" max="516" width="9.28515625" style="525" customWidth="1"/>
    <col min="517" max="517" width="12.5703125" style="525" customWidth="1"/>
    <col min="518" max="518" width="18.140625" style="525" customWidth="1"/>
    <col min="519" max="519" width="19.7109375" style="525" bestFit="1" customWidth="1"/>
    <col min="520" max="520" width="9.140625" style="525" customWidth="1"/>
    <col min="521" max="521" width="16.140625" style="525" customWidth="1"/>
    <col min="522" max="523" width="9.140625" style="525"/>
    <col min="524" max="524" width="19.7109375" style="525" bestFit="1" customWidth="1"/>
    <col min="525" max="768" width="9.140625" style="525"/>
    <col min="769" max="769" width="4.28515625" style="525" customWidth="1"/>
    <col min="770" max="770" width="33.5703125" style="525" customWidth="1"/>
    <col min="771" max="771" width="8.5703125" style="525" bestFit="1" customWidth="1"/>
    <col min="772" max="772" width="9.28515625" style="525" customWidth="1"/>
    <col min="773" max="773" width="12.5703125" style="525" customWidth="1"/>
    <col min="774" max="774" width="18.140625" style="525" customWidth="1"/>
    <col min="775" max="775" width="19.7109375" style="525" bestFit="1" customWidth="1"/>
    <col min="776" max="776" width="9.140625" style="525" customWidth="1"/>
    <col min="777" max="777" width="16.140625" style="525" customWidth="1"/>
    <col min="778" max="779" width="9.140625" style="525"/>
    <col min="780" max="780" width="19.7109375" style="525" bestFit="1" customWidth="1"/>
    <col min="781" max="1024" width="9.140625" style="525"/>
    <col min="1025" max="1025" width="4.28515625" style="525" customWidth="1"/>
    <col min="1026" max="1026" width="33.5703125" style="525" customWidth="1"/>
    <col min="1027" max="1027" width="8.5703125" style="525" bestFit="1" customWidth="1"/>
    <col min="1028" max="1028" width="9.28515625" style="525" customWidth="1"/>
    <col min="1029" max="1029" width="12.5703125" style="525" customWidth="1"/>
    <col min="1030" max="1030" width="18.140625" style="525" customWidth="1"/>
    <col min="1031" max="1031" width="19.7109375" style="525" bestFit="1" customWidth="1"/>
    <col min="1032" max="1032" width="9.140625" style="525" customWidth="1"/>
    <col min="1033" max="1033" width="16.140625" style="525" customWidth="1"/>
    <col min="1034" max="1035" width="9.140625" style="525"/>
    <col min="1036" max="1036" width="19.7109375" style="525" bestFit="1" customWidth="1"/>
    <col min="1037" max="1280" width="9.140625" style="525"/>
    <col min="1281" max="1281" width="4.28515625" style="525" customWidth="1"/>
    <col min="1282" max="1282" width="33.5703125" style="525" customWidth="1"/>
    <col min="1283" max="1283" width="8.5703125" style="525" bestFit="1" customWidth="1"/>
    <col min="1284" max="1284" width="9.28515625" style="525" customWidth="1"/>
    <col min="1285" max="1285" width="12.5703125" style="525" customWidth="1"/>
    <col min="1286" max="1286" width="18.140625" style="525" customWidth="1"/>
    <col min="1287" max="1287" width="19.7109375" style="525" bestFit="1" customWidth="1"/>
    <col min="1288" max="1288" width="9.140625" style="525" customWidth="1"/>
    <col min="1289" max="1289" width="16.140625" style="525" customWidth="1"/>
    <col min="1290" max="1291" width="9.140625" style="525"/>
    <col min="1292" max="1292" width="19.7109375" style="525" bestFit="1" customWidth="1"/>
    <col min="1293" max="1536" width="9.140625" style="525"/>
    <col min="1537" max="1537" width="4.28515625" style="525" customWidth="1"/>
    <col min="1538" max="1538" width="33.5703125" style="525" customWidth="1"/>
    <col min="1539" max="1539" width="8.5703125" style="525" bestFit="1" customWidth="1"/>
    <col min="1540" max="1540" width="9.28515625" style="525" customWidth="1"/>
    <col min="1541" max="1541" width="12.5703125" style="525" customWidth="1"/>
    <col min="1542" max="1542" width="18.140625" style="525" customWidth="1"/>
    <col min="1543" max="1543" width="19.7109375" style="525" bestFit="1" customWidth="1"/>
    <col min="1544" max="1544" width="9.140625" style="525" customWidth="1"/>
    <col min="1545" max="1545" width="16.140625" style="525" customWidth="1"/>
    <col min="1546" max="1547" width="9.140625" style="525"/>
    <col min="1548" max="1548" width="19.7109375" style="525" bestFit="1" customWidth="1"/>
    <col min="1549" max="1792" width="9.140625" style="525"/>
    <col min="1793" max="1793" width="4.28515625" style="525" customWidth="1"/>
    <col min="1794" max="1794" width="33.5703125" style="525" customWidth="1"/>
    <col min="1795" max="1795" width="8.5703125" style="525" bestFit="1" customWidth="1"/>
    <col min="1796" max="1796" width="9.28515625" style="525" customWidth="1"/>
    <col min="1797" max="1797" width="12.5703125" style="525" customWidth="1"/>
    <col min="1798" max="1798" width="18.140625" style="525" customWidth="1"/>
    <col min="1799" max="1799" width="19.7109375" style="525" bestFit="1" customWidth="1"/>
    <col min="1800" max="1800" width="9.140625" style="525" customWidth="1"/>
    <col min="1801" max="1801" width="16.140625" style="525" customWidth="1"/>
    <col min="1802" max="1803" width="9.140625" style="525"/>
    <col min="1804" max="1804" width="19.7109375" style="525" bestFit="1" customWidth="1"/>
    <col min="1805" max="2048" width="9.140625" style="525"/>
    <col min="2049" max="2049" width="4.28515625" style="525" customWidth="1"/>
    <col min="2050" max="2050" width="33.5703125" style="525" customWidth="1"/>
    <col min="2051" max="2051" width="8.5703125" style="525" bestFit="1" customWidth="1"/>
    <col min="2052" max="2052" width="9.28515625" style="525" customWidth="1"/>
    <col min="2053" max="2053" width="12.5703125" style="525" customWidth="1"/>
    <col min="2054" max="2054" width="18.140625" style="525" customWidth="1"/>
    <col min="2055" max="2055" width="19.7109375" style="525" bestFit="1" customWidth="1"/>
    <col min="2056" max="2056" width="9.140625" style="525" customWidth="1"/>
    <col min="2057" max="2057" width="16.140625" style="525" customWidth="1"/>
    <col min="2058" max="2059" width="9.140625" style="525"/>
    <col min="2060" max="2060" width="19.7109375" style="525" bestFit="1" customWidth="1"/>
    <col min="2061" max="2304" width="9.140625" style="525"/>
    <col min="2305" max="2305" width="4.28515625" style="525" customWidth="1"/>
    <col min="2306" max="2306" width="33.5703125" style="525" customWidth="1"/>
    <col min="2307" max="2307" width="8.5703125" style="525" bestFit="1" customWidth="1"/>
    <col min="2308" max="2308" width="9.28515625" style="525" customWidth="1"/>
    <col min="2309" max="2309" width="12.5703125" style="525" customWidth="1"/>
    <col min="2310" max="2310" width="18.140625" style="525" customWidth="1"/>
    <col min="2311" max="2311" width="19.7109375" style="525" bestFit="1" customWidth="1"/>
    <col min="2312" max="2312" width="9.140625" style="525" customWidth="1"/>
    <col min="2313" max="2313" width="16.140625" style="525" customWidth="1"/>
    <col min="2314" max="2315" width="9.140625" style="525"/>
    <col min="2316" max="2316" width="19.7109375" style="525" bestFit="1" customWidth="1"/>
    <col min="2317" max="2560" width="9.140625" style="525"/>
    <col min="2561" max="2561" width="4.28515625" style="525" customWidth="1"/>
    <col min="2562" max="2562" width="33.5703125" style="525" customWidth="1"/>
    <col min="2563" max="2563" width="8.5703125" style="525" bestFit="1" customWidth="1"/>
    <col min="2564" max="2564" width="9.28515625" style="525" customWidth="1"/>
    <col min="2565" max="2565" width="12.5703125" style="525" customWidth="1"/>
    <col min="2566" max="2566" width="18.140625" style="525" customWidth="1"/>
    <col min="2567" max="2567" width="19.7109375" style="525" bestFit="1" customWidth="1"/>
    <col min="2568" max="2568" width="9.140625" style="525" customWidth="1"/>
    <col min="2569" max="2569" width="16.140625" style="525" customWidth="1"/>
    <col min="2570" max="2571" width="9.140625" style="525"/>
    <col min="2572" max="2572" width="19.7109375" style="525" bestFit="1" customWidth="1"/>
    <col min="2573" max="2816" width="9.140625" style="525"/>
    <col min="2817" max="2817" width="4.28515625" style="525" customWidth="1"/>
    <col min="2818" max="2818" width="33.5703125" style="525" customWidth="1"/>
    <col min="2819" max="2819" width="8.5703125" style="525" bestFit="1" customWidth="1"/>
    <col min="2820" max="2820" width="9.28515625" style="525" customWidth="1"/>
    <col min="2821" max="2821" width="12.5703125" style="525" customWidth="1"/>
    <col min="2822" max="2822" width="18.140625" style="525" customWidth="1"/>
    <col min="2823" max="2823" width="19.7109375" style="525" bestFit="1" customWidth="1"/>
    <col min="2824" max="2824" width="9.140625" style="525" customWidth="1"/>
    <col min="2825" max="2825" width="16.140625" style="525" customWidth="1"/>
    <col min="2826" max="2827" width="9.140625" style="525"/>
    <col min="2828" max="2828" width="19.7109375" style="525" bestFit="1" customWidth="1"/>
    <col min="2829" max="3072" width="9.140625" style="525"/>
    <col min="3073" max="3073" width="4.28515625" style="525" customWidth="1"/>
    <col min="3074" max="3074" width="33.5703125" style="525" customWidth="1"/>
    <col min="3075" max="3075" width="8.5703125" style="525" bestFit="1" customWidth="1"/>
    <col min="3076" max="3076" width="9.28515625" style="525" customWidth="1"/>
    <col min="3077" max="3077" width="12.5703125" style="525" customWidth="1"/>
    <col min="3078" max="3078" width="18.140625" style="525" customWidth="1"/>
    <col min="3079" max="3079" width="19.7109375" style="525" bestFit="1" customWidth="1"/>
    <col min="3080" max="3080" width="9.140625" style="525" customWidth="1"/>
    <col min="3081" max="3081" width="16.140625" style="525" customWidth="1"/>
    <col min="3082" max="3083" width="9.140625" style="525"/>
    <col min="3084" max="3084" width="19.7109375" style="525" bestFit="1" customWidth="1"/>
    <col min="3085" max="3328" width="9.140625" style="525"/>
    <col min="3329" max="3329" width="4.28515625" style="525" customWidth="1"/>
    <col min="3330" max="3330" width="33.5703125" style="525" customWidth="1"/>
    <col min="3331" max="3331" width="8.5703125" style="525" bestFit="1" customWidth="1"/>
    <col min="3332" max="3332" width="9.28515625" style="525" customWidth="1"/>
    <col min="3333" max="3333" width="12.5703125" style="525" customWidth="1"/>
    <col min="3334" max="3334" width="18.140625" style="525" customWidth="1"/>
    <col min="3335" max="3335" width="19.7109375" style="525" bestFit="1" customWidth="1"/>
    <col min="3336" max="3336" width="9.140625" style="525" customWidth="1"/>
    <col min="3337" max="3337" width="16.140625" style="525" customWidth="1"/>
    <col min="3338" max="3339" width="9.140625" style="525"/>
    <col min="3340" max="3340" width="19.7109375" style="525" bestFit="1" customWidth="1"/>
    <col min="3341" max="3584" width="9.140625" style="525"/>
    <col min="3585" max="3585" width="4.28515625" style="525" customWidth="1"/>
    <col min="3586" max="3586" width="33.5703125" style="525" customWidth="1"/>
    <col min="3587" max="3587" width="8.5703125" style="525" bestFit="1" customWidth="1"/>
    <col min="3588" max="3588" width="9.28515625" style="525" customWidth="1"/>
    <col min="3589" max="3589" width="12.5703125" style="525" customWidth="1"/>
    <col min="3590" max="3590" width="18.140625" style="525" customWidth="1"/>
    <col min="3591" max="3591" width="19.7109375" style="525" bestFit="1" customWidth="1"/>
    <col min="3592" max="3592" width="9.140625" style="525" customWidth="1"/>
    <col min="3593" max="3593" width="16.140625" style="525" customWidth="1"/>
    <col min="3594" max="3595" width="9.140625" style="525"/>
    <col min="3596" max="3596" width="19.7109375" style="525" bestFit="1" customWidth="1"/>
    <col min="3597" max="3840" width="9.140625" style="525"/>
    <col min="3841" max="3841" width="4.28515625" style="525" customWidth="1"/>
    <col min="3842" max="3842" width="33.5703125" style="525" customWidth="1"/>
    <col min="3843" max="3843" width="8.5703125" style="525" bestFit="1" customWidth="1"/>
    <col min="3844" max="3844" width="9.28515625" style="525" customWidth="1"/>
    <col min="3845" max="3845" width="12.5703125" style="525" customWidth="1"/>
    <col min="3846" max="3846" width="18.140625" style="525" customWidth="1"/>
    <col min="3847" max="3847" width="19.7109375" style="525" bestFit="1" customWidth="1"/>
    <col min="3848" max="3848" width="9.140625" style="525" customWidth="1"/>
    <col min="3849" max="3849" width="16.140625" style="525" customWidth="1"/>
    <col min="3850" max="3851" width="9.140625" style="525"/>
    <col min="3852" max="3852" width="19.7109375" style="525" bestFit="1" customWidth="1"/>
    <col min="3853" max="4096" width="9.140625" style="525"/>
    <col min="4097" max="4097" width="4.28515625" style="525" customWidth="1"/>
    <col min="4098" max="4098" width="33.5703125" style="525" customWidth="1"/>
    <col min="4099" max="4099" width="8.5703125" style="525" bestFit="1" customWidth="1"/>
    <col min="4100" max="4100" width="9.28515625" style="525" customWidth="1"/>
    <col min="4101" max="4101" width="12.5703125" style="525" customWidth="1"/>
    <col min="4102" max="4102" width="18.140625" style="525" customWidth="1"/>
    <col min="4103" max="4103" width="19.7109375" style="525" bestFit="1" customWidth="1"/>
    <col min="4104" max="4104" width="9.140625" style="525" customWidth="1"/>
    <col min="4105" max="4105" width="16.140625" style="525" customWidth="1"/>
    <col min="4106" max="4107" width="9.140625" style="525"/>
    <col min="4108" max="4108" width="19.7109375" style="525" bestFit="1" customWidth="1"/>
    <col min="4109" max="4352" width="9.140625" style="525"/>
    <col min="4353" max="4353" width="4.28515625" style="525" customWidth="1"/>
    <col min="4354" max="4354" width="33.5703125" style="525" customWidth="1"/>
    <col min="4355" max="4355" width="8.5703125" style="525" bestFit="1" customWidth="1"/>
    <col min="4356" max="4356" width="9.28515625" style="525" customWidth="1"/>
    <col min="4357" max="4357" width="12.5703125" style="525" customWidth="1"/>
    <col min="4358" max="4358" width="18.140625" style="525" customWidth="1"/>
    <col min="4359" max="4359" width="19.7109375" style="525" bestFit="1" customWidth="1"/>
    <col min="4360" max="4360" width="9.140625" style="525" customWidth="1"/>
    <col min="4361" max="4361" width="16.140625" style="525" customWidth="1"/>
    <col min="4362" max="4363" width="9.140625" style="525"/>
    <col min="4364" max="4364" width="19.7109375" style="525" bestFit="1" customWidth="1"/>
    <col min="4365" max="4608" width="9.140625" style="525"/>
    <col min="4609" max="4609" width="4.28515625" style="525" customWidth="1"/>
    <col min="4610" max="4610" width="33.5703125" style="525" customWidth="1"/>
    <col min="4611" max="4611" width="8.5703125" style="525" bestFit="1" customWidth="1"/>
    <col min="4612" max="4612" width="9.28515625" style="525" customWidth="1"/>
    <col min="4613" max="4613" width="12.5703125" style="525" customWidth="1"/>
    <col min="4614" max="4614" width="18.140625" style="525" customWidth="1"/>
    <col min="4615" max="4615" width="19.7109375" style="525" bestFit="1" customWidth="1"/>
    <col min="4616" max="4616" width="9.140625" style="525" customWidth="1"/>
    <col min="4617" max="4617" width="16.140625" style="525" customWidth="1"/>
    <col min="4618" max="4619" width="9.140625" style="525"/>
    <col min="4620" max="4620" width="19.7109375" style="525" bestFit="1" customWidth="1"/>
    <col min="4621" max="4864" width="9.140625" style="525"/>
    <col min="4865" max="4865" width="4.28515625" style="525" customWidth="1"/>
    <col min="4866" max="4866" width="33.5703125" style="525" customWidth="1"/>
    <col min="4867" max="4867" width="8.5703125" style="525" bestFit="1" customWidth="1"/>
    <col min="4868" max="4868" width="9.28515625" style="525" customWidth="1"/>
    <col min="4869" max="4869" width="12.5703125" style="525" customWidth="1"/>
    <col min="4870" max="4870" width="18.140625" style="525" customWidth="1"/>
    <col min="4871" max="4871" width="19.7109375" style="525" bestFit="1" customWidth="1"/>
    <col min="4872" max="4872" width="9.140625" style="525" customWidth="1"/>
    <col min="4873" max="4873" width="16.140625" style="525" customWidth="1"/>
    <col min="4874" max="4875" width="9.140625" style="525"/>
    <col min="4876" max="4876" width="19.7109375" style="525" bestFit="1" customWidth="1"/>
    <col min="4877" max="5120" width="9.140625" style="525"/>
    <col min="5121" max="5121" width="4.28515625" style="525" customWidth="1"/>
    <col min="5122" max="5122" width="33.5703125" style="525" customWidth="1"/>
    <col min="5123" max="5123" width="8.5703125" style="525" bestFit="1" customWidth="1"/>
    <col min="5124" max="5124" width="9.28515625" style="525" customWidth="1"/>
    <col min="5125" max="5125" width="12.5703125" style="525" customWidth="1"/>
    <col min="5126" max="5126" width="18.140625" style="525" customWidth="1"/>
    <col min="5127" max="5127" width="19.7109375" style="525" bestFit="1" customWidth="1"/>
    <col min="5128" max="5128" width="9.140625" style="525" customWidth="1"/>
    <col min="5129" max="5129" width="16.140625" style="525" customWidth="1"/>
    <col min="5130" max="5131" width="9.140625" style="525"/>
    <col min="5132" max="5132" width="19.7109375" style="525" bestFit="1" customWidth="1"/>
    <col min="5133" max="5376" width="9.140625" style="525"/>
    <col min="5377" max="5377" width="4.28515625" style="525" customWidth="1"/>
    <col min="5378" max="5378" width="33.5703125" style="525" customWidth="1"/>
    <col min="5379" max="5379" width="8.5703125" style="525" bestFit="1" customWidth="1"/>
    <col min="5380" max="5380" width="9.28515625" style="525" customWidth="1"/>
    <col min="5381" max="5381" width="12.5703125" style="525" customWidth="1"/>
    <col min="5382" max="5382" width="18.140625" style="525" customWidth="1"/>
    <col min="5383" max="5383" width="19.7109375" style="525" bestFit="1" customWidth="1"/>
    <col min="5384" max="5384" width="9.140625" style="525" customWidth="1"/>
    <col min="5385" max="5385" width="16.140625" style="525" customWidth="1"/>
    <col min="5386" max="5387" width="9.140625" style="525"/>
    <col min="5388" max="5388" width="19.7109375" style="525" bestFit="1" customWidth="1"/>
    <col min="5389" max="5632" width="9.140625" style="525"/>
    <col min="5633" max="5633" width="4.28515625" style="525" customWidth="1"/>
    <col min="5634" max="5634" width="33.5703125" style="525" customWidth="1"/>
    <col min="5635" max="5635" width="8.5703125" style="525" bestFit="1" customWidth="1"/>
    <col min="5636" max="5636" width="9.28515625" style="525" customWidth="1"/>
    <col min="5637" max="5637" width="12.5703125" style="525" customWidth="1"/>
    <col min="5638" max="5638" width="18.140625" style="525" customWidth="1"/>
    <col min="5639" max="5639" width="19.7109375" style="525" bestFit="1" customWidth="1"/>
    <col min="5640" max="5640" width="9.140625" style="525" customWidth="1"/>
    <col min="5641" max="5641" width="16.140625" style="525" customWidth="1"/>
    <col min="5642" max="5643" width="9.140625" style="525"/>
    <col min="5644" max="5644" width="19.7109375" style="525" bestFit="1" customWidth="1"/>
    <col min="5645" max="5888" width="9.140625" style="525"/>
    <col min="5889" max="5889" width="4.28515625" style="525" customWidth="1"/>
    <col min="5890" max="5890" width="33.5703125" style="525" customWidth="1"/>
    <col min="5891" max="5891" width="8.5703125" style="525" bestFit="1" customWidth="1"/>
    <col min="5892" max="5892" width="9.28515625" style="525" customWidth="1"/>
    <col min="5893" max="5893" width="12.5703125" style="525" customWidth="1"/>
    <col min="5894" max="5894" width="18.140625" style="525" customWidth="1"/>
    <col min="5895" max="5895" width="19.7109375" style="525" bestFit="1" customWidth="1"/>
    <col min="5896" max="5896" width="9.140625" style="525" customWidth="1"/>
    <col min="5897" max="5897" width="16.140625" style="525" customWidth="1"/>
    <col min="5898" max="5899" width="9.140625" style="525"/>
    <col min="5900" max="5900" width="19.7109375" style="525" bestFit="1" customWidth="1"/>
    <col min="5901" max="6144" width="9.140625" style="525"/>
    <col min="6145" max="6145" width="4.28515625" style="525" customWidth="1"/>
    <col min="6146" max="6146" width="33.5703125" style="525" customWidth="1"/>
    <col min="6147" max="6147" width="8.5703125" style="525" bestFit="1" customWidth="1"/>
    <col min="6148" max="6148" width="9.28515625" style="525" customWidth="1"/>
    <col min="6149" max="6149" width="12.5703125" style="525" customWidth="1"/>
    <col min="6150" max="6150" width="18.140625" style="525" customWidth="1"/>
    <col min="6151" max="6151" width="19.7109375" style="525" bestFit="1" customWidth="1"/>
    <col min="6152" max="6152" width="9.140625" style="525" customWidth="1"/>
    <col min="6153" max="6153" width="16.140625" style="525" customWidth="1"/>
    <col min="6154" max="6155" width="9.140625" style="525"/>
    <col min="6156" max="6156" width="19.7109375" style="525" bestFit="1" customWidth="1"/>
    <col min="6157" max="6400" width="9.140625" style="525"/>
    <col min="6401" max="6401" width="4.28515625" style="525" customWidth="1"/>
    <col min="6402" max="6402" width="33.5703125" style="525" customWidth="1"/>
    <col min="6403" max="6403" width="8.5703125" style="525" bestFit="1" customWidth="1"/>
    <col min="6404" max="6404" width="9.28515625" style="525" customWidth="1"/>
    <col min="6405" max="6405" width="12.5703125" style="525" customWidth="1"/>
    <col min="6406" max="6406" width="18.140625" style="525" customWidth="1"/>
    <col min="6407" max="6407" width="19.7109375" style="525" bestFit="1" customWidth="1"/>
    <col min="6408" max="6408" width="9.140625" style="525" customWidth="1"/>
    <col min="6409" max="6409" width="16.140625" style="525" customWidth="1"/>
    <col min="6410" max="6411" width="9.140625" style="525"/>
    <col min="6412" max="6412" width="19.7109375" style="525" bestFit="1" customWidth="1"/>
    <col min="6413" max="6656" width="9.140625" style="525"/>
    <col min="6657" max="6657" width="4.28515625" style="525" customWidth="1"/>
    <col min="6658" max="6658" width="33.5703125" style="525" customWidth="1"/>
    <col min="6659" max="6659" width="8.5703125" style="525" bestFit="1" customWidth="1"/>
    <col min="6660" max="6660" width="9.28515625" style="525" customWidth="1"/>
    <col min="6661" max="6661" width="12.5703125" style="525" customWidth="1"/>
    <col min="6662" max="6662" width="18.140625" style="525" customWidth="1"/>
    <col min="6663" max="6663" width="19.7109375" style="525" bestFit="1" customWidth="1"/>
    <col min="6664" max="6664" width="9.140625" style="525" customWidth="1"/>
    <col min="6665" max="6665" width="16.140625" style="525" customWidth="1"/>
    <col min="6666" max="6667" width="9.140625" style="525"/>
    <col min="6668" max="6668" width="19.7109375" style="525" bestFit="1" customWidth="1"/>
    <col min="6669" max="6912" width="9.140625" style="525"/>
    <col min="6913" max="6913" width="4.28515625" style="525" customWidth="1"/>
    <col min="6914" max="6914" width="33.5703125" style="525" customWidth="1"/>
    <col min="6915" max="6915" width="8.5703125" style="525" bestFit="1" customWidth="1"/>
    <col min="6916" max="6916" width="9.28515625" style="525" customWidth="1"/>
    <col min="6917" max="6917" width="12.5703125" style="525" customWidth="1"/>
    <col min="6918" max="6918" width="18.140625" style="525" customWidth="1"/>
    <col min="6919" max="6919" width="19.7109375" style="525" bestFit="1" customWidth="1"/>
    <col min="6920" max="6920" width="9.140625" style="525" customWidth="1"/>
    <col min="6921" max="6921" width="16.140625" style="525" customWidth="1"/>
    <col min="6922" max="6923" width="9.140625" style="525"/>
    <col min="6924" max="6924" width="19.7109375" style="525" bestFit="1" customWidth="1"/>
    <col min="6925" max="7168" width="9.140625" style="525"/>
    <col min="7169" max="7169" width="4.28515625" style="525" customWidth="1"/>
    <col min="7170" max="7170" width="33.5703125" style="525" customWidth="1"/>
    <col min="7171" max="7171" width="8.5703125" style="525" bestFit="1" customWidth="1"/>
    <col min="7172" max="7172" width="9.28515625" style="525" customWidth="1"/>
    <col min="7173" max="7173" width="12.5703125" style="525" customWidth="1"/>
    <col min="7174" max="7174" width="18.140625" style="525" customWidth="1"/>
    <col min="7175" max="7175" width="19.7109375" style="525" bestFit="1" customWidth="1"/>
    <col min="7176" max="7176" width="9.140625" style="525" customWidth="1"/>
    <col min="7177" max="7177" width="16.140625" style="525" customWidth="1"/>
    <col min="7178" max="7179" width="9.140625" style="525"/>
    <col min="7180" max="7180" width="19.7109375" style="525" bestFit="1" customWidth="1"/>
    <col min="7181" max="7424" width="9.140625" style="525"/>
    <col min="7425" max="7425" width="4.28515625" style="525" customWidth="1"/>
    <col min="7426" max="7426" width="33.5703125" style="525" customWidth="1"/>
    <col min="7427" max="7427" width="8.5703125" style="525" bestFit="1" customWidth="1"/>
    <col min="7428" max="7428" width="9.28515625" style="525" customWidth="1"/>
    <col min="7429" max="7429" width="12.5703125" style="525" customWidth="1"/>
    <col min="7430" max="7430" width="18.140625" style="525" customWidth="1"/>
    <col min="7431" max="7431" width="19.7109375" style="525" bestFit="1" customWidth="1"/>
    <col min="7432" max="7432" width="9.140625" style="525" customWidth="1"/>
    <col min="7433" max="7433" width="16.140625" style="525" customWidth="1"/>
    <col min="7434" max="7435" width="9.140625" style="525"/>
    <col min="7436" max="7436" width="19.7109375" style="525" bestFit="1" customWidth="1"/>
    <col min="7437" max="7680" width="9.140625" style="525"/>
    <col min="7681" max="7681" width="4.28515625" style="525" customWidth="1"/>
    <col min="7682" max="7682" width="33.5703125" style="525" customWidth="1"/>
    <col min="7683" max="7683" width="8.5703125" style="525" bestFit="1" customWidth="1"/>
    <col min="7684" max="7684" width="9.28515625" style="525" customWidth="1"/>
    <col min="7685" max="7685" width="12.5703125" style="525" customWidth="1"/>
    <col min="7686" max="7686" width="18.140625" style="525" customWidth="1"/>
    <col min="7687" max="7687" width="19.7109375" style="525" bestFit="1" customWidth="1"/>
    <col min="7688" max="7688" width="9.140625" style="525" customWidth="1"/>
    <col min="7689" max="7689" width="16.140625" style="525" customWidth="1"/>
    <col min="7690" max="7691" width="9.140625" style="525"/>
    <col min="7692" max="7692" width="19.7109375" style="525" bestFit="1" customWidth="1"/>
    <col min="7693" max="7936" width="9.140625" style="525"/>
    <col min="7937" max="7937" width="4.28515625" style="525" customWidth="1"/>
    <col min="7938" max="7938" width="33.5703125" style="525" customWidth="1"/>
    <col min="7939" max="7939" width="8.5703125" style="525" bestFit="1" customWidth="1"/>
    <col min="7940" max="7940" width="9.28515625" style="525" customWidth="1"/>
    <col min="7941" max="7941" width="12.5703125" style="525" customWidth="1"/>
    <col min="7942" max="7942" width="18.140625" style="525" customWidth="1"/>
    <col min="7943" max="7943" width="19.7109375" style="525" bestFit="1" customWidth="1"/>
    <col min="7944" max="7944" width="9.140625" style="525" customWidth="1"/>
    <col min="7945" max="7945" width="16.140625" style="525" customWidth="1"/>
    <col min="7946" max="7947" width="9.140625" style="525"/>
    <col min="7948" max="7948" width="19.7109375" style="525" bestFit="1" customWidth="1"/>
    <col min="7949" max="8192" width="9.140625" style="525"/>
    <col min="8193" max="8193" width="4.28515625" style="525" customWidth="1"/>
    <col min="8194" max="8194" width="33.5703125" style="525" customWidth="1"/>
    <col min="8195" max="8195" width="8.5703125" style="525" bestFit="1" customWidth="1"/>
    <col min="8196" max="8196" width="9.28515625" style="525" customWidth="1"/>
    <col min="8197" max="8197" width="12.5703125" style="525" customWidth="1"/>
    <col min="8198" max="8198" width="18.140625" style="525" customWidth="1"/>
    <col min="8199" max="8199" width="19.7109375" style="525" bestFit="1" customWidth="1"/>
    <col min="8200" max="8200" width="9.140625" style="525" customWidth="1"/>
    <col min="8201" max="8201" width="16.140625" style="525" customWidth="1"/>
    <col min="8202" max="8203" width="9.140625" style="525"/>
    <col min="8204" max="8204" width="19.7109375" style="525" bestFit="1" customWidth="1"/>
    <col min="8205" max="8448" width="9.140625" style="525"/>
    <col min="8449" max="8449" width="4.28515625" style="525" customWidth="1"/>
    <col min="8450" max="8450" width="33.5703125" style="525" customWidth="1"/>
    <col min="8451" max="8451" width="8.5703125" style="525" bestFit="1" customWidth="1"/>
    <col min="8452" max="8452" width="9.28515625" style="525" customWidth="1"/>
    <col min="8453" max="8453" width="12.5703125" style="525" customWidth="1"/>
    <col min="8454" max="8454" width="18.140625" style="525" customWidth="1"/>
    <col min="8455" max="8455" width="19.7109375" style="525" bestFit="1" customWidth="1"/>
    <col min="8456" max="8456" width="9.140625" style="525" customWidth="1"/>
    <col min="8457" max="8457" width="16.140625" style="525" customWidth="1"/>
    <col min="8458" max="8459" width="9.140625" style="525"/>
    <col min="8460" max="8460" width="19.7109375" style="525" bestFit="1" customWidth="1"/>
    <col min="8461" max="8704" width="9.140625" style="525"/>
    <col min="8705" max="8705" width="4.28515625" style="525" customWidth="1"/>
    <col min="8706" max="8706" width="33.5703125" style="525" customWidth="1"/>
    <col min="8707" max="8707" width="8.5703125" style="525" bestFit="1" customWidth="1"/>
    <col min="8708" max="8708" width="9.28515625" style="525" customWidth="1"/>
    <col min="8709" max="8709" width="12.5703125" style="525" customWidth="1"/>
    <col min="8710" max="8710" width="18.140625" style="525" customWidth="1"/>
    <col min="8711" max="8711" width="19.7109375" style="525" bestFit="1" customWidth="1"/>
    <col min="8712" max="8712" width="9.140625" style="525" customWidth="1"/>
    <col min="8713" max="8713" width="16.140625" style="525" customWidth="1"/>
    <col min="8714" max="8715" width="9.140625" style="525"/>
    <col min="8716" max="8716" width="19.7109375" style="525" bestFit="1" customWidth="1"/>
    <col min="8717" max="8960" width="9.140625" style="525"/>
    <col min="8961" max="8961" width="4.28515625" style="525" customWidth="1"/>
    <col min="8962" max="8962" width="33.5703125" style="525" customWidth="1"/>
    <col min="8963" max="8963" width="8.5703125" style="525" bestFit="1" customWidth="1"/>
    <col min="8964" max="8964" width="9.28515625" style="525" customWidth="1"/>
    <col min="8965" max="8965" width="12.5703125" style="525" customWidth="1"/>
    <col min="8966" max="8966" width="18.140625" style="525" customWidth="1"/>
    <col min="8967" max="8967" width="19.7109375" style="525" bestFit="1" customWidth="1"/>
    <col min="8968" max="8968" width="9.140625" style="525" customWidth="1"/>
    <col min="8969" max="8969" width="16.140625" style="525" customWidth="1"/>
    <col min="8970" max="8971" width="9.140625" style="525"/>
    <col min="8972" max="8972" width="19.7109375" style="525" bestFit="1" customWidth="1"/>
    <col min="8973" max="9216" width="9.140625" style="525"/>
    <col min="9217" max="9217" width="4.28515625" style="525" customWidth="1"/>
    <col min="9218" max="9218" width="33.5703125" style="525" customWidth="1"/>
    <col min="9219" max="9219" width="8.5703125" style="525" bestFit="1" customWidth="1"/>
    <col min="9220" max="9220" width="9.28515625" style="525" customWidth="1"/>
    <col min="9221" max="9221" width="12.5703125" style="525" customWidth="1"/>
    <col min="9222" max="9222" width="18.140625" style="525" customWidth="1"/>
    <col min="9223" max="9223" width="19.7109375" style="525" bestFit="1" customWidth="1"/>
    <col min="9224" max="9224" width="9.140625" style="525" customWidth="1"/>
    <col min="9225" max="9225" width="16.140625" style="525" customWidth="1"/>
    <col min="9226" max="9227" width="9.140625" style="525"/>
    <col min="9228" max="9228" width="19.7109375" style="525" bestFit="1" customWidth="1"/>
    <col min="9229" max="9472" width="9.140625" style="525"/>
    <col min="9473" max="9473" width="4.28515625" style="525" customWidth="1"/>
    <col min="9474" max="9474" width="33.5703125" style="525" customWidth="1"/>
    <col min="9475" max="9475" width="8.5703125" style="525" bestFit="1" customWidth="1"/>
    <col min="9476" max="9476" width="9.28515625" style="525" customWidth="1"/>
    <col min="9477" max="9477" width="12.5703125" style="525" customWidth="1"/>
    <col min="9478" max="9478" width="18.140625" style="525" customWidth="1"/>
    <col min="9479" max="9479" width="19.7109375" style="525" bestFit="1" customWidth="1"/>
    <col min="9480" max="9480" width="9.140625" style="525" customWidth="1"/>
    <col min="9481" max="9481" width="16.140625" style="525" customWidth="1"/>
    <col min="9482" max="9483" width="9.140625" style="525"/>
    <col min="9484" max="9484" width="19.7109375" style="525" bestFit="1" customWidth="1"/>
    <col min="9485" max="9728" width="9.140625" style="525"/>
    <col min="9729" max="9729" width="4.28515625" style="525" customWidth="1"/>
    <col min="9730" max="9730" width="33.5703125" style="525" customWidth="1"/>
    <col min="9731" max="9731" width="8.5703125" style="525" bestFit="1" customWidth="1"/>
    <col min="9732" max="9732" width="9.28515625" style="525" customWidth="1"/>
    <col min="9733" max="9733" width="12.5703125" style="525" customWidth="1"/>
    <col min="9734" max="9734" width="18.140625" style="525" customWidth="1"/>
    <col min="9735" max="9735" width="19.7109375" style="525" bestFit="1" customWidth="1"/>
    <col min="9736" max="9736" width="9.140625" style="525" customWidth="1"/>
    <col min="9737" max="9737" width="16.140625" style="525" customWidth="1"/>
    <col min="9738" max="9739" width="9.140625" style="525"/>
    <col min="9740" max="9740" width="19.7109375" style="525" bestFit="1" customWidth="1"/>
    <col min="9741" max="9984" width="9.140625" style="525"/>
    <col min="9985" max="9985" width="4.28515625" style="525" customWidth="1"/>
    <col min="9986" max="9986" width="33.5703125" style="525" customWidth="1"/>
    <col min="9987" max="9987" width="8.5703125" style="525" bestFit="1" customWidth="1"/>
    <col min="9988" max="9988" width="9.28515625" style="525" customWidth="1"/>
    <col min="9989" max="9989" width="12.5703125" style="525" customWidth="1"/>
    <col min="9990" max="9990" width="18.140625" style="525" customWidth="1"/>
    <col min="9991" max="9991" width="19.7109375" style="525" bestFit="1" customWidth="1"/>
    <col min="9992" max="9992" width="9.140625" style="525" customWidth="1"/>
    <col min="9993" max="9993" width="16.140625" style="525" customWidth="1"/>
    <col min="9994" max="9995" width="9.140625" style="525"/>
    <col min="9996" max="9996" width="19.7109375" style="525" bestFit="1" customWidth="1"/>
    <col min="9997" max="10240" width="9.140625" style="525"/>
    <col min="10241" max="10241" width="4.28515625" style="525" customWidth="1"/>
    <col min="10242" max="10242" width="33.5703125" style="525" customWidth="1"/>
    <col min="10243" max="10243" width="8.5703125" style="525" bestFit="1" customWidth="1"/>
    <col min="10244" max="10244" width="9.28515625" style="525" customWidth="1"/>
    <col min="10245" max="10245" width="12.5703125" style="525" customWidth="1"/>
    <col min="10246" max="10246" width="18.140625" style="525" customWidth="1"/>
    <col min="10247" max="10247" width="19.7109375" style="525" bestFit="1" customWidth="1"/>
    <col min="10248" max="10248" width="9.140625" style="525" customWidth="1"/>
    <col min="10249" max="10249" width="16.140625" style="525" customWidth="1"/>
    <col min="10250" max="10251" width="9.140625" style="525"/>
    <col min="10252" max="10252" width="19.7109375" style="525" bestFit="1" customWidth="1"/>
    <col min="10253" max="10496" width="9.140625" style="525"/>
    <col min="10497" max="10497" width="4.28515625" style="525" customWidth="1"/>
    <col min="10498" max="10498" width="33.5703125" style="525" customWidth="1"/>
    <col min="10499" max="10499" width="8.5703125" style="525" bestFit="1" customWidth="1"/>
    <col min="10500" max="10500" width="9.28515625" style="525" customWidth="1"/>
    <col min="10501" max="10501" width="12.5703125" style="525" customWidth="1"/>
    <col min="10502" max="10502" width="18.140625" style="525" customWidth="1"/>
    <col min="10503" max="10503" width="19.7109375" style="525" bestFit="1" customWidth="1"/>
    <col min="10504" max="10504" width="9.140625" style="525" customWidth="1"/>
    <col min="10505" max="10505" width="16.140625" style="525" customWidth="1"/>
    <col min="10506" max="10507" width="9.140625" style="525"/>
    <col min="10508" max="10508" width="19.7109375" style="525" bestFit="1" customWidth="1"/>
    <col min="10509" max="10752" width="9.140625" style="525"/>
    <col min="10753" max="10753" width="4.28515625" style="525" customWidth="1"/>
    <col min="10754" max="10754" width="33.5703125" style="525" customWidth="1"/>
    <col min="10755" max="10755" width="8.5703125" style="525" bestFit="1" customWidth="1"/>
    <col min="10756" max="10756" width="9.28515625" style="525" customWidth="1"/>
    <col min="10757" max="10757" width="12.5703125" style="525" customWidth="1"/>
    <col min="10758" max="10758" width="18.140625" style="525" customWidth="1"/>
    <col min="10759" max="10759" width="19.7109375" style="525" bestFit="1" customWidth="1"/>
    <col min="10760" max="10760" width="9.140625" style="525" customWidth="1"/>
    <col min="10761" max="10761" width="16.140625" style="525" customWidth="1"/>
    <col min="10762" max="10763" width="9.140625" style="525"/>
    <col min="10764" max="10764" width="19.7109375" style="525" bestFit="1" customWidth="1"/>
    <col min="10765" max="11008" width="9.140625" style="525"/>
    <col min="11009" max="11009" width="4.28515625" style="525" customWidth="1"/>
    <col min="11010" max="11010" width="33.5703125" style="525" customWidth="1"/>
    <col min="11011" max="11011" width="8.5703125" style="525" bestFit="1" customWidth="1"/>
    <col min="11012" max="11012" width="9.28515625" style="525" customWidth="1"/>
    <col min="11013" max="11013" width="12.5703125" style="525" customWidth="1"/>
    <col min="11014" max="11014" width="18.140625" style="525" customWidth="1"/>
    <col min="11015" max="11015" width="19.7109375" style="525" bestFit="1" customWidth="1"/>
    <col min="11016" max="11016" width="9.140625" style="525" customWidth="1"/>
    <col min="11017" max="11017" width="16.140625" style="525" customWidth="1"/>
    <col min="11018" max="11019" width="9.140625" style="525"/>
    <col min="11020" max="11020" width="19.7109375" style="525" bestFit="1" customWidth="1"/>
    <col min="11021" max="11264" width="9.140625" style="525"/>
    <col min="11265" max="11265" width="4.28515625" style="525" customWidth="1"/>
    <col min="11266" max="11266" width="33.5703125" style="525" customWidth="1"/>
    <col min="11267" max="11267" width="8.5703125" style="525" bestFit="1" customWidth="1"/>
    <col min="11268" max="11268" width="9.28515625" style="525" customWidth="1"/>
    <col min="11269" max="11269" width="12.5703125" style="525" customWidth="1"/>
    <col min="11270" max="11270" width="18.140625" style="525" customWidth="1"/>
    <col min="11271" max="11271" width="19.7109375" style="525" bestFit="1" customWidth="1"/>
    <col min="11272" max="11272" width="9.140625" style="525" customWidth="1"/>
    <col min="11273" max="11273" width="16.140625" style="525" customWidth="1"/>
    <col min="11274" max="11275" width="9.140625" style="525"/>
    <col min="11276" max="11276" width="19.7109375" style="525" bestFit="1" customWidth="1"/>
    <col min="11277" max="11520" width="9.140625" style="525"/>
    <col min="11521" max="11521" width="4.28515625" style="525" customWidth="1"/>
    <col min="11522" max="11522" width="33.5703125" style="525" customWidth="1"/>
    <col min="11523" max="11523" width="8.5703125" style="525" bestFit="1" customWidth="1"/>
    <col min="11524" max="11524" width="9.28515625" style="525" customWidth="1"/>
    <col min="11525" max="11525" width="12.5703125" style="525" customWidth="1"/>
    <col min="11526" max="11526" width="18.140625" style="525" customWidth="1"/>
    <col min="11527" max="11527" width="19.7109375" style="525" bestFit="1" customWidth="1"/>
    <col min="11528" max="11528" width="9.140625" style="525" customWidth="1"/>
    <col min="11529" max="11529" width="16.140625" style="525" customWidth="1"/>
    <col min="11530" max="11531" width="9.140625" style="525"/>
    <col min="11532" max="11532" width="19.7109375" style="525" bestFit="1" customWidth="1"/>
    <col min="11533" max="11776" width="9.140625" style="525"/>
    <col min="11777" max="11777" width="4.28515625" style="525" customWidth="1"/>
    <col min="11778" max="11778" width="33.5703125" style="525" customWidth="1"/>
    <col min="11779" max="11779" width="8.5703125" style="525" bestFit="1" customWidth="1"/>
    <col min="11780" max="11780" width="9.28515625" style="525" customWidth="1"/>
    <col min="11781" max="11781" width="12.5703125" style="525" customWidth="1"/>
    <col min="11782" max="11782" width="18.140625" style="525" customWidth="1"/>
    <col min="11783" max="11783" width="19.7109375" style="525" bestFit="1" customWidth="1"/>
    <col min="11784" max="11784" width="9.140625" style="525" customWidth="1"/>
    <col min="11785" max="11785" width="16.140625" style="525" customWidth="1"/>
    <col min="11786" max="11787" width="9.140625" style="525"/>
    <col min="11788" max="11788" width="19.7109375" style="525" bestFit="1" customWidth="1"/>
    <col min="11789" max="12032" width="9.140625" style="525"/>
    <col min="12033" max="12033" width="4.28515625" style="525" customWidth="1"/>
    <col min="12034" max="12034" width="33.5703125" style="525" customWidth="1"/>
    <col min="12035" max="12035" width="8.5703125" style="525" bestFit="1" customWidth="1"/>
    <col min="12036" max="12036" width="9.28515625" style="525" customWidth="1"/>
    <col min="12037" max="12037" width="12.5703125" style="525" customWidth="1"/>
    <col min="12038" max="12038" width="18.140625" style="525" customWidth="1"/>
    <col min="12039" max="12039" width="19.7109375" style="525" bestFit="1" customWidth="1"/>
    <col min="12040" max="12040" width="9.140625" style="525" customWidth="1"/>
    <col min="12041" max="12041" width="16.140625" style="525" customWidth="1"/>
    <col min="12042" max="12043" width="9.140625" style="525"/>
    <col min="12044" max="12044" width="19.7109375" style="525" bestFit="1" customWidth="1"/>
    <col min="12045" max="12288" width="9.140625" style="525"/>
    <col min="12289" max="12289" width="4.28515625" style="525" customWidth="1"/>
    <col min="12290" max="12290" width="33.5703125" style="525" customWidth="1"/>
    <col min="12291" max="12291" width="8.5703125" style="525" bestFit="1" customWidth="1"/>
    <col min="12292" max="12292" width="9.28515625" style="525" customWidth="1"/>
    <col min="12293" max="12293" width="12.5703125" style="525" customWidth="1"/>
    <col min="12294" max="12294" width="18.140625" style="525" customWidth="1"/>
    <col min="12295" max="12295" width="19.7109375" style="525" bestFit="1" customWidth="1"/>
    <col min="12296" max="12296" width="9.140625" style="525" customWidth="1"/>
    <col min="12297" max="12297" width="16.140625" style="525" customWidth="1"/>
    <col min="12298" max="12299" width="9.140625" style="525"/>
    <col min="12300" max="12300" width="19.7109375" style="525" bestFit="1" customWidth="1"/>
    <col min="12301" max="12544" width="9.140625" style="525"/>
    <col min="12545" max="12545" width="4.28515625" style="525" customWidth="1"/>
    <col min="12546" max="12546" width="33.5703125" style="525" customWidth="1"/>
    <col min="12547" max="12547" width="8.5703125" style="525" bestFit="1" customWidth="1"/>
    <col min="12548" max="12548" width="9.28515625" style="525" customWidth="1"/>
    <col min="12549" max="12549" width="12.5703125" style="525" customWidth="1"/>
    <col min="12550" max="12550" width="18.140625" style="525" customWidth="1"/>
    <col min="12551" max="12551" width="19.7109375" style="525" bestFit="1" customWidth="1"/>
    <col min="12552" max="12552" width="9.140625" style="525" customWidth="1"/>
    <col min="12553" max="12553" width="16.140625" style="525" customWidth="1"/>
    <col min="12554" max="12555" width="9.140625" style="525"/>
    <col min="12556" max="12556" width="19.7109375" style="525" bestFit="1" customWidth="1"/>
    <col min="12557" max="12800" width="9.140625" style="525"/>
    <col min="12801" max="12801" width="4.28515625" style="525" customWidth="1"/>
    <col min="12802" max="12802" width="33.5703125" style="525" customWidth="1"/>
    <col min="12803" max="12803" width="8.5703125" style="525" bestFit="1" customWidth="1"/>
    <col min="12804" max="12804" width="9.28515625" style="525" customWidth="1"/>
    <col min="12805" max="12805" width="12.5703125" style="525" customWidth="1"/>
    <col min="12806" max="12806" width="18.140625" style="525" customWidth="1"/>
    <col min="12807" max="12807" width="19.7109375" style="525" bestFit="1" customWidth="1"/>
    <col min="12808" max="12808" width="9.140625" style="525" customWidth="1"/>
    <col min="12809" max="12809" width="16.140625" style="525" customWidth="1"/>
    <col min="12810" max="12811" width="9.140625" style="525"/>
    <col min="12812" max="12812" width="19.7109375" style="525" bestFit="1" customWidth="1"/>
    <col min="12813" max="13056" width="9.140625" style="525"/>
    <col min="13057" max="13057" width="4.28515625" style="525" customWidth="1"/>
    <col min="13058" max="13058" width="33.5703125" style="525" customWidth="1"/>
    <col min="13059" max="13059" width="8.5703125" style="525" bestFit="1" customWidth="1"/>
    <col min="13060" max="13060" width="9.28515625" style="525" customWidth="1"/>
    <col min="13061" max="13061" width="12.5703125" style="525" customWidth="1"/>
    <col min="13062" max="13062" width="18.140625" style="525" customWidth="1"/>
    <col min="13063" max="13063" width="19.7109375" style="525" bestFit="1" customWidth="1"/>
    <col min="13064" max="13064" width="9.140625" style="525" customWidth="1"/>
    <col min="13065" max="13065" width="16.140625" style="525" customWidth="1"/>
    <col min="13066" max="13067" width="9.140625" style="525"/>
    <col min="13068" max="13068" width="19.7109375" style="525" bestFit="1" customWidth="1"/>
    <col min="13069" max="13312" width="9.140625" style="525"/>
    <col min="13313" max="13313" width="4.28515625" style="525" customWidth="1"/>
    <col min="13314" max="13314" width="33.5703125" style="525" customWidth="1"/>
    <col min="13315" max="13315" width="8.5703125" style="525" bestFit="1" customWidth="1"/>
    <col min="13316" max="13316" width="9.28515625" style="525" customWidth="1"/>
    <col min="13317" max="13317" width="12.5703125" style="525" customWidth="1"/>
    <col min="13318" max="13318" width="18.140625" style="525" customWidth="1"/>
    <col min="13319" max="13319" width="19.7109375" style="525" bestFit="1" customWidth="1"/>
    <col min="13320" max="13320" width="9.140625" style="525" customWidth="1"/>
    <col min="13321" max="13321" width="16.140625" style="525" customWidth="1"/>
    <col min="13322" max="13323" width="9.140625" style="525"/>
    <col min="13324" max="13324" width="19.7109375" style="525" bestFit="1" customWidth="1"/>
    <col min="13325" max="13568" width="9.140625" style="525"/>
    <col min="13569" max="13569" width="4.28515625" style="525" customWidth="1"/>
    <col min="13570" max="13570" width="33.5703125" style="525" customWidth="1"/>
    <col min="13571" max="13571" width="8.5703125" style="525" bestFit="1" customWidth="1"/>
    <col min="13572" max="13572" width="9.28515625" style="525" customWidth="1"/>
    <col min="13573" max="13573" width="12.5703125" style="525" customWidth="1"/>
    <col min="13574" max="13574" width="18.140625" style="525" customWidth="1"/>
    <col min="13575" max="13575" width="19.7109375" style="525" bestFit="1" customWidth="1"/>
    <col min="13576" max="13576" width="9.140625" style="525" customWidth="1"/>
    <col min="13577" max="13577" width="16.140625" style="525" customWidth="1"/>
    <col min="13578" max="13579" width="9.140625" style="525"/>
    <col min="13580" max="13580" width="19.7109375" style="525" bestFit="1" customWidth="1"/>
    <col min="13581" max="13824" width="9.140625" style="525"/>
    <col min="13825" max="13825" width="4.28515625" style="525" customWidth="1"/>
    <col min="13826" max="13826" width="33.5703125" style="525" customWidth="1"/>
    <col min="13827" max="13827" width="8.5703125" style="525" bestFit="1" customWidth="1"/>
    <col min="13828" max="13828" width="9.28515625" style="525" customWidth="1"/>
    <col min="13829" max="13829" width="12.5703125" style="525" customWidth="1"/>
    <col min="13830" max="13830" width="18.140625" style="525" customWidth="1"/>
    <col min="13831" max="13831" width="19.7109375" style="525" bestFit="1" customWidth="1"/>
    <col min="13832" max="13832" width="9.140625" style="525" customWidth="1"/>
    <col min="13833" max="13833" width="16.140625" style="525" customWidth="1"/>
    <col min="13834" max="13835" width="9.140625" style="525"/>
    <col min="13836" max="13836" width="19.7109375" style="525" bestFit="1" customWidth="1"/>
    <col min="13837" max="14080" width="9.140625" style="525"/>
    <col min="14081" max="14081" width="4.28515625" style="525" customWidth="1"/>
    <col min="14082" max="14082" width="33.5703125" style="525" customWidth="1"/>
    <col min="14083" max="14083" width="8.5703125" style="525" bestFit="1" customWidth="1"/>
    <col min="14084" max="14084" width="9.28515625" style="525" customWidth="1"/>
    <col min="14085" max="14085" width="12.5703125" style="525" customWidth="1"/>
    <col min="14086" max="14086" width="18.140625" style="525" customWidth="1"/>
    <col min="14087" max="14087" width="19.7109375" style="525" bestFit="1" customWidth="1"/>
    <col min="14088" max="14088" width="9.140625" style="525" customWidth="1"/>
    <col min="14089" max="14089" width="16.140625" style="525" customWidth="1"/>
    <col min="14090" max="14091" width="9.140625" style="525"/>
    <col min="14092" max="14092" width="19.7109375" style="525" bestFit="1" customWidth="1"/>
    <col min="14093" max="14336" width="9.140625" style="525"/>
    <col min="14337" max="14337" width="4.28515625" style="525" customWidth="1"/>
    <col min="14338" max="14338" width="33.5703125" style="525" customWidth="1"/>
    <col min="14339" max="14339" width="8.5703125" style="525" bestFit="1" customWidth="1"/>
    <col min="14340" max="14340" width="9.28515625" style="525" customWidth="1"/>
    <col min="14341" max="14341" width="12.5703125" style="525" customWidth="1"/>
    <col min="14342" max="14342" width="18.140625" style="525" customWidth="1"/>
    <col min="14343" max="14343" width="19.7109375" style="525" bestFit="1" customWidth="1"/>
    <col min="14344" max="14344" width="9.140625" style="525" customWidth="1"/>
    <col min="14345" max="14345" width="16.140625" style="525" customWidth="1"/>
    <col min="14346" max="14347" width="9.140625" style="525"/>
    <col min="14348" max="14348" width="19.7109375" style="525" bestFit="1" customWidth="1"/>
    <col min="14349" max="14592" width="9.140625" style="525"/>
    <col min="14593" max="14593" width="4.28515625" style="525" customWidth="1"/>
    <col min="14594" max="14594" width="33.5703125" style="525" customWidth="1"/>
    <col min="14595" max="14595" width="8.5703125" style="525" bestFit="1" customWidth="1"/>
    <col min="14596" max="14596" width="9.28515625" style="525" customWidth="1"/>
    <col min="14597" max="14597" width="12.5703125" style="525" customWidth="1"/>
    <col min="14598" max="14598" width="18.140625" style="525" customWidth="1"/>
    <col min="14599" max="14599" width="19.7109375" style="525" bestFit="1" customWidth="1"/>
    <col min="14600" max="14600" width="9.140625" style="525" customWidth="1"/>
    <col min="14601" max="14601" width="16.140625" style="525" customWidth="1"/>
    <col min="14602" max="14603" width="9.140625" style="525"/>
    <col min="14604" max="14604" width="19.7109375" style="525" bestFit="1" customWidth="1"/>
    <col min="14605" max="14848" width="9.140625" style="525"/>
    <col min="14849" max="14849" width="4.28515625" style="525" customWidth="1"/>
    <col min="14850" max="14850" width="33.5703125" style="525" customWidth="1"/>
    <col min="14851" max="14851" width="8.5703125" style="525" bestFit="1" customWidth="1"/>
    <col min="14852" max="14852" width="9.28515625" style="525" customWidth="1"/>
    <col min="14853" max="14853" width="12.5703125" style="525" customWidth="1"/>
    <col min="14854" max="14854" width="18.140625" style="525" customWidth="1"/>
    <col min="14855" max="14855" width="19.7109375" style="525" bestFit="1" customWidth="1"/>
    <col min="14856" max="14856" width="9.140625" style="525" customWidth="1"/>
    <col min="14857" max="14857" width="16.140625" style="525" customWidth="1"/>
    <col min="14858" max="14859" width="9.140625" style="525"/>
    <col min="14860" max="14860" width="19.7109375" style="525" bestFit="1" customWidth="1"/>
    <col min="14861" max="15104" width="9.140625" style="525"/>
    <col min="15105" max="15105" width="4.28515625" style="525" customWidth="1"/>
    <col min="15106" max="15106" width="33.5703125" style="525" customWidth="1"/>
    <col min="15107" max="15107" width="8.5703125" style="525" bestFit="1" customWidth="1"/>
    <col min="15108" max="15108" width="9.28515625" style="525" customWidth="1"/>
    <col min="15109" max="15109" width="12.5703125" style="525" customWidth="1"/>
    <col min="15110" max="15110" width="18.140625" style="525" customWidth="1"/>
    <col min="15111" max="15111" width="19.7109375" style="525" bestFit="1" customWidth="1"/>
    <col min="15112" max="15112" width="9.140625" style="525" customWidth="1"/>
    <col min="15113" max="15113" width="16.140625" style="525" customWidth="1"/>
    <col min="15114" max="15115" width="9.140625" style="525"/>
    <col min="15116" max="15116" width="19.7109375" style="525" bestFit="1" customWidth="1"/>
    <col min="15117" max="15360" width="9.140625" style="525"/>
    <col min="15361" max="15361" width="4.28515625" style="525" customWidth="1"/>
    <col min="15362" max="15362" width="33.5703125" style="525" customWidth="1"/>
    <col min="15363" max="15363" width="8.5703125" style="525" bestFit="1" customWidth="1"/>
    <col min="15364" max="15364" width="9.28515625" style="525" customWidth="1"/>
    <col min="15365" max="15365" width="12.5703125" style="525" customWidth="1"/>
    <col min="15366" max="15366" width="18.140625" style="525" customWidth="1"/>
    <col min="15367" max="15367" width="19.7109375" style="525" bestFit="1" customWidth="1"/>
    <col min="15368" max="15368" width="9.140625" style="525" customWidth="1"/>
    <col min="15369" max="15369" width="16.140625" style="525" customWidth="1"/>
    <col min="15370" max="15371" width="9.140625" style="525"/>
    <col min="15372" max="15372" width="19.7109375" style="525" bestFit="1" customWidth="1"/>
    <col min="15373" max="15616" width="9.140625" style="525"/>
    <col min="15617" max="15617" width="4.28515625" style="525" customWidth="1"/>
    <col min="15618" max="15618" width="33.5703125" style="525" customWidth="1"/>
    <col min="15619" max="15619" width="8.5703125" style="525" bestFit="1" customWidth="1"/>
    <col min="15620" max="15620" width="9.28515625" style="525" customWidth="1"/>
    <col min="15621" max="15621" width="12.5703125" style="525" customWidth="1"/>
    <col min="15622" max="15622" width="18.140625" style="525" customWidth="1"/>
    <col min="15623" max="15623" width="19.7109375" style="525" bestFit="1" customWidth="1"/>
    <col min="15624" max="15624" width="9.140625" style="525" customWidth="1"/>
    <col min="15625" max="15625" width="16.140625" style="525" customWidth="1"/>
    <col min="15626" max="15627" width="9.140625" style="525"/>
    <col min="15628" max="15628" width="19.7109375" style="525" bestFit="1" customWidth="1"/>
    <col min="15629" max="15872" width="9.140625" style="525"/>
    <col min="15873" max="15873" width="4.28515625" style="525" customWidth="1"/>
    <col min="15874" max="15874" width="33.5703125" style="525" customWidth="1"/>
    <col min="15875" max="15875" width="8.5703125" style="525" bestFit="1" customWidth="1"/>
    <col min="15876" max="15876" width="9.28515625" style="525" customWidth="1"/>
    <col min="15877" max="15877" width="12.5703125" style="525" customWidth="1"/>
    <col min="15878" max="15878" width="18.140625" style="525" customWidth="1"/>
    <col min="15879" max="15879" width="19.7109375" style="525" bestFit="1" customWidth="1"/>
    <col min="15880" max="15880" width="9.140625" style="525" customWidth="1"/>
    <col min="15881" max="15881" width="16.140625" style="525" customWidth="1"/>
    <col min="15882" max="15883" width="9.140625" style="525"/>
    <col min="15884" max="15884" width="19.7109375" style="525" bestFit="1" customWidth="1"/>
    <col min="15885" max="16128" width="9.140625" style="525"/>
    <col min="16129" max="16129" width="4.28515625" style="525" customWidth="1"/>
    <col min="16130" max="16130" width="33.5703125" style="525" customWidth="1"/>
    <col min="16131" max="16131" width="8.5703125" style="525" bestFit="1" customWidth="1"/>
    <col min="16132" max="16132" width="9.28515625" style="525" customWidth="1"/>
    <col min="16133" max="16133" width="12.5703125" style="525" customWidth="1"/>
    <col min="16134" max="16134" width="18.140625" style="525" customWidth="1"/>
    <col min="16135" max="16135" width="19.7109375" style="525" bestFit="1" customWidth="1"/>
    <col min="16136" max="16136" width="9.140625" style="525" customWidth="1"/>
    <col min="16137" max="16137" width="16.140625" style="525" customWidth="1"/>
    <col min="16138" max="16139" width="9.140625" style="525"/>
    <col min="16140" max="16140" width="19.7109375" style="525" bestFit="1" customWidth="1"/>
    <col min="16141" max="16384" width="9.140625" style="525"/>
  </cols>
  <sheetData>
    <row r="1" spans="1:7">
      <c r="C1" s="1108" t="s">
        <v>2004</v>
      </c>
      <c r="G1" s="307" t="s">
        <v>1020</v>
      </c>
    </row>
    <row r="4" spans="1:7" ht="33">
      <c r="A4" s="1099" t="s">
        <v>2003</v>
      </c>
      <c r="B4" s="1099" t="s">
        <v>64</v>
      </c>
      <c r="C4" s="1106" t="s">
        <v>2</v>
      </c>
      <c r="D4" s="1106" t="s">
        <v>673</v>
      </c>
      <c r="E4" s="2343" t="s">
        <v>1261</v>
      </c>
      <c r="F4" s="2343" t="s">
        <v>1139</v>
      </c>
    </row>
    <row r="5" spans="1:7">
      <c r="A5" s="1099" t="s">
        <v>109</v>
      </c>
      <c r="B5" s="1099" t="s">
        <v>22</v>
      </c>
      <c r="C5" s="1107"/>
      <c r="D5" s="1106"/>
      <c r="E5" s="2343"/>
      <c r="F5" s="19">
        <f>F6+F18</f>
        <v>3680000000</v>
      </c>
    </row>
    <row r="6" spans="1:7">
      <c r="A6" s="1099" t="s">
        <v>480</v>
      </c>
      <c r="B6" s="1099" t="s">
        <v>1248</v>
      </c>
      <c r="C6" s="1107"/>
      <c r="D6" s="1106"/>
      <c r="E6" s="2343"/>
      <c r="F6" s="49">
        <f>SUM(F7:F17)</f>
        <v>3505000000</v>
      </c>
    </row>
    <row r="7" spans="1:7">
      <c r="A7" s="1102">
        <v>1</v>
      </c>
      <c r="B7" s="1102" t="s">
        <v>1998</v>
      </c>
      <c r="C7" s="2359" t="s">
        <v>1004</v>
      </c>
      <c r="D7" s="1103">
        <v>300</v>
      </c>
      <c r="E7" s="143">
        <v>950000</v>
      </c>
      <c r="F7" s="143">
        <f t="shared" ref="F7:F14" si="0">D7*E7</f>
        <v>285000000</v>
      </c>
    </row>
    <row r="8" spans="1:7">
      <c r="A8" s="1102">
        <v>2</v>
      </c>
      <c r="B8" s="1102" t="s">
        <v>1997</v>
      </c>
      <c r="C8" s="2359" t="s">
        <v>1004</v>
      </c>
      <c r="D8" s="1103">
        <v>300</v>
      </c>
      <c r="E8" s="143">
        <v>980000</v>
      </c>
      <c r="F8" s="143">
        <f t="shared" si="0"/>
        <v>294000000</v>
      </c>
    </row>
    <row r="9" spans="1:7">
      <c r="A9" s="1102">
        <v>3</v>
      </c>
      <c r="B9" s="1102" t="s">
        <v>1996</v>
      </c>
      <c r="C9" s="2359" t="s">
        <v>1004</v>
      </c>
      <c r="D9" s="1103">
        <v>300</v>
      </c>
      <c r="E9" s="20">
        <v>930000</v>
      </c>
      <c r="F9" s="143">
        <f t="shared" si="0"/>
        <v>279000000</v>
      </c>
    </row>
    <row r="10" spans="1:7">
      <c r="A10" s="1102">
        <v>4</v>
      </c>
      <c r="B10" s="1102" t="s">
        <v>1995</v>
      </c>
      <c r="C10" s="2359" t="s">
        <v>1004</v>
      </c>
      <c r="D10" s="255">
        <v>300</v>
      </c>
      <c r="E10" s="143">
        <v>970000</v>
      </c>
      <c r="F10" s="143">
        <f t="shared" si="0"/>
        <v>291000000</v>
      </c>
    </row>
    <row r="11" spans="1:7">
      <c r="A11" s="1102">
        <v>5</v>
      </c>
      <c r="B11" s="1102" t="s">
        <v>1994</v>
      </c>
      <c r="C11" s="2359" t="s">
        <v>1004</v>
      </c>
      <c r="D11" s="255">
        <v>300</v>
      </c>
      <c r="E11" s="143">
        <v>900000</v>
      </c>
      <c r="F11" s="143">
        <f t="shared" si="0"/>
        <v>270000000</v>
      </c>
    </row>
    <row r="12" spans="1:7">
      <c r="A12" s="1102">
        <v>6</v>
      </c>
      <c r="B12" s="1102" t="s">
        <v>1994</v>
      </c>
      <c r="C12" s="2359" t="s">
        <v>1004</v>
      </c>
      <c r="D12" s="255">
        <v>300</v>
      </c>
      <c r="E12" s="143">
        <v>920000</v>
      </c>
      <c r="F12" s="143">
        <f t="shared" si="0"/>
        <v>276000000</v>
      </c>
    </row>
    <row r="13" spans="1:7">
      <c r="A13" s="1102">
        <v>7</v>
      </c>
      <c r="B13" s="1102" t="s">
        <v>1993</v>
      </c>
      <c r="C13" s="2359" t="s">
        <v>1991</v>
      </c>
      <c r="D13" s="255">
        <v>50</v>
      </c>
      <c r="E13" s="143">
        <v>10000000</v>
      </c>
      <c r="F13" s="143">
        <f t="shared" si="0"/>
        <v>500000000</v>
      </c>
    </row>
    <row r="14" spans="1:7">
      <c r="A14" s="1102">
        <v>8</v>
      </c>
      <c r="B14" s="1102" t="s">
        <v>1992</v>
      </c>
      <c r="C14" s="2359" t="s">
        <v>1991</v>
      </c>
      <c r="D14" s="255">
        <v>30</v>
      </c>
      <c r="E14" s="143">
        <v>13000000</v>
      </c>
      <c r="F14" s="143">
        <f t="shared" si="0"/>
        <v>390000000</v>
      </c>
    </row>
    <row r="15" spans="1:7">
      <c r="A15" s="1102">
        <v>9</v>
      </c>
      <c r="B15" s="1102" t="s">
        <v>1990</v>
      </c>
      <c r="C15" s="2359"/>
      <c r="D15" s="255"/>
      <c r="E15" s="143"/>
      <c r="F15" s="143">
        <v>300000000</v>
      </c>
    </row>
    <row r="16" spans="1:7">
      <c r="A16" s="1102">
        <v>10</v>
      </c>
      <c r="B16" s="1102" t="s">
        <v>1989</v>
      </c>
      <c r="C16" s="2359"/>
      <c r="D16" s="255"/>
      <c r="E16" s="143"/>
      <c r="F16" s="143">
        <v>500000000</v>
      </c>
    </row>
    <row r="17" spans="1:9">
      <c r="A17" s="1102">
        <v>11</v>
      </c>
      <c r="B17" s="2662" t="s">
        <v>2002</v>
      </c>
      <c r="C17" s="2663"/>
      <c r="D17" s="2663"/>
      <c r="E17" s="2664"/>
      <c r="F17" s="143">
        <v>120000000</v>
      </c>
    </row>
    <row r="18" spans="1:9">
      <c r="A18" s="1099" t="s">
        <v>485</v>
      </c>
      <c r="B18" s="1099" t="s">
        <v>1225</v>
      </c>
      <c r="C18" s="2359"/>
      <c r="D18" s="1102"/>
      <c r="E18" s="48"/>
      <c r="F18" s="49">
        <f>SUM(F19:F20)</f>
        <v>175000000</v>
      </c>
    </row>
    <row r="19" spans="1:9">
      <c r="A19" s="1102">
        <v>1</v>
      </c>
      <c r="B19" s="2662" t="s">
        <v>2001</v>
      </c>
      <c r="C19" s="2663"/>
      <c r="D19" s="2663"/>
      <c r="E19" s="2664"/>
      <c r="F19" s="48">
        <v>165000000</v>
      </c>
    </row>
    <row r="20" spans="1:9">
      <c r="A20" s="1102">
        <v>2</v>
      </c>
      <c r="B20" s="1102" t="s">
        <v>2000</v>
      </c>
      <c r="C20" s="2359"/>
      <c r="D20" s="1102"/>
      <c r="E20" s="48"/>
      <c r="F20" s="48">
        <v>10000000</v>
      </c>
    </row>
    <row r="21" spans="1:9" s="880" customFormat="1" ht="17.25">
      <c r="A21" s="1100" t="s">
        <v>116</v>
      </c>
      <c r="B21" s="1099" t="s">
        <v>1999</v>
      </c>
      <c r="C21" s="1105"/>
      <c r="D21" s="1104"/>
      <c r="E21" s="170"/>
      <c r="F21" s="19">
        <f>SUM(F22:F31)</f>
        <v>3911000000</v>
      </c>
      <c r="G21" s="26"/>
    </row>
    <row r="22" spans="1:9">
      <c r="A22" s="1102">
        <v>1</v>
      </c>
      <c r="B22" s="1102" t="s">
        <v>1998</v>
      </c>
      <c r="C22" s="2359" t="s">
        <v>1004</v>
      </c>
      <c r="D22" s="1103">
        <v>300</v>
      </c>
      <c r="E22" s="143">
        <v>1150000</v>
      </c>
      <c r="F22" s="48">
        <f t="shared" ref="F22:F29" si="1">D22*E22</f>
        <v>345000000</v>
      </c>
      <c r="I22" s="1101"/>
    </row>
    <row r="23" spans="1:9">
      <c r="A23" s="1102">
        <v>2</v>
      </c>
      <c r="B23" s="1102" t="s">
        <v>1997</v>
      </c>
      <c r="C23" s="2359" t="s">
        <v>1004</v>
      </c>
      <c r="D23" s="1103">
        <v>300</v>
      </c>
      <c r="E23" s="143">
        <v>1200000</v>
      </c>
      <c r="F23" s="48">
        <f t="shared" si="1"/>
        <v>360000000</v>
      </c>
      <c r="I23" s="1101"/>
    </row>
    <row r="24" spans="1:9">
      <c r="A24" s="1102">
        <v>3</v>
      </c>
      <c r="B24" s="1102" t="s">
        <v>1996</v>
      </c>
      <c r="C24" s="2359" t="s">
        <v>1004</v>
      </c>
      <c r="D24" s="1103">
        <v>300</v>
      </c>
      <c r="E24" s="20">
        <v>1000000</v>
      </c>
      <c r="F24" s="48">
        <f t="shared" si="1"/>
        <v>300000000</v>
      </c>
      <c r="I24" s="1101"/>
    </row>
    <row r="25" spans="1:9">
      <c r="A25" s="1102">
        <v>4</v>
      </c>
      <c r="B25" s="1102" t="s">
        <v>1995</v>
      </c>
      <c r="C25" s="2359" t="s">
        <v>1004</v>
      </c>
      <c r="D25" s="255">
        <v>300</v>
      </c>
      <c r="E25" s="143">
        <v>1040000</v>
      </c>
      <c r="F25" s="48">
        <f t="shared" si="1"/>
        <v>312000000</v>
      </c>
      <c r="I25" s="1101"/>
    </row>
    <row r="26" spans="1:9">
      <c r="A26" s="1102">
        <v>5</v>
      </c>
      <c r="B26" s="1102" t="s">
        <v>1994</v>
      </c>
      <c r="C26" s="2359" t="s">
        <v>1004</v>
      </c>
      <c r="D26" s="255">
        <v>300</v>
      </c>
      <c r="E26" s="143">
        <v>1080000</v>
      </c>
      <c r="F26" s="48">
        <f t="shared" si="1"/>
        <v>324000000</v>
      </c>
      <c r="I26" s="1101"/>
    </row>
    <row r="27" spans="1:9">
      <c r="A27" s="1102">
        <v>6</v>
      </c>
      <c r="B27" s="1102" t="s">
        <v>1994</v>
      </c>
      <c r="C27" s="2359" t="s">
        <v>1004</v>
      </c>
      <c r="D27" s="255">
        <v>300</v>
      </c>
      <c r="E27" s="143">
        <v>1100000</v>
      </c>
      <c r="F27" s="48">
        <f t="shared" si="1"/>
        <v>330000000</v>
      </c>
      <c r="I27" s="1101"/>
    </row>
    <row r="28" spans="1:9">
      <c r="A28" s="1102">
        <v>7</v>
      </c>
      <c r="B28" s="1102" t="s">
        <v>1993</v>
      </c>
      <c r="C28" s="2359" t="s">
        <v>1991</v>
      </c>
      <c r="D28" s="255">
        <v>50</v>
      </c>
      <c r="E28" s="143">
        <v>10000000</v>
      </c>
      <c r="F28" s="48">
        <f t="shared" si="1"/>
        <v>500000000</v>
      </c>
      <c r="I28" s="1101"/>
    </row>
    <row r="29" spans="1:9">
      <c r="A29" s="1102">
        <v>8</v>
      </c>
      <c r="B29" s="1102" t="s">
        <v>1992</v>
      </c>
      <c r="C29" s="2359" t="s">
        <v>1991</v>
      </c>
      <c r="D29" s="255">
        <v>30</v>
      </c>
      <c r="E29" s="143">
        <v>13000000</v>
      </c>
      <c r="F29" s="48">
        <f t="shared" si="1"/>
        <v>390000000</v>
      </c>
      <c r="I29" s="1101"/>
    </row>
    <row r="30" spans="1:9">
      <c r="A30" s="1102">
        <v>9</v>
      </c>
      <c r="B30" s="1102" t="s">
        <v>1990</v>
      </c>
      <c r="C30" s="2359"/>
      <c r="D30" s="255"/>
      <c r="E30" s="143"/>
      <c r="F30" s="48">
        <v>450000000</v>
      </c>
      <c r="I30" s="1101"/>
    </row>
    <row r="31" spans="1:9">
      <c r="A31" s="1102">
        <v>10</v>
      </c>
      <c r="B31" s="1102" t="s">
        <v>1989</v>
      </c>
      <c r="C31" s="2359"/>
      <c r="D31" s="255"/>
      <c r="E31" s="143"/>
      <c r="F31" s="48">
        <v>600000000</v>
      </c>
      <c r="I31" s="1101"/>
    </row>
    <row r="32" spans="1:9" ht="17.25">
      <c r="A32" s="1100" t="s">
        <v>135</v>
      </c>
      <c r="B32" s="1099" t="s">
        <v>1988</v>
      </c>
      <c r="C32" s="1098"/>
      <c r="D32" s="1097"/>
      <c r="E32" s="150"/>
      <c r="F32" s="19">
        <f>F21-F5</f>
        <v>231000000</v>
      </c>
    </row>
    <row r="33" spans="3:3">
      <c r="C33" s="1096"/>
    </row>
    <row r="34" spans="3:3">
      <c r="C34" s="1096"/>
    </row>
    <row r="35" spans="3:3">
      <c r="C35" s="1096"/>
    </row>
    <row r="36" spans="3:3">
      <c r="C36" s="1096"/>
    </row>
    <row r="37" spans="3:3" ht="409.6" customHeight="1">
      <c r="C37" s="1096"/>
    </row>
    <row r="38" spans="3:3" ht="409.6" customHeight="1">
      <c r="C38" s="1096"/>
    </row>
    <row r="39" spans="3:3" ht="409.6" customHeight="1">
      <c r="C39" s="1096"/>
    </row>
    <row r="40" spans="3:3" ht="409.6" customHeight="1">
      <c r="C40" s="1096"/>
    </row>
    <row r="41" spans="3:3" ht="409.6" customHeight="1">
      <c r="C41" s="1096"/>
    </row>
  </sheetData>
  <mergeCells count="2">
    <mergeCell ref="B17:E17"/>
    <mergeCell ref="B19:E19"/>
  </mergeCells>
  <pageMargins left="0.5" right="0.75" top="1" bottom="1" header="0.5" footer="0.5"/>
  <pageSetup orientation="portrait" horizontalDpi="300" verticalDpi="300" r:id="rId1"/>
  <headerFooter alignWithMargins="0"/>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H23"/>
  <sheetViews>
    <sheetView workbookViewId="0">
      <selection activeCell="C2" sqref="C2"/>
    </sheetView>
  </sheetViews>
  <sheetFormatPr defaultRowHeight="16.5"/>
  <cols>
    <col min="1" max="1" width="5.140625" style="142" bestFit="1" customWidth="1"/>
    <col min="2" max="2" width="32.5703125" style="86" customWidth="1"/>
    <col min="3" max="3" width="8.140625" style="86" bestFit="1" customWidth="1"/>
    <col min="4" max="4" width="14.42578125" style="86" bestFit="1" customWidth="1"/>
    <col min="5" max="5" width="10.7109375" style="6" bestFit="1" customWidth="1"/>
    <col min="6" max="6" width="16.5703125" style="6" bestFit="1" customWidth="1"/>
    <col min="7" max="16384" width="9.140625" style="6"/>
  </cols>
  <sheetData>
    <row r="1" spans="1:8">
      <c r="C1" s="86" t="s">
        <v>846</v>
      </c>
      <c r="G1" s="308" t="s">
        <v>1020</v>
      </c>
    </row>
    <row r="3" spans="1:8">
      <c r="A3" s="2665" t="s">
        <v>416</v>
      </c>
      <c r="B3" s="2665"/>
      <c r="C3" s="2665"/>
      <c r="D3" s="2665"/>
      <c r="E3" s="2665"/>
      <c r="F3" s="2665"/>
    </row>
    <row r="4" spans="1:8" s="239" customFormat="1">
      <c r="A4" s="53" t="s">
        <v>0</v>
      </c>
      <c r="B4" s="53" t="s">
        <v>103</v>
      </c>
      <c r="C4" s="53" t="s">
        <v>2</v>
      </c>
      <c r="D4" s="53" t="s">
        <v>3</v>
      </c>
      <c r="E4" s="53" t="s">
        <v>1</v>
      </c>
      <c r="F4" s="53" t="s">
        <v>4</v>
      </c>
      <c r="H4" s="240"/>
    </row>
    <row r="5" spans="1:8" s="28" customFormat="1">
      <c r="A5" s="16" t="s">
        <v>109</v>
      </c>
      <c r="B5" s="17" t="s">
        <v>211</v>
      </c>
      <c r="C5" s="17"/>
      <c r="D5" s="49"/>
      <c r="E5" s="49"/>
      <c r="F5" s="40">
        <f>SUM(F6:F12)</f>
        <v>1042000000</v>
      </c>
      <c r="H5" s="27"/>
    </row>
    <row r="6" spans="1:8">
      <c r="A6" s="47">
        <v>1</v>
      </c>
      <c r="B6" s="18" t="s">
        <v>417</v>
      </c>
      <c r="C6" s="47" t="s">
        <v>418</v>
      </c>
      <c r="D6" s="48">
        <v>1500000</v>
      </c>
      <c r="E6" s="48">
        <v>300</v>
      </c>
      <c r="F6" s="41">
        <f>D6*E6</f>
        <v>450000000</v>
      </c>
      <c r="H6" s="27"/>
    </row>
    <row r="7" spans="1:8">
      <c r="A7" s="47">
        <v>2</v>
      </c>
      <c r="B7" s="18" t="s">
        <v>419</v>
      </c>
      <c r="C7" s="47" t="s">
        <v>418</v>
      </c>
      <c r="D7" s="48">
        <v>1500000</v>
      </c>
      <c r="E7" s="48">
        <v>250</v>
      </c>
      <c r="F7" s="41">
        <f>D7*E7</f>
        <v>375000000</v>
      </c>
      <c r="H7" s="27"/>
    </row>
    <row r="8" spans="1:8">
      <c r="A8" s="47">
        <v>3</v>
      </c>
      <c r="B8" s="18" t="s">
        <v>420</v>
      </c>
      <c r="C8" s="47" t="s">
        <v>5</v>
      </c>
      <c r="D8" s="48">
        <v>90000</v>
      </c>
      <c r="E8" s="48">
        <v>800</v>
      </c>
      <c r="F8" s="41">
        <f>D8*E8</f>
        <v>72000000</v>
      </c>
      <c r="H8" s="27"/>
    </row>
    <row r="9" spans="1:8">
      <c r="A9" s="47">
        <v>4</v>
      </c>
      <c r="B9" s="18" t="s">
        <v>421</v>
      </c>
      <c r="C9" s="47" t="s">
        <v>5</v>
      </c>
      <c r="D9" s="48">
        <v>90000</v>
      </c>
      <c r="E9" s="48">
        <v>800</v>
      </c>
      <c r="F9" s="41">
        <f>D9*E9</f>
        <v>72000000</v>
      </c>
      <c r="H9" s="27"/>
    </row>
    <row r="10" spans="1:8">
      <c r="A10" s="47">
        <v>5</v>
      </c>
      <c r="B10" s="18" t="s">
        <v>213</v>
      </c>
      <c r="C10" s="47"/>
      <c r="D10" s="48"/>
      <c r="E10" s="48"/>
      <c r="F10" s="41">
        <f>D21*D23</f>
        <v>49000000.000000007</v>
      </c>
      <c r="H10" s="27"/>
    </row>
    <row r="11" spans="1:8">
      <c r="A11" s="47">
        <v>6</v>
      </c>
      <c r="B11" s="18" t="s">
        <v>214</v>
      </c>
      <c r="C11" s="47"/>
      <c r="D11" s="48">
        <v>1000000</v>
      </c>
      <c r="E11" s="48">
        <v>12</v>
      </c>
      <c r="F11" s="41">
        <f>D11*E11</f>
        <v>12000000</v>
      </c>
      <c r="H11" s="27"/>
    </row>
    <row r="12" spans="1:8">
      <c r="A12" s="47">
        <v>7</v>
      </c>
      <c r="B12" s="18" t="s">
        <v>217</v>
      </c>
      <c r="C12" s="47"/>
      <c r="D12" s="48"/>
      <c r="E12" s="48"/>
      <c r="F12" s="41">
        <v>12000000</v>
      </c>
      <c r="H12" s="27"/>
    </row>
    <row r="13" spans="1:8" s="28" customFormat="1">
      <c r="A13" s="16" t="s">
        <v>116</v>
      </c>
      <c r="B13" s="17" t="s">
        <v>110</v>
      </c>
      <c r="C13" s="16"/>
      <c r="D13" s="49"/>
      <c r="E13" s="49"/>
      <c r="F13" s="40">
        <f>SUM(F14:F17)</f>
        <v>1127000000</v>
      </c>
      <c r="H13" s="27"/>
    </row>
    <row r="14" spans="1:8">
      <c r="A14" s="47">
        <v>1</v>
      </c>
      <c r="B14" s="18" t="s">
        <v>422</v>
      </c>
      <c r="C14" s="47" t="s">
        <v>418</v>
      </c>
      <c r="D14" s="48">
        <v>1700000</v>
      </c>
      <c r="E14" s="48">
        <f>E6</f>
        <v>300</v>
      </c>
      <c r="F14" s="41">
        <f>D14*E14</f>
        <v>510000000</v>
      </c>
      <c r="H14" s="27"/>
    </row>
    <row r="15" spans="1:8">
      <c r="A15" s="47">
        <v>2</v>
      </c>
      <c r="B15" s="18" t="s">
        <v>423</v>
      </c>
      <c r="C15" s="47" t="s">
        <v>418</v>
      </c>
      <c r="D15" s="48">
        <v>1700000</v>
      </c>
      <c r="E15" s="48">
        <f>E7</f>
        <v>250</v>
      </c>
      <c r="F15" s="41">
        <f>D15*E15</f>
        <v>425000000</v>
      </c>
      <c r="H15" s="27"/>
    </row>
    <row r="16" spans="1:8">
      <c r="A16" s="47">
        <v>3</v>
      </c>
      <c r="B16" s="18" t="s">
        <v>424</v>
      </c>
      <c r="C16" s="47" t="s">
        <v>5</v>
      </c>
      <c r="D16" s="48">
        <v>120000</v>
      </c>
      <c r="E16" s="48">
        <f>E8</f>
        <v>800</v>
      </c>
      <c r="F16" s="41">
        <f>D16*E16</f>
        <v>96000000</v>
      </c>
      <c r="H16" s="27"/>
    </row>
    <row r="17" spans="1:8">
      <c r="A17" s="47">
        <v>4</v>
      </c>
      <c r="B17" s="18" t="s">
        <v>425</v>
      </c>
      <c r="C17" s="47" t="s">
        <v>5</v>
      </c>
      <c r="D17" s="48">
        <v>120000</v>
      </c>
      <c r="E17" s="48">
        <f>E9</f>
        <v>800</v>
      </c>
      <c r="F17" s="41">
        <f>D17*E17</f>
        <v>96000000</v>
      </c>
      <c r="H17" s="27"/>
    </row>
    <row r="18" spans="1:8" s="28" customFormat="1">
      <c r="A18" s="16" t="s">
        <v>135</v>
      </c>
      <c r="B18" s="17" t="s">
        <v>136</v>
      </c>
      <c r="C18" s="17"/>
      <c r="D18" s="49"/>
      <c r="E18" s="49"/>
      <c r="F18" s="40">
        <f>F13-F5</f>
        <v>85000000</v>
      </c>
      <c r="H18" s="27"/>
    </row>
    <row r="20" spans="1:8">
      <c r="B20" s="241" t="s">
        <v>25</v>
      </c>
      <c r="C20" s="242"/>
      <c r="D20" s="123">
        <f>F5-F10</f>
        <v>993000000</v>
      </c>
      <c r="E20" s="18"/>
    </row>
    <row r="21" spans="1:8">
      <c r="A21" s="6"/>
      <c r="B21" s="241" t="s">
        <v>27</v>
      </c>
      <c r="C21" s="242"/>
      <c r="D21" s="243">
        <v>700000000</v>
      </c>
      <c r="E21" s="18"/>
    </row>
    <row r="22" spans="1:8">
      <c r="A22" s="6"/>
      <c r="B22" s="241" t="s">
        <v>26</v>
      </c>
      <c r="C22" s="242"/>
      <c r="D22" s="243">
        <f>D20-D21</f>
        <v>293000000</v>
      </c>
      <c r="E22" s="244">
        <f>D22/D20</f>
        <v>0.29506545820745217</v>
      </c>
    </row>
    <row r="23" spans="1:8">
      <c r="A23" s="6"/>
      <c r="B23" s="245" t="s">
        <v>63</v>
      </c>
      <c r="C23" s="246"/>
      <c r="D23" s="247">
        <v>7.0000000000000007E-2</v>
      </c>
      <c r="E23" s="18"/>
    </row>
  </sheetData>
  <mergeCells count="1">
    <mergeCell ref="A3:F3"/>
  </mergeCells>
  <pageMargins left="0.75" right="0.75" top="1" bottom="1" header="0.5" footer="0.5"/>
  <pageSetup paperSize="9" orientation="portrait" verticalDpi="0" r:id="rId1"/>
  <headerFooter alignWithMargins="0"/>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51"/>
  <sheetViews>
    <sheetView topLeftCell="B7" workbookViewId="0">
      <selection activeCell="C2" sqref="C2"/>
    </sheetView>
  </sheetViews>
  <sheetFormatPr defaultRowHeight="16.5"/>
  <cols>
    <col min="1" max="1" width="4.42578125" style="311" bestFit="1" customWidth="1"/>
    <col min="2" max="2" width="35.42578125" style="311" bestFit="1" customWidth="1"/>
    <col min="3" max="3" width="14" style="311" bestFit="1" customWidth="1"/>
    <col min="4" max="4" width="13.7109375" style="318" customWidth="1"/>
    <col min="5" max="5" width="13.7109375" style="318" hidden="1" customWidth="1"/>
    <col min="6" max="6" width="18.140625" style="318" bestFit="1" customWidth="1"/>
    <col min="7" max="7" width="21.28515625" style="318" bestFit="1" customWidth="1"/>
    <col min="8" max="8" width="24" style="318" bestFit="1" customWidth="1"/>
    <col min="9" max="9" width="18.140625" style="318" bestFit="1" customWidth="1"/>
    <col min="10" max="10" width="19.140625" style="318" bestFit="1" customWidth="1"/>
    <col min="11" max="11" width="14.5703125" style="318" bestFit="1" customWidth="1"/>
    <col min="12" max="16384" width="9.140625" style="311"/>
  </cols>
  <sheetData>
    <row r="1" spans="1:11">
      <c r="C1" s="311" t="s">
        <v>871</v>
      </c>
      <c r="G1" s="452" t="s">
        <v>1020</v>
      </c>
    </row>
    <row r="4" spans="1:11" ht="33">
      <c r="A4" s="2355" t="s">
        <v>0</v>
      </c>
      <c r="B4" s="2355" t="s">
        <v>648</v>
      </c>
      <c r="C4" s="2355" t="s">
        <v>100</v>
      </c>
      <c r="D4" s="344" t="s">
        <v>764</v>
      </c>
      <c r="E4" s="344" t="s">
        <v>765</v>
      </c>
      <c r="F4" s="344" t="s">
        <v>3</v>
      </c>
      <c r="G4" s="344" t="s">
        <v>847</v>
      </c>
      <c r="H4" s="344" t="s">
        <v>848</v>
      </c>
    </row>
    <row r="5" spans="1:11">
      <c r="A5" s="295" t="s">
        <v>109</v>
      </c>
      <c r="B5" s="2352" t="s">
        <v>767</v>
      </c>
      <c r="C5" s="2352"/>
      <c r="D5" s="345"/>
      <c r="E5" s="345"/>
      <c r="F5" s="345"/>
      <c r="G5" s="345">
        <f>SUM(G6:G28)</f>
        <v>6825000000</v>
      </c>
      <c r="H5" s="345">
        <f>SUM(H6:H28)</f>
        <v>13650000000</v>
      </c>
      <c r="I5" s="318">
        <f>H5-J10</f>
        <v>450000000</v>
      </c>
    </row>
    <row r="6" spans="1:11">
      <c r="A6" s="299">
        <v>1</v>
      </c>
      <c r="B6" s="298" t="s">
        <v>849</v>
      </c>
      <c r="C6" s="298" t="s">
        <v>850</v>
      </c>
      <c r="D6" s="346">
        <v>6000</v>
      </c>
      <c r="E6" s="346">
        <v>8980</v>
      </c>
      <c r="F6" s="346">
        <v>63000</v>
      </c>
      <c r="G6" s="346">
        <f>F6*D6</f>
        <v>378000000</v>
      </c>
      <c r="H6" s="346">
        <f>G6*2</f>
        <v>756000000</v>
      </c>
    </row>
    <row r="7" spans="1:11">
      <c r="A7" s="299">
        <v>2</v>
      </c>
      <c r="B7" s="298" t="s">
        <v>851</v>
      </c>
      <c r="C7" s="298" t="s">
        <v>850</v>
      </c>
      <c r="D7" s="346">
        <v>6000</v>
      </c>
      <c r="E7" s="346">
        <v>5954</v>
      </c>
      <c r="F7" s="346">
        <v>62500</v>
      </c>
      <c r="G7" s="346">
        <f t="shared" ref="G7:G22" si="0">F7*D7</f>
        <v>375000000</v>
      </c>
      <c r="H7" s="346">
        <f t="shared" ref="H7:H23" si="1">G7*2</f>
        <v>750000000</v>
      </c>
      <c r="J7" s="318">
        <v>6000000000</v>
      </c>
      <c r="K7" s="318">
        <v>2</v>
      </c>
    </row>
    <row r="8" spans="1:11">
      <c r="A8" s="299">
        <v>3</v>
      </c>
      <c r="B8" s="298" t="s">
        <v>852</v>
      </c>
      <c r="C8" s="298" t="s">
        <v>850</v>
      </c>
      <c r="D8" s="346">
        <v>6000</v>
      </c>
      <c r="E8" s="346">
        <v>1961</v>
      </c>
      <c r="F8" s="346">
        <v>51000</v>
      </c>
      <c r="G8" s="346">
        <f t="shared" si="0"/>
        <v>306000000</v>
      </c>
      <c r="H8" s="346">
        <f t="shared" si="1"/>
        <v>612000000</v>
      </c>
      <c r="J8" s="318">
        <v>600000000</v>
      </c>
    </row>
    <row r="9" spans="1:11">
      <c r="A9" s="299">
        <v>4</v>
      </c>
      <c r="B9" s="298" t="s">
        <v>853</v>
      </c>
      <c r="C9" s="298" t="s">
        <v>850</v>
      </c>
      <c r="D9" s="346">
        <v>6000</v>
      </c>
      <c r="E9" s="346">
        <v>1790</v>
      </c>
      <c r="F9" s="346">
        <v>60000</v>
      </c>
      <c r="G9" s="346">
        <f t="shared" si="0"/>
        <v>360000000</v>
      </c>
      <c r="H9" s="346">
        <f t="shared" si="1"/>
        <v>720000000</v>
      </c>
      <c r="J9" s="318">
        <f>J8+J7</f>
        <v>6600000000</v>
      </c>
    </row>
    <row r="10" spans="1:11">
      <c r="A10" s="299">
        <v>5</v>
      </c>
      <c r="B10" s="298" t="s">
        <v>854</v>
      </c>
      <c r="C10" s="298" t="s">
        <v>829</v>
      </c>
      <c r="D10" s="346">
        <v>9000</v>
      </c>
      <c r="E10" s="346">
        <v>42000</v>
      </c>
      <c r="F10" s="346">
        <v>10636</v>
      </c>
      <c r="G10" s="346">
        <f t="shared" si="0"/>
        <v>95724000</v>
      </c>
      <c r="H10" s="346">
        <f t="shared" si="1"/>
        <v>191448000</v>
      </c>
      <c r="J10" s="318">
        <f>J9*K7</f>
        <v>13200000000</v>
      </c>
    </row>
    <row r="11" spans="1:11">
      <c r="A11" s="299">
        <v>6</v>
      </c>
      <c r="B11" s="298" t="s">
        <v>855</v>
      </c>
      <c r="C11" s="298" t="s">
        <v>829</v>
      </c>
      <c r="D11" s="346">
        <v>12000</v>
      </c>
      <c r="E11" s="346">
        <v>52000</v>
      </c>
      <c r="F11" s="346">
        <v>10636</v>
      </c>
      <c r="G11" s="346">
        <f t="shared" si="0"/>
        <v>127632000</v>
      </c>
      <c r="H11" s="346">
        <f t="shared" si="1"/>
        <v>255264000</v>
      </c>
    </row>
    <row r="12" spans="1:11">
      <c r="A12" s="299">
        <v>7</v>
      </c>
      <c r="B12" s="298" t="s">
        <v>856</v>
      </c>
      <c r="C12" s="298" t="s">
        <v>857</v>
      </c>
      <c r="D12" s="346">
        <v>10500</v>
      </c>
      <c r="E12" s="346">
        <v>1630</v>
      </c>
      <c r="F12" s="346">
        <v>72755</v>
      </c>
      <c r="G12" s="346">
        <f t="shared" si="0"/>
        <v>763927500</v>
      </c>
      <c r="H12" s="346">
        <f t="shared" si="1"/>
        <v>1527855000</v>
      </c>
    </row>
    <row r="13" spans="1:11">
      <c r="A13" s="299">
        <v>8</v>
      </c>
      <c r="B13" s="298" t="s">
        <v>858</v>
      </c>
      <c r="C13" s="298" t="s">
        <v>857</v>
      </c>
      <c r="D13" s="346">
        <v>1800</v>
      </c>
      <c r="E13" s="346">
        <v>1015</v>
      </c>
      <c r="F13" s="346">
        <v>102955</v>
      </c>
      <c r="G13" s="346">
        <f t="shared" si="0"/>
        <v>185319000</v>
      </c>
      <c r="H13" s="346">
        <f t="shared" si="1"/>
        <v>370638000</v>
      </c>
    </row>
    <row r="14" spans="1:11">
      <c r="A14" s="299">
        <v>9</v>
      </c>
      <c r="B14" s="298" t="s">
        <v>859</v>
      </c>
      <c r="C14" s="298" t="s">
        <v>857</v>
      </c>
      <c r="D14" s="346">
        <v>1800</v>
      </c>
      <c r="E14" s="346">
        <v>914</v>
      </c>
      <c r="F14" s="346">
        <v>140015</v>
      </c>
      <c r="G14" s="346">
        <f t="shared" si="0"/>
        <v>252027000</v>
      </c>
      <c r="H14" s="346">
        <f t="shared" si="1"/>
        <v>504054000</v>
      </c>
    </row>
    <row r="15" spans="1:11">
      <c r="A15" s="299">
        <v>10</v>
      </c>
      <c r="B15" s="298" t="s">
        <v>860</v>
      </c>
      <c r="C15" s="298" t="s">
        <v>857</v>
      </c>
      <c r="D15" s="346">
        <v>900</v>
      </c>
      <c r="E15" s="346">
        <v>650</v>
      </c>
      <c r="F15" s="346">
        <v>182030</v>
      </c>
      <c r="G15" s="346">
        <f t="shared" si="0"/>
        <v>163827000</v>
      </c>
      <c r="H15" s="346">
        <f t="shared" si="1"/>
        <v>327654000</v>
      </c>
    </row>
    <row r="16" spans="1:11">
      <c r="A16" s="299">
        <v>11</v>
      </c>
      <c r="B16" s="298" t="s">
        <v>861</v>
      </c>
      <c r="C16" s="298" t="s">
        <v>857</v>
      </c>
      <c r="D16" s="346">
        <v>1500</v>
      </c>
      <c r="E16" s="346">
        <v>402</v>
      </c>
      <c r="F16" s="346">
        <v>231675</v>
      </c>
      <c r="G16" s="346">
        <f>F16*D16</f>
        <v>347512500</v>
      </c>
      <c r="H16" s="346">
        <f t="shared" si="1"/>
        <v>695025000</v>
      </c>
    </row>
    <row r="17" spans="1:9">
      <c r="A17" s="299">
        <v>12</v>
      </c>
      <c r="B17" s="298" t="s">
        <v>862</v>
      </c>
      <c r="C17" s="298" t="s">
        <v>857</v>
      </c>
      <c r="D17" s="346">
        <v>1100</v>
      </c>
      <c r="E17" s="346">
        <v>342</v>
      </c>
      <c r="F17" s="346">
        <v>285877</v>
      </c>
      <c r="G17" s="346">
        <f t="shared" si="0"/>
        <v>314464700</v>
      </c>
      <c r="H17" s="346">
        <f t="shared" si="1"/>
        <v>628929400</v>
      </c>
    </row>
    <row r="18" spans="1:9">
      <c r="A18" s="299">
        <v>13</v>
      </c>
      <c r="B18" s="298" t="s">
        <v>863</v>
      </c>
      <c r="C18" s="298" t="s">
        <v>857</v>
      </c>
      <c r="D18" s="346">
        <v>900</v>
      </c>
      <c r="E18" s="346">
        <v>252</v>
      </c>
      <c r="F18" s="346">
        <v>352274</v>
      </c>
      <c r="G18" s="346">
        <f t="shared" si="0"/>
        <v>317046600</v>
      </c>
      <c r="H18" s="346">
        <f t="shared" si="1"/>
        <v>634093200</v>
      </c>
    </row>
    <row r="19" spans="1:9">
      <c r="A19" s="299">
        <v>14</v>
      </c>
      <c r="B19" s="298" t="s">
        <v>864</v>
      </c>
      <c r="C19" s="298" t="s">
        <v>857</v>
      </c>
      <c r="D19" s="346">
        <v>1950</v>
      </c>
      <c r="E19" s="346">
        <v>220</v>
      </c>
      <c r="F19" s="346">
        <v>454999</v>
      </c>
      <c r="G19" s="346">
        <f t="shared" si="0"/>
        <v>887248050</v>
      </c>
      <c r="H19" s="346">
        <f t="shared" si="1"/>
        <v>1774496100</v>
      </c>
    </row>
    <row r="20" spans="1:9" s="318" customFormat="1">
      <c r="A20" s="299">
        <v>15</v>
      </c>
      <c r="B20" s="298" t="s">
        <v>865</v>
      </c>
      <c r="C20" s="298" t="s">
        <v>515</v>
      </c>
      <c r="D20" s="346">
        <v>40</v>
      </c>
      <c r="E20" s="346">
        <v>12</v>
      </c>
      <c r="F20" s="346">
        <v>16500000</v>
      </c>
      <c r="G20" s="346">
        <f t="shared" si="0"/>
        <v>660000000</v>
      </c>
      <c r="H20" s="346">
        <f t="shared" si="1"/>
        <v>1320000000</v>
      </c>
    </row>
    <row r="21" spans="1:9" s="318" customFormat="1">
      <c r="A21" s="299">
        <v>16</v>
      </c>
      <c r="B21" s="298" t="s">
        <v>866</v>
      </c>
      <c r="C21" s="298" t="s">
        <v>515</v>
      </c>
      <c r="D21" s="346">
        <v>12</v>
      </c>
      <c r="E21" s="346">
        <v>14</v>
      </c>
      <c r="F21" s="346">
        <v>16500000</v>
      </c>
      <c r="G21" s="346">
        <f t="shared" si="0"/>
        <v>198000000</v>
      </c>
      <c r="H21" s="346">
        <f t="shared" si="1"/>
        <v>396000000</v>
      </c>
    </row>
    <row r="22" spans="1:9" s="318" customFormat="1">
      <c r="A22" s="299">
        <v>17</v>
      </c>
      <c r="B22" s="298" t="s">
        <v>867</v>
      </c>
      <c r="C22" s="298" t="s">
        <v>515</v>
      </c>
      <c r="D22" s="346">
        <v>20</v>
      </c>
      <c r="E22" s="346">
        <v>6</v>
      </c>
      <c r="F22" s="346">
        <v>16690000</v>
      </c>
      <c r="G22" s="346">
        <f t="shared" si="0"/>
        <v>333800000</v>
      </c>
      <c r="H22" s="346">
        <f t="shared" si="1"/>
        <v>667600000</v>
      </c>
    </row>
    <row r="23" spans="1:9" s="318" customFormat="1">
      <c r="A23" s="299">
        <v>18</v>
      </c>
      <c r="B23" s="298" t="s">
        <v>868</v>
      </c>
      <c r="C23" s="298"/>
      <c r="D23" s="346" t="s">
        <v>869</v>
      </c>
      <c r="E23" s="346"/>
      <c r="F23" s="346"/>
      <c r="G23" s="346">
        <v>200000000</v>
      </c>
      <c r="H23" s="346">
        <f t="shared" si="1"/>
        <v>400000000</v>
      </c>
      <c r="I23" s="453"/>
    </row>
    <row r="24" spans="1:9" s="318" customFormat="1">
      <c r="A24" s="299"/>
      <c r="B24" s="298" t="s">
        <v>801</v>
      </c>
      <c r="C24" s="298"/>
      <c r="D24" s="346"/>
      <c r="E24" s="346"/>
      <c r="F24" s="346"/>
      <c r="G24" s="346">
        <f>H24/2</f>
        <v>225000000</v>
      </c>
      <c r="H24" s="346">
        <f>J7*7.5/100</f>
        <v>450000000</v>
      </c>
      <c r="I24" s="453"/>
    </row>
    <row r="25" spans="1:9" s="318" customFormat="1">
      <c r="A25" s="299">
        <v>19</v>
      </c>
      <c r="B25" s="298" t="s">
        <v>323</v>
      </c>
      <c r="C25" s="298" t="s">
        <v>870</v>
      </c>
      <c r="D25" s="346">
        <v>3</v>
      </c>
      <c r="E25" s="346">
        <v>2</v>
      </c>
      <c r="F25" s="346">
        <v>6000000</v>
      </c>
      <c r="G25" s="346">
        <f>D25*F25*6</f>
        <v>108000000</v>
      </c>
      <c r="H25" s="346">
        <f>G25*2</f>
        <v>216000000</v>
      </c>
      <c r="I25" s="453"/>
    </row>
    <row r="26" spans="1:9" s="318" customFormat="1">
      <c r="A26" s="299">
        <v>20</v>
      </c>
      <c r="B26" s="298" t="s">
        <v>337</v>
      </c>
      <c r="C26" s="298" t="s">
        <v>870</v>
      </c>
      <c r="D26" s="346">
        <v>3</v>
      </c>
      <c r="E26" s="346">
        <v>2</v>
      </c>
      <c r="F26" s="346">
        <v>8000000</v>
      </c>
      <c r="G26" s="346">
        <f>F26*6*D26</f>
        <v>144000000</v>
      </c>
      <c r="H26" s="346">
        <f>G26*2</f>
        <v>288000000</v>
      </c>
      <c r="I26" s="311"/>
    </row>
    <row r="27" spans="1:9" s="318" customFormat="1">
      <c r="A27" s="299">
        <v>22</v>
      </c>
      <c r="B27" s="298" t="s">
        <v>214</v>
      </c>
      <c r="C27" s="298"/>
      <c r="D27" s="346"/>
      <c r="E27" s="346"/>
      <c r="F27" s="346"/>
      <c r="G27" s="346">
        <v>50000000</v>
      </c>
      <c r="H27" s="346">
        <f>G27*2</f>
        <v>100000000</v>
      </c>
      <c r="I27" s="311"/>
    </row>
    <row r="28" spans="1:9" s="318" customFormat="1">
      <c r="A28" s="299">
        <v>23</v>
      </c>
      <c r="B28" s="298" t="s">
        <v>217</v>
      </c>
      <c r="C28" s="298"/>
      <c r="D28" s="346"/>
      <c r="E28" s="346"/>
      <c r="F28" s="346"/>
      <c r="G28" s="346">
        <f>H28/2</f>
        <v>32471650</v>
      </c>
      <c r="H28" s="346">
        <v>64943300</v>
      </c>
      <c r="I28" s="311"/>
    </row>
    <row r="29" spans="1:9" s="318" customFormat="1">
      <c r="A29" s="295" t="s">
        <v>116</v>
      </c>
      <c r="B29" s="2352" t="s">
        <v>803</v>
      </c>
      <c r="C29" s="2352"/>
      <c r="D29" s="345"/>
      <c r="E29" s="345"/>
      <c r="F29" s="345"/>
      <c r="G29" s="345">
        <f>SUM(G30:G47)</f>
        <v>8005186855</v>
      </c>
      <c r="H29" s="345">
        <f>SUM(H30:H47)</f>
        <v>16010373710</v>
      </c>
      <c r="I29" s="311"/>
    </row>
    <row r="30" spans="1:9" s="318" customFormat="1">
      <c r="A30" s="299">
        <v>1</v>
      </c>
      <c r="B30" s="298" t="str">
        <f t="shared" ref="B30:E45" si="2">B6</f>
        <v>Xi măng Nghi Sơn PC40</v>
      </c>
      <c r="C30" s="298" t="str">
        <f t="shared" si="2"/>
        <v>Bao 50 kg</v>
      </c>
      <c r="D30" s="346">
        <f t="shared" si="2"/>
        <v>6000</v>
      </c>
      <c r="E30" s="346">
        <f t="shared" si="2"/>
        <v>8980</v>
      </c>
      <c r="F30" s="346">
        <f>F6*1.3</f>
        <v>81900</v>
      </c>
      <c r="G30" s="346">
        <f>F30*D30</f>
        <v>491400000</v>
      </c>
      <c r="H30" s="346">
        <f>G30*2</f>
        <v>982800000</v>
      </c>
      <c r="I30" s="311"/>
    </row>
    <row r="31" spans="1:9" s="318" customFormat="1">
      <c r="A31" s="299">
        <v>2</v>
      </c>
      <c r="B31" s="298" t="str">
        <f t="shared" si="2"/>
        <v>Xi măng Hoàng Mai PC40</v>
      </c>
      <c r="C31" s="298" t="str">
        <f t="shared" si="2"/>
        <v>Bao 50 kg</v>
      </c>
      <c r="D31" s="346">
        <f t="shared" si="2"/>
        <v>6000</v>
      </c>
      <c r="E31" s="346">
        <f t="shared" si="2"/>
        <v>5954</v>
      </c>
      <c r="F31" s="346">
        <f t="shared" ref="F31:F46" si="3">F7*1.3</f>
        <v>81250</v>
      </c>
      <c r="G31" s="346">
        <f t="shared" ref="G31:G46" si="4">F31*D31</f>
        <v>487500000</v>
      </c>
      <c r="H31" s="346">
        <f t="shared" ref="H31:H47" si="5">G31*2</f>
        <v>975000000</v>
      </c>
      <c r="I31" s="311"/>
    </row>
    <row r="32" spans="1:9" s="318" customFormat="1">
      <c r="A32" s="299">
        <v>3</v>
      </c>
      <c r="B32" s="298" t="str">
        <f t="shared" si="2"/>
        <v>Xi măng The ViSSai PCB40</v>
      </c>
      <c r="C32" s="298" t="str">
        <f t="shared" si="2"/>
        <v>Bao 50 kg</v>
      </c>
      <c r="D32" s="346">
        <f t="shared" si="2"/>
        <v>6000</v>
      </c>
      <c r="E32" s="346">
        <f t="shared" si="2"/>
        <v>1961</v>
      </c>
      <c r="F32" s="346">
        <f t="shared" si="3"/>
        <v>66300</v>
      </c>
      <c r="G32" s="346">
        <f t="shared" si="4"/>
        <v>397800000</v>
      </c>
      <c r="H32" s="346">
        <f t="shared" si="5"/>
        <v>795600000</v>
      </c>
      <c r="I32" s="311"/>
    </row>
    <row r="33" spans="1:9" s="318" customFormat="1">
      <c r="A33" s="299">
        <v>4</v>
      </c>
      <c r="B33" s="298" t="str">
        <f t="shared" si="2"/>
        <v>Xi măng Thăng Long PCB40</v>
      </c>
      <c r="C33" s="298" t="str">
        <f t="shared" si="2"/>
        <v>Bao 50 kg</v>
      </c>
      <c r="D33" s="346">
        <f t="shared" si="2"/>
        <v>6000</v>
      </c>
      <c r="E33" s="346">
        <f t="shared" si="2"/>
        <v>1790</v>
      </c>
      <c r="F33" s="346">
        <f t="shared" si="3"/>
        <v>78000</v>
      </c>
      <c r="G33" s="346">
        <f t="shared" si="4"/>
        <v>468000000</v>
      </c>
      <c r="H33" s="346">
        <f t="shared" si="5"/>
        <v>936000000</v>
      </c>
      <c r="I33" s="311"/>
    </row>
    <row r="34" spans="1:9" s="318" customFormat="1">
      <c r="A34" s="299">
        <v>5</v>
      </c>
      <c r="B34" s="298" t="str">
        <f t="shared" si="2"/>
        <v>Thép cuộn Phi 6</v>
      </c>
      <c r="C34" s="298" t="str">
        <f t="shared" si="2"/>
        <v>Kg</v>
      </c>
      <c r="D34" s="346">
        <f t="shared" si="2"/>
        <v>9000</v>
      </c>
      <c r="E34" s="346">
        <f t="shared" si="2"/>
        <v>42000</v>
      </c>
      <c r="F34" s="346">
        <f t="shared" si="3"/>
        <v>13826.800000000001</v>
      </c>
      <c r="G34" s="346">
        <f t="shared" si="4"/>
        <v>124441200.00000001</v>
      </c>
      <c r="H34" s="346">
        <f t="shared" si="5"/>
        <v>248882400.00000003</v>
      </c>
      <c r="I34" s="311"/>
    </row>
    <row r="35" spans="1:9" s="318" customFormat="1">
      <c r="A35" s="299">
        <v>6</v>
      </c>
      <c r="B35" s="298" t="str">
        <f t="shared" si="2"/>
        <v>Thép cuộn Phi 8</v>
      </c>
      <c r="C35" s="298" t="str">
        <f t="shared" si="2"/>
        <v>Kg</v>
      </c>
      <c r="D35" s="346">
        <f t="shared" si="2"/>
        <v>12000</v>
      </c>
      <c r="E35" s="346">
        <f t="shared" si="2"/>
        <v>52000</v>
      </c>
      <c r="F35" s="346">
        <f t="shared" si="3"/>
        <v>13826.800000000001</v>
      </c>
      <c r="G35" s="346">
        <f t="shared" si="4"/>
        <v>165921600</v>
      </c>
      <c r="H35" s="346">
        <f t="shared" si="5"/>
        <v>331843200</v>
      </c>
      <c r="I35" s="311"/>
    </row>
    <row r="36" spans="1:9">
      <c r="A36" s="299">
        <v>7</v>
      </c>
      <c r="B36" s="298" t="str">
        <f t="shared" si="2"/>
        <v>Thép Phi 10</v>
      </c>
      <c r="C36" s="298" t="str">
        <f t="shared" si="2"/>
        <v>Cây (11.7m)</v>
      </c>
      <c r="D36" s="346">
        <f t="shared" si="2"/>
        <v>10500</v>
      </c>
      <c r="E36" s="346">
        <f t="shared" si="2"/>
        <v>1630</v>
      </c>
      <c r="F36" s="346">
        <f t="shared" si="3"/>
        <v>94581.5</v>
      </c>
      <c r="G36" s="346">
        <f t="shared" si="4"/>
        <v>993105750</v>
      </c>
      <c r="H36" s="346">
        <f t="shared" si="5"/>
        <v>1986211500</v>
      </c>
    </row>
    <row r="37" spans="1:9">
      <c r="A37" s="299">
        <v>8</v>
      </c>
      <c r="B37" s="298" t="str">
        <f t="shared" si="2"/>
        <v>Thép Phi 12</v>
      </c>
      <c r="C37" s="298" t="str">
        <f t="shared" si="2"/>
        <v>Cây (11.7m)</v>
      </c>
      <c r="D37" s="346">
        <f t="shared" si="2"/>
        <v>1800</v>
      </c>
      <c r="E37" s="346">
        <f t="shared" si="2"/>
        <v>1015</v>
      </c>
      <c r="F37" s="346">
        <f t="shared" si="3"/>
        <v>133841.5</v>
      </c>
      <c r="G37" s="346">
        <f t="shared" si="4"/>
        <v>240914700</v>
      </c>
      <c r="H37" s="346">
        <f t="shared" si="5"/>
        <v>481829400</v>
      </c>
    </row>
    <row r="38" spans="1:9">
      <c r="A38" s="299">
        <v>9</v>
      </c>
      <c r="B38" s="298" t="str">
        <f t="shared" si="2"/>
        <v>Thép Phi 14</v>
      </c>
      <c r="C38" s="298" t="str">
        <f t="shared" si="2"/>
        <v>Cây (11.7m)</v>
      </c>
      <c r="D38" s="346">
        <f t="shared" si="2"/>
        <v>1800</v>
      </c>
      <c r="E38" s="346">
        <f t="shared" si="2"/>
        <v>914</v>
      </c>
      <c r="F38" s="346">
        <f t="shared" si="3"/>
        <v>182019.5</v>
      </c>
      <c r="G38" s="346">
        <f t="shared" si="4"/>
        <v>327635100</v>
      </c>
      <c r="H38" s="346">
        <f t="shared" si="5"/>
        <v>655270200</v>
      </c>
    </row>
    <row r="39" spans="1:9">
      <c r="A39" s="299">
        <v>10</v>
      </c>
      <c r="B39" s="298" t="str">
        <f t="shared" si="2"/>
        <v>Thép Phi 16</v>
      </c>
      <c r="C39" s="298" t="str">
        <f t="shared" si="2"/>
        <v>Cây (11.7m)</v>
      </c>
      <c r="D39" s="346">
        <f t="shared" si="2"/>
        <v>900</v>
      </c>
      <c r="E39" s="346">
        <f t="shared" si="2"/>
        <v>650</v>
      </c>
      <c r="F39" s="346">
        <f t="shared" si="3"/>
        <v>236639</v>
      </c>
      <c r="G39" s="346">
        <f t="shared" si="4"/>
        <v>212975100</v>
      </c>
      <c r="H39" s="346">
        <f t="shared" si="5"/>
        <v>425950200</v>
      </c>
    </row>
    <row r="40" spans="1:9">
      <c r="A40" s="299">
        <v>11</v>
      </c>
      <c r="B40" s="298" t="str">
        <f t="shared" si="2"/>
        <v>Thép Phi 18</v>
      </c>
      <c r="C40" s="298" t="str">
        <f t="shared" si="2"/>
        <v>Cây (11.7m)</v>
      </c>
      <c r="D40" s="346">
        <f t="shared" si="2"/>
        <v>1500</v>
      </c>
      <c r="E40" s="346">
        <f t="shared" si="2"/>
        <v>402</v>
      </c>
      <c r="F40" s="346">
        <f t="shared" si="3"/>
        <v>301177.5</v>
      </c>
      <c r="G40" s="346">
        <f t="shared" si="4"/>
        <v>451766250</v>
      </c>
      <c r="H40" s="346">
        <f t="shared" si="5"/>
        <v>903532500</v>
      </c>
    </row>
    <row r="41" spans="1:9">
      <c r="A41" s="299">
        <v>12</v>
      </c>
      <c r="B41" s="298" t="str">
        <f t="shared" si="2"/>
        <v>Thép Phi 20</v>
      </c>
      <c r="C41" s="298" t="str">
        <f t="shared" si="2"/>
        <v>Cây (11.7m)</v>
      </c>
      <c r="D41" s="346">
        <f t="shared" si="2"/>
        <v>1100</v>
      </c>
      <c r="E41" s="346">
        <f t="shared" si="2"/>
        <v>342</v>
      </c>
      <c r="F41" s="346">
        <f t="shared" si="3"/>
        <v>371640.10000000003</v>
      </c>
      <c r="G41" s="346">
        <f t="shared" si="4"/>
        <v>408804110.00000006</v>
      </c>
      <c r="H41" s="346">
        <f t="shared" si="5"/>
        <v>817608220.00000012</v>
      </c>
    </row>
    <row r="42" spans="1:9">
      <c r="A42" s="299">
        <v>13</v>
      </c>
      <c r="B42" s="298" t="str">
        <f t="shared" si="2"/>
        <v>Thép Phi 22</v>
      </c>
      <c r="C42" s="298" t="str">
        <f t="shared" si="2"/>
        <v>Cây (11.7m)</v>
      </c>
      <c r="D42" s="346">
        <f t="shared" si="2"/>
        <v>900</v>
      </c>
      <c r="E42" s="346">
        <f t="shared" si="2"/>
        <v>252</v>
      </c>
      <c r="F42" s="346">
        <f t="shared" si="3"/>
        <v>457956.2</v>
      </c>
      <c r="G42" s="346">
        <f t="shared" si="4"/>
        <v>412160580</v>
      </c>
      <c r="H42" s="346">
        <f t="shared" si="5"/>
        <v>824321160</v>
      </c>
    </row>
    <row r="43" spans="1:9">
      <c r="A43" s="299">
        <v>14</v>
      </c>
      <c r="B43" s="298" t="str">
        <f t="shared" si="2"/>
        <v>Thép Phi 25</v>
      </c>
      <c r="C43" s="298" t="str">
        <f t="shared" si="2"/>
        <v>Cây (11.7m)</v>
      </c>
      <c r="D43" s="346">
        <f t="shared" si="2"/>
        <v>1950</v>
      </c>
      <c r="E43" s="346">
        <f t="shared" si="2"/>
        <v>220</v>
      </c>
      <c r="F43" s="346">
        <f t="shared" si="3"/>
        <v>591498.70000000007</v>
      </c>
      <c r="G43" s="346">
        <f t="shared" si="4"/>
        <v>1153422465.0000002</v>
      </c>
      <c r="H43" s="346">
        <f t="shared" si="5"/>
        <v>2306844930.0000005</v>
      </c>
    </row>
    <row r="44" spans="1:9">
      <c r="A44" s="299">
        <v>15</v>
      </c>
      <c r="B44" s="298" t="str">
        <f t="shared" si="2"/>
        <v>Hộp kẽm 20x40 (2.3ly)</v>
      </c>
      <c r="C44" s="298" t="str">
        <f t="shared" si="2"/>
        <v>tấn</v>
      </c>
      <c r="D44" s="346">
        <f t="shared" si="2"/>
        <v>40</v>
      </c>
      <c r="E44" s="346">
        <f t="shared" si="2"/>
        <v>12</v>
      </c>
      <c r="F44" s="346">
        <f t="shared" si="3"/>
        <v>21450000</v>
      </c>
      <c r="G44" s="346">
        <f t="shared" si="4"/>
        <v>858000000</v>
      </c>
      <c r="H44" s="346">
        <f t="shared" si="5"/>
        <v>1716000000</v>
      </c>
    </row>
    <row r="45" spans="1:9">
      <c r="A45" s="299">
        <v>16</v>
      </c>
      <c r="B45" s="298" t="str">
        <f t="shared" si="2"/>
        <v>Hộp kẽm 30x60(từ 2.3ly)</v>
      </c>
      <c r="C45" s="298" t="str">
        <f t="shared" si="2"/>
        <v>tấn</v>
      </c>
      <c r="D45" s="346">
        <f t="shared" si="2"/>
        <v>12</v>
      </c>
      <c r="E45" s="346">
        <f t="shared" si="2"/>
        <v>14</v>
      </c>
      <c r="F45" s="346">
        <f t="shared" si="3"/>
        <v>21450000</v>
      </c>
      <c r="G45" s="346">
        <f t="shared" si="4"/>
        <v>257400000</v>
      </c>
      <c r="H45" s="346">
        <f t="shared" si="5"/>
        <v>514800000</v>
      </c>
    </row>
    <row r="46" spans="1:9">
      <c r="A46" s="299">
        <v>17</v>
      </c>
      <c r="B46" s="298" t="str">
        <f>B22</f>
        <v>Hộp kẽm 50x50 (từ 2-2.5 ly)</v>
      </c>
      <c r="C46" s="298" t="str">
        <f>C22</f>
        <v>tấn</v>
      </c>
      <c r="D46" s="346">
        <f>D22</f>
        <v>20</v>
      </c>
      <c r="E46" s="346">
        <f>E22</f>
        <v>6</v>
      </c>
      <c r="F46" s="346">
        <f t="shared" si="3"/>
        <v>21697000</v>
      </c>
      <c r="G46" s="346">
        <f t="shared" si="4"/>
        <v>433940000</v>
      </c>
      <c r="H46" s="346">
        <f t="shared" si="5"/>
        <v>867880000</v>
      </c>
    </row>
    <row r="47" spans="1:9">
      <c r="A47" s="299">
        <v>18</v>
      </c>
      <c r="B47" s="298" t="str">
        <f>B23</f>
        <v>Các loại khác</v>
      </c>
      <c r="C47" s="298" t="s">
        <v>869</v>
      </c>
      <c r="D47" s="346"/>
      <c r="E47" s="346"/>
      <c r="F47" s="346"/>
      <c r="G47" s="346">
        <v>120000000</v>
      </c>
      <c r="H47" s="346">
        <f t="shared" si="5"/>
        <v>240000000</v>
      </c>
    </row>
    <row r="48" spans="1:9">
      <c r="A48" s="295" t="s">
        <v>135</v>
      </c>
      <c r="B48" s="2352" t="s">
        <v>136</v>
      </c>
      <c r="C48" s="2352"/>
      <c r="D48" s="345"/>
      <c r="E48" s="345"/>
      <c r="F48" s="345"/>
      <c r="G48" s="345">
        <f>G29-G5</f>
        <v>1180186855</v>
      </c>
      <c r="H48" s="345">
        <f>H29-H5</f>
        <v>2360373710</v>
      </c>
    </row>
    <row r="49" spans="1:11" s="352" customFormat="1" ht="17.25">
      <c r="A49" s="295" t="s">
        <v>30</v>
      </c>
      <c r="B49" s="2660" t="s">
        <v>218</v>
      </c>
      <c r="C49" s="2660"/>
      <c r="D49" s="2660"/>
      <c r="E49" s="2660"/>
      <c r="F49" s="2660"/>
      <c r="G49" s="347">
        <f>G48/G29</f>
        <v>0.14742777106606339</v>
      </c>
      <c r="H49" s="347">
        <f>H48/H29</f>
        <v>0.14742777106606339</v>
      </c>
      <c r="I49" s="353"/>
      <c r="J49" s="353"/>
      <c r="K49" s="353"/>
    </row>
    <row r="51" spans="1:11">
      <c r="B51" s="318">
        <v>3500000000</v>
      </c>
      <c r="C51" s="459">
        <v>0.08</v>
      </c>
    </row>
  </sheetData>
  <mergeCells count="1">
    <mergeCell ref="B49:F49"/>
  </mergeCells>
  <pageMargins left="0.7" right="0.7" top="0.75" bottom="0.75" header="0.3" footer="0.3"/>
  <pageSetup paperSize="9" orientation="portrait" verticalDpi="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43"/>
  <sheetViews>
    <sheetView workbookViewId="0">
      <selection activeCell="D20" sqref="D20"/>
    </sheetView>
  </sheetViews>
  <sheetFormatPr defaultRowHeight="16.5"/>
  <cols>
    <col min="1" max="1" width="5.140625" style="2353" bestFit="1" customWidth="1"/>
    <col min="2" max="2" width="24.140625" style="311" bestFit="1" customWidth="1"/>
    <col min="3" max="3" width="9.5703125" style="311" bestFit="1" customWidth="1"/>
    <col min="4" max="4" width="16.140625" style="318" bestFit="1" customWidth="1"/>
    <col min="5" max="5" width="18" style="311" bestFit="1" customWidth="1"/>
    <col min="6" max="8" width="9.140625" style="311"/>
    <col min="9" max="9" width="18.7109375" style="318" bestFit="1" customWidth="1"/>
    <col min="10" max="16384" width="9.140625" style="311"/>
  </cols>
  <sheetData>
    <row r="1" spans="1:9">
      <c r="C1" s="311" t="s">
        <v>670</v>
      </c>
      <c r="G1" s="309" t="s">
        <v>1020</v>
      </c>
    </row>
    <row r="4" spans="1:9" s="352" customFormat="1">
      <c r="A4" s="460" t="s">
        <v>97</v>
      </c>
      <c r="B4" s="348" t="s">
        <v>648</v>
      </c>
      <c r="C4" s="348" t="s">
        <v>1</v>
      </c>
      <c r="D4" s="351" t="s">
        <v>649</v>
      </c>
      <c r="E4" s="348" t="s">
        <v>650</v>
      </c>
      <c r="I4" s="353"/>
    </row>
    <row r="5" spans="1:9" s="465" customFormat="1" ht="17.25">
      <c r="A5" s="461" t="s">
        <v>109</v>
      </c>
      <c r="B5" s="462" t="s">
        <v>110</v>
      </c>
      <c r="C5" s="462">
        <f>SUM(C6:C20)</f>
        <v>52</v>
      </c>
      <c r="D5" s="463"/>
      <c r="E5" s="464">
        <f>SUM(E6:E20)</f>
        <v>687200000</v>
      </c>
      <c r="I5" s="466"/>
    </row>
    <row r="6" spans="1:9">
      <c r="A6" s="467">
        <v>1</v>
      </c>
      <c r="B6" s="326" t="s">
        <v>651</v>
      </c>
      <c r="C6" s="326">
        <v>5</v>
      </c>
      <c r="D6" s="356">
        <v>13000000</v>
      </c>
      <c r="E6" s="468">
        <f xml:space="preserve"> C6*D6</f>
        <v>65000000</v>
      </c>
    </row>
    <row r="7" spans="1:9">
      <c r="A7" s="467">
        <v>2</v>
      </c>
      <c r="B7" s="326" t="s">
        <v>652</v>
      </c>
      <c r="C7" s="326">
        <v>4</v>
      </c>
      <c r="D7" s="356">
        <v>12800000</v>
      </c>
      <c r="E7" s="468">
        <f t="shared" ref="E7:E20" si="0" xml:space="preserve"> C7*D7</f>
        <v>51200000</v>
      </c>
    </row>
    <row r="8" spans="1:9">
      <c r="A8" s="467">
        <v>3</v>
      </c>
      <c r="B8" s="326" t="s">
        <v>653</v>
      </c>
      <c r="C8" s="326">
        <v>2</v>
      </c>
      <c r="D8" s="356">
        <v>14800000</v>
      </c>
      <c r="E8" s="468">
        <f t="shared" si="0"/>
        <v>29600000</v>
      </c>
    </row>
    <row r="9" spans="1:9">
      <c r="A9" s="467">
        <v>4</v>
      </c>
      <c r="B9" s="326" t="s">
        <v>654</v>
      </c>
      <c r="C9" s="326">
        <v>4</v>
      </c>
      <c r="D9" s="356">
        <v>14000000</v>
      </c>
      <c r="E9" s="468">
        <f t="shared" si="0"/>
        <v>56000000</v>
      </c>
    </row>
    <row r="10" spans="1:9">
      <c r="A10" s="467">
        <v>5</v>
      </c>
      <c r="B10" s="326" t="s">
        <v>655</v>
      </c>
      <c r="C10" s="326">
        <v>5</v>
      </c>
      <c r="D10" s="356">
        <v>14400000</v>
      </c>
      <c r="E10" s="468">
        <f t="shared" si="0"/>
        <v>72000000</v>
      </c>
    </row>
    <row r="11" spans="1:9">
      <c r="A11" s="467">
        <v>6</v>
      </c>
      <c r="B11" s="326" t="s">
        <v>656</v>
      </c>
      <c r="C11" s="326">
        <v>1</v>
      </c>
      <c r="D11" s="356">
        <v>12500000</v>
      </c>
      <c r="E11" s="468">
        <f t="shared" si="0"/>
        <v>12500000</v>
      </c>
    </row>
    <row r="12" spans="1:9">
      <c r="A12" s="467">
        <v>7</v>
      </c>
      <c r="B12" s="326" t="s">
        <v>657</v>
      </c>
      <c r="C12" s="326">
        <v>1</v>
      </c>
      <c r="D12" s="356">
        <v>13000000</v>
      </c>
      <c r="E12" s="468">
        <f t="shared" si="0"/>
        <v>13000000</v>
      </c>
    </row>
    <row r="13" spans="1:9">
      <c r="A13" s="467">
        <v>8</v>
      </c>
      <c r="B13" s="326" t="s">
        <v>658</v>
      </c>
      <c r="C13" s="326">
        <v>5</v>
      </c>
      <c r="D13" s="356">
        <v>12500000</v>
      </c>
      <c r="E13" s="468">
        <f t="shared" si="0"/>
        <v>62500000</v>
      </c>
    </row>
    <row r="14" spans="1:9">
      <c r="A14" s="467">
        <v>9</v>
      </c>
      <c r="B14" s="326" t="s">
        <v>659</v>
      </c>
      <c r="C14" s="326">
        <v>3</v>
      </c>
      <c r="D14" s="356">
        <v>12500000</v>
      </c>
      <c r="E14" s="468">
        <f t="shared" si="0"/>
        <v>37500000</v>
      </c>
    </row>
    <row r="15" spans="1:9">
      <c r="A15" s="467">
        <v>10</v>
      </c>
      <c r="B15" s="326" t="s">
        <v>660</v>
      </c>
      <c r="C15" s="326">
        <v>5</v>
      </c>
      <c r="D15" s="356">
        <v>12300000</v>
      </c>
      <c r="E15" s="468">
        <f t="shared" si="0"/>
        <v>61500000</v>
      </c>
    </row>
    <row r="16" spans="1:9">
      <c r="A16" s="467">
        <v>11</v>
      </c>
      <c r="B16" s="326" t="s">
        <v>661</v>
      </c>
      <c r="C16" s="326">
        <v>3</v>
      </c>
      <c r="D16" s="356">
        <v>17000000</v>
      </c>
      <c r="E16" s="468">
        <f t="shared" si="0"/>
        <v>51000000</v>
      </c>
    </row>
    <row r="17" spans="1:9">
      <c r="A17" s="467">
        <v>12</v>
      </c>
      <c r="B17" s="326" t="s">
        <v>662</v>
      </c>
      <c r="C17" s="326">
        <v>5</v>
      </c>
      <c r="D17" s="356">
        <v>14000000</v>
      </c>
      <c r="E17" s="468">
        <f t="shared" si="0"/>
        <v>70000000</v>
      </c>
    </row>
    <row r="18" spans="1:9">
      <c r="A18" s="467">
        <v>13</v>
      </c>
      <c r="B18" s="326" t="s">
        <v>663</v>
      </c>
      <c r="C18" s="326">
        <v>2</v>
      </c>
      <c r="D18" s="356">
        <v>12800000</v>
      </c>
      <c r="E18" s="468">
        <f t="shared" si="0"/>
        <v>25600000</v>
      </c>
    </row>
    <row r="19" spans="1:9">
      <c r="A19" s="467">
        <v>14</v>
      </c>
      <c r="B19" s="326" t="s">
        <v>664</v>
      </c>
      <c r="C19" s="326">
        <v>4</v>
      </c>
      <c r="D19" s="356">
        <v>13500000</v>
      </c>
      <c r="E19" s="468">
        <f t="shared" si="0"/>
        <v>54000000</v>
      </c>
    </row>
    <row r="20" spans="1:9">
      <c r="A20" s="467">
        <v>15</v>
      </c>
      <c r="B20" s="326" t="s">
        <v>665</v>
      </c>
      <c r="C20" s="326">
        <v>3</v>
      </c>
      <c r="D20" s="356">
        <v>8600000</v>
      </c>
      <c r="E20" s="468">
        <f t="shared" si="0"/>
        <v>25800000</v>
      </c>
    </row>
    <row r="21" spans="1:9" s="465" customFormat="1" ht="17.25">
      <c r="A21" s="461" t="s">
        <v>116</v>
      </c>
      <c r="B21" s="462" t="s">
        <v>211</v>
      </c>
      <c r="C21" s="462"/>
      <c r="D21" s="463"/>
      <c r="E21" s="464">
        <f>E22+E38+E39+E41+E40</f>
        <v>728600000</v>
      </c>
      <c r="I21" s="466"/>
    </row>
    <row r="22" spans="1:9">
      <c r="A22" s="467">
        <v>1</v>
      </c>
      <c r="B22" s="326" t="s">
        <v>666</v>
      </c>
      <c r="C22" s="326">
        <f>C5</f>
        <v>52</v>
      </c>
      <c r="D22" s="356"/>
      <c r="E22" s="468">
        <f xml:space="preserve"> SUM(E23:E37)</f>
        <v>532600000</v>
      </c>
    </row>
    <row r="23" spans="1:9">
      <c r="A23" s="467" t="s">
        <v>30</v>
      </c>
      <c r="B23" s="326" t="s">
        <v>651</v>
      </c>
      <c r="C23" s="326">
        <f>C6</f>
        <v>5</v>
      </c>
      <c r="D23" s="356">
        <v>10500000</v>
      </c>
      <c r="E23" s="468">
        <f xml:space="preserve"> C23*D23</f>
        <v>52500000</v>
      </c>
    </row>
    <row r="24" spans="1:9">
      <c r="A24" s="467" t="s">
        <v>30</v>
      </c>
      <c r="B24" s="326" t="s">
        <v>652</v>
      </c>
      <c r="C24" s="326">
        <f t="shared" ref="C24:C37" si="1">C7</f>
        <v>4</v>
      </c>
      <c r="D24" s="356">
        <v>10000000</v>
      </c>
      <c r="E24" s="468">
        <f t="shared" ref="E24:E37" si="2" xml:space="preserve"> C24*D24</f>
        <v>40000000</v>
      </c>
      <c r="H24" s="311" t="s">
        <v>667</v>
      </c>
      <c r="I24" s="318">
        <f>SUM(E23:E37)</f>
        <v>532600000</v>
      </c>
    </row>
    <row r="25" spans="1:9">
      <c r="A25" s="467" t="s">
        <v>30</v>
      </c>
      <c r="B25" s="326" t="s">
        <v>653</v>
      </c>
      <c r="C25" s="326">
        <f t="shared" si="1"/>
        <v>2</v>
      </c>
      <c r="D25" s="356">
        <v>12500000</v>
      </c>
      <c r="E25" s="468">
        <f t="shared" si="2"/>
        <v>25000000</v>
      </c>
      <c r="H25" s="311" t="s">
        <v>668</v>
      </c>
      <c r="I25" s="318">
        <v>1200000000</v>
      </c>
    </row>
    <row r="26" spans="1:9">
      <c r="A26" s="467" t="s">
        <v>30</v>
      </c>
      <c r="B26" s="326" t="s">
        <v>654</v>
      </c>
      <c r="C26" s="326">
        <f t="shared" si="1"/>
        <v>4</v>
      </c>
      <c r="D26" s="356">
        <v>11600000</v>
      </c>
      <c r="E26" s="468">
        <f t="shared" si="2"/>
        <v>46400000</v>
      </c>
      <c r="I26" s="318">
        <f>I24-I25</f>
        <v>-667400000</v>
      </c>
    </row>
    <row r="27" spans="1:9">
      <c r="A27" s="467" t="s">
        <v>30</v>
      </c>
      <c r="B27" s="326" t="s">
        <v>655</v>
      </c>
      <c r="C27" s="326">
        <f t="shared" si="1"/>
        <v>5</v>
      </c>
      <c r="D27" s="356">
        <v>12000000</v>
      </c>
      <c r="E27" s="468">
        <f t="shared" si="2"/>
        <v>60000000</v>
      </c>
      <c r="I27" s="469">
        <f>I26/I24</f>
        <v>-1.2530980097634248</v>
      </c>
    </row>
    <row r="28" spans="1:9">
      <c r="A28" s="467" t="s">
        <v>30</v>
      </c>
      <c r="B28" s="326" t="s">
        <v>656</v>
      </c>
      <c r="C28" s="326">
        <f t="shared" si="1"/>
        <v>1</v>
      </c>
      <c r="D28" s="356">
        <v>8800000</v>
      </c>
      <c r="E28" s="468">
        <f t="shared" si="2"/>
        <v>8800000</v>
      </c>
      <c r="I28" s="469">
        <v>0.09</v>
      </c>
    </row>
    <row r="29" spans="1:9">
      <c r="A29" s="467" t="s">
        <v>30</v>
      </c>
      <c r="B29" s="326" t="s">
        <v>657</v>
      </c>
      <c r="C29" s="326">
        <f t="shared" si="1"/>
        <v>1</v>
      </c>
      <c r="D29" s="356">
        <v>10700000</v>
      </c>
      <c r="E29" s="468">
        <f t="shared" si="2"/>
        <v>10700000</v>
      </c>
    </row>
    <row r="30" spans="1:9">
      <c r="A30" s="467" t="s">
        <v>30</v>
      </c>
      <c r="B30" s="326" t="s">
        <v>658</v>
      </c>
      <c r="C30" s="326">
        <f t="shared" si="1"/>
        <v>5</v>
      </c>
      <c r="D30" s="356">
        <v>9000000</v>
      </c>
      <c r="E30" s="468">
        <f t="shared" si="2"/>
        <v>45000000</v>
      </c>
    </row>
    <row r="31" spans="1:9">
      <c r="A31" s="467" t="s">
        <v>30</v>
      </c>
      <c r="B31" s="326" t="s">
        <v>659</v>
      </c>
      <c r="C31" s="326">
        <f t="shared" si="1"/>
        <v>3</v>
      </c>
      <c r="D31" s="356">
        <v>10000000</v>
      </c>
      <c r="E31" s="468">
        <f t="shared" si="2"/>
        <v>30000000</v>
      </c>
    </row>
    <row r="32" spans="1:9">
      <c r="A32" s="467" t="s">
        <v>30</v>
      </c>
      <c r="B32" s="326" t="s">
        <v>660</v>
      </c>
      <c r="C32" s="326">
        <f t="shared" si="1"/>
        <v>5</v>
      </c>
      <c r="D32" s="356">
        <v>9800000</v>
      </c>
      <c r="E32" s="468">
        <f t="shared" si="2"/>
        <v>49000000</v>
      </c>
    </row>
    <row r="33" spans="1:9">
      <c r="A33" s="467" t="s">
        <v>30</v>
      </c>
      <c r="B33" s="326" t="s">
        <v>661</v>
      </c>
      <c r="C33" s="326">
        <f t="shared" si="1"/>
        <v>3</v>
      </c>
      <c r="D33" s="356">
        <v>13500000</v>
      </c>
      <c r="E33" s="468">
        <f t="shared" si="2"/>
        <v>40500000</v>
      </c>
    </row>
    <row r="34" spans="1:9">
      <c r="A34" s="467" t="s">
        <v>30</v>
      </c>
      <c r="B34" s="326" t="s">
        <v>662</v>
      </c>
      <c r="C34" s="326">
        <f t="shared" si="1"/>
        <v>5</v>
      </c>
      <c r="D34" s="356">
        <v>10500000</v>
      </c>
      <c r="E34" s="468">
        <f t="shared" si="2"/>
        <v>52500000</v>
      </c>
    </row>
    <row r="35" spans="1:9">
      <c r="A35" s="467" t="s">
        <v>30</v>
      </c>
      <c r="B35" s="326" t="s">
        <v>663</v>
      </c>
      <c r="C35" s="326">
        <f t="shared" si="1"/>
        <v>2</v>
      </c>
      <c r="D35" s="356">
        <v>10800000</v>
      </c>
      <c r="E35" s="468">
        <f t="shared" si="2"/>
        <v>21600000</v>
      </c>
    </row>
    <row r="36" spans="1:9">
      <c r="A36" s="467" t="s">
        <v>30</v>
      </c>
      <c r="B36" s="326" t="s">
        <v>664</v>
      </c>
      <c r="C36" s="326">
        <f t="shared" si="1"/>
        <v>4</v>
      </c>
      <c r="D36" s="356">
        <v>8600000</v>
      </c>
      <c r="E36" s="468">
        <f t="shared" si="2"/>
        <v>34400000</v>
      </c>
    </row>
    <row r="37" spans="1:9">
      <c r="A37" s="467" t="s">
        <v>30</v>
      </c>
      <c r="B37" s="326" t="s">
        <v>665</v>
      </c>
      <c r="C37" s="326">
        <f t="shared" si="1"/>
        <v>3</v>
      </c>
      <c r="D37" s="356">
        <v>5400000</v>
      </c>
      <c r="E37" s="468">
        <f t="shared" si="2"/>
        <v>16200000</v>
      </c>
    </row>
    <row r="38" spans="1:9">
      <c r="A38" s="467">
        <v>2</v>
      </c>
      <c r="B38" s="326" t="s">
        <v>323</v>
      </c>
      <c r="C38" s="326"/>
      <c r="D38" s="356"/>
      <c r="E38" s="356">
        <v>40000000</v>
      </c>
    </row>
    <row r="39" spans="1:9">
      <c r="A39" s="467">
        <v>3</v>
      </c>
      <c r="B39" s="326" t="s">
        <v>213</v>
      </c>
      <c r="C39" s="326"/>
      <c r="D39" s="356"/>
      <c r="E39" s="356">
        <f>I25*I28</f>
        <v>108000000</v>
      </c>
    </row>
    <row r="40" spans="1:9">
      <c r="A40" s="467">
        <v>4</v>
      </c>
      <c r="B40" s="326" t="s">
        <v>337</v>
      </c>
      <c r="C40" s="326"/>
      <c r="D40" s="356"/>
      <c r="E40" s="356">
        <v>30000000</v>
      </c>
    </row>
    <row r="41" spans="1:9">
      <c r="A41" s="467">
        <v>5</v>
      </c>
      <c r="B41" s="326" t="s">
        <v>217</v>
      </c>
      <c r="C41" s="326"/>
      <c r="D41" s="356"/>
      <c r="E41" s="356">
        <v>18000000</v>
      </c>
    </row>
    <row r="42" spans="1:9" s="465" customFormat="1" ht="17.25">
      <c r="A42" s="461" t="s">
        <v>669</v>
      </c>
      <c r="B42" s="462" t="s">
        <v>136</v>
      </c>
      <c r="C42" s="462"/>
      <c r="D42" s="463"/>
      <c r="E42" s="463">
        <f>E5-E21</f>
        <v>-41400000</v>
      </c>
      <c r="I42" s="466"/>
    </row>
    <row r="43" spans="1:9">
      <c r="E43" s="470">
        <f>E42/E5</f>
        <v>-6.0244470314318975E-2</v>
      </c>
    </row>
  </sheetData>
  <pageMargins left="0.7" right="0.7" top="0.75" bottom="0.75" header="0.3" footer="0.3"/>
  <pageSetup paperSize="9" orientation="portrait" verticalDpi="0"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25"/>
  <sheetViews>
    <sheetView workbookViewId="0">
      <selection activeCell="K5" sqref="K5"/>
    </sheetView>
  </sheetViews>
  <sheetFormatPr defaultRowHeight="16.5"/>
  <cols>
    <col min="1" max="1" width="4" style="6" bestFit="1" customWidth="1"/>
    <col min="2" max="2" width="23.28515625" style="6" bestFit="1" customWidth="1"/>
    <col min="3" max="3" width="7.42578125" style="6" bestFit="1" customWidth="1"/>
    <col min="4" max="4" width="9.7109375" style="6" bestFit="1" customWidth="1"/>
    <col min="5" max="5" width="14" style="6" bestFit="1" customWidth="1"/>
    <col min="6" max="6" width="18.5703125" style="6" bestFit="1" customWidth="1"/>
    <col min="7" max="16384" width="9.140625" style="6"/>
  </cols>
  <sheetData>
    <row r="1" spans="1:8">
      <c r="C1" s="6" t="s">
        <v>468</v>
      </c>
      <c r="G1" s="308" t="s">
        <v>1020</v>
      </c>
    </row>
    <row r="3" spans="1:8" ht="33">
      <c r="A3" s="53" t="s">
        <v>0</v>
      </c>
      <c r="B3" s="53" t="s">
        <v>103</v>
      </c>
      <c r="C3" s="53" t="s">
        <v>2</v>
      </c>
      <c r="D3" s="53" t="s">
        <v>1</v>
      </c>
      <c r="E3" s="53" t="s">
        <v>3</v>
      </c>
      <c r="F3" s="53" t="s">
        <v>390</v>
      </c>
    </row>
    <row r="4" spans="1:8">
      <c r="A4" s="5" t="s">
        <v>109</v>
      </c>
      <c r="B4" s="31" t="s">
        <v>359</v>
      </c>
      <c r="C4" s="31"/>
      <c r="D4" s="31"/>
      <c r="E4" s="33"/>
      <c r="F4" s="33">
        <f>SUM(F5:F13)</f>
        <v>17945483500</v>
      </c>
    </row>
    <row r="5" spans="1:8">
      <c r="A5" s="4">
        <v>1</v>
      </c>
      <c r="B5" s="34" t="s">
        <v>434</v>
      </c>
      <c r="C5" s="34" t="s">
        <v>435</v>
      </c>
      <c r="D5" s="42">
        <v>25000</v>
      </c>
      <c r="E5" s="35">
        <v>16140</v>
      </c>
      <c r="F5" s="35">
        <f>E5*D5</f>
        <v>403500000</v>
      </c>
      <c r="H5" s="56"/>
    </row>
    <row r="6" spans="1:8">
      <c r="A6" s="4">
        <v>2</v>
      </c>
      <c r="B6" s="34" t="s">
        <v>436</v>
      </c>
      <c r="C6" s="34" t="s">
        <v>435</v>
      </c>
      <c r="D6" s="42">
        <v>15000</v>
      </c>
      <c r="E6" s="35">
        <v>10200</v>
      </c>
      <c r="F6" s="35">
        <f>E6*D6</f>
        <v>153000000</v>
      </c>
      <c r="H6" s="56"/>
    </row>
    <row r="7" spans="1:8">
      <c r="A7" s="4">
        <v>3</v>
      </c>
      <c r="B7" s="34" t="s">
        <v>437</v>
      </c>
      <c r="C7" s="34" t="s">
        <v>435</v>
      </c>
      <c r="D7" s="42">
        <v>10000</v>
      </c>
      <c r="E7" s="35">
        <v>1540000</v>
      </c>
      <c r="F7" s="35">
        <f>E7*D7</f>
        <v>15400000000</v>
      </c>
      <c r="H7" s="56"/>
    </row>
    <row r="8" spans="1:8">
      <c r="A8" s="4">
        <v>4</v>
      </c>
      <c r="B8" s="34" t="s">
        <v>438</v>
      </c>
      <c r="C8" s="34" t="s">
        <v>435</v>
      </c>
      <c r="D8" s="42">
        <v>5000</v>
      </c>
      <c r="E8" s="35">
        <v>222000</v>
      </c>
      <c r="F8" s="35">
        <f>E8*D8</f>
        <v>1110000000</v>
      </c>
      <c r="H8" s="56"/>
    </row>
    <row r="9" spans="1:8">
      <c r="A9" s="4">
        <v>5</v>
      </c>
      <c r="B9" s="34" t="s">
        <v>125</v>
      </c>
      <c r="C9" s="34"/>
      <c r="D9" s="42"/>
      <c r="E9" s="35">
        <f>C21*C22/12</f>
        <v>46666666.666666664</v>
      </c>
      <c r="F9" s="35">
        <f>E9*6</f>
        <v>280000000</v>
      </c>
    </row>
    <row r="10" spans="1:8">
      <c r="A10" s="4">
        <v>6</v>
      </c>
      <c r="B10" s="34" t="s">
        <v>238</v>
      </c>
      <c r="C10" s="34"/>
      <c r="D10" s="42"/>
      <c r="E10" s="248"/>
      <c r="F10" s="35">
        <f>957967000/2</f>
        <v>478983500</v>
      </c>
    </row>
    <row r="11" spans="1:8">
      <c r="A11" s="4">
        <v>7</v>
      </c>
      <c r="B11" s="34" t="s">
        <v>127</v>
      </c>
      <c r="C11" s="34" t="s">
        <v>439</v>
      </c>
      <c r="D11" s="42">
        <v>3</v>
      </c>
      <c r="E11" s="35">
        <v>5000000</v>
      </c>
      <c r="F11" s="35">
        <f>E11*D11*6</f>
        <v>90000000</v>
      </c>
    </row>
    <row r="12" spans="1:8">
      <c r="A12" s="4">
        <v>8</v>
      </c>
      <c r="B12" s="34" t="s">
        <v>214</v>
      </c>
      <c r="C12" s="34"/>
      <c r="D12" s="42"/>
      <c r="E12" s="35">
        <v>1000000</v>
      </c>
      <c r="F12" s="35">
        <f>E12*6</f>
        <v>6000000</v>
      </c>
    </row>
    <row r="13" spans="1:8">
      <c r="A13" s="4">
        <v>9</v>
      </c>
      <c r="B13" s="34" t="s">
        <v>21</v>
      </c>
      <c r="C13" s="34"/>
      <c r="D13" s="42"/>
      <c r="E13" s="35">
        <v>4000000</v>
      </c>
      <c r="F13" s="35">
        <f>E13*6</f>
        <v>24000000</v>
      </c>
    </row>
    <row r="14" spans="1:8">
      <c r="A14" s="5" t="s">
        <v>116</v>
      </c>
      <c r="B14" s="31" t="s">
        <v>242</v>
      </c>
      <c r="C14" s="31"/>
      <c r="D14" s="38"/>
      <c r="E14" s="33"/>
      <c r="F14" s="33">
        <f>SUM(F15:F18)</f>
        <v>18180000000</v>
      </c>
    </row>
    <row r="15" spans="1:8">
      <c r="A15" s="4">
        <v>1</v>
      </c>
      <c r="B15" s="34" t="s">
        <v>434</v>
      </c>
      <c r="C15" s="34" t="s">
        <v>435</v>
      </c>
      <c r="D15" s="42">
        <f>D5</f>
        <v>25000</v>
      </c>
      <c r="E15" s="35">
        <v>16440</v>
      </c>
      <c r="F15" s="35">
        <f>E15*D15</f>
        <v>411000000</v>
      </c>
    </row>
    <row r="16" spans="1:8">
      <c r="A16" s="4">
        <v>2</v>
      </c>
      <c r="B16" s="34" t="s">
        <v>436</v>
      </c>
      <c r="C16" s="34" t="s">
        <v>435</v>
      </c>
      <c r="D16" s="42">
        <f>D6</f>
        <v>15000</v>
      </c>
      <c r="E16" s="35">
        <v>10600</v>
      </c>
      <c r="F16" s="35">
        <f>E16*D16</f>
        <v>159000000</v>
      </c>
    </row>
    <row r="17" spans="1:6">
      <c r="A17" s="4">
        <v>3</v>
      </c>
      <c r="B17" s="34" t="s">
        <v>437</v>
      </c>
      <c r="C17" s="34" t="s">
        <v>435</v>
      </c>
      <c r="D17" s="42">
        <f>D7</f>
        <v>10000</v>
      </c>
      <c r="E17" s="35">
        <v>1640000</v>
      </c>
      <c r="F17" s="35">
        <f>E17*D17</f>
        <v>16400000000</v>
      </c>
    </row>
    <row r="18" spans="1:6">
      <c r="A18" s="4">
        <v>4</v>
      </c>
      <c r="B18" s="34" t="s">
        <v>438</v>
      </c>
      <c r="C18" s="34" t="s">
        <v>435</v>
      </c>
      <c r="D18" s="42">
        <f>D8</f>
        <v>5000</v>
      </c>
      <c r="E18" s="35">
        <v>242000</v>
      </c>
      <c r="F18" s="35">
        <f>E18*D18</f>
        <v>1210000000</v>
      </c>
    </row>
    <row r="19" spans="1:6">
      <c r="A19" s="5" t="s">
        <v>135</v>
      </c>
      <c r="B19" s="31" t="s">
        <v>24</v>
      </c>
      <c r="C19" s="31"/>
      <c r="D19" s="31"/>
      <c r="E19" s="33"/>
      <c r="F19" s="33">
        <f>F14-F4</f>
        <v>234516500</v>
      </c>
    </row>
    <row r="20" spans="1:6" ht="14.25" customHeight="1"/>
    <row r="21" spans="1:6">
      <c r="B21" s="237" t="s">
        <v>12</v>
      </c>
      <c r="C21" s="2604">
        <v>8000000000</v>
      </c>
      <c r="D21" s="2604"/>
    </row>
    <row r="22" spans="1:6">
      <c r="B22" s="238" t="s">
        <v>13</v>
      </c>
      <c r="C22" s="2605">
        <v>7.0000000000000007E-2</v>
      </c>
      <c r="D22" s="2605"/>
    </row>
    <row r="23" spans="1:6">
      <c r="B23" s="238" t="s">
        <v>223</v>
      </c>
      <c r="C23" s="2606">
        <f>F4-F9-F10</f>
        <v>17186500000</v>
      </c>
      <c r="D23" s="2606"/>
    </row>
    <row r="24" spans="1:6">
      <c r="B24" s="237" t="s">
        <v>26</v>
      </c>
      <c r="C24" s="2604">
        <f>C23-C21</f>
        <v>9186500000</v>
      </c>
      <c r="D24" s="2604"/>
    </row>
    <row r="25" spans="1:6">
      <c r="B25" s="238" t="s">
        <v>28</v>
      </c>
      <c r="C25" s="2607">
        <f>C24/C23</f>
        <v>0.534518371978006</v>
      </c>
      <c r="D25" s="2607"/>
    </row>
  </sheetData>
  <mergeCells count="5">
    <mergeCell ref="C21:D21"/>
    <mergeCell ref="C22:D22"/>
    <mergeCell ref="C23:D23"/>
    <mergeCell ref="C24:D24"/>
    <mergeCell ref="C25:D25"/>
  </mergeCells>
  <pageMargins left="0.75" right="0.75" top="1" bottom="1" header="0.5" footer="0.5"/>
  <pageSetup paperSize="9" orientation="portrait" verticalDpi="0" r:id="rId1"/>
  <headerFooter alignWithMargins="0"/>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6"/>
  <dimension ref="A1:P50"/>
  <sheetViews>
    <sheetView workbookViewId="0">
      <selection activeCell="C2" sqref="C2"/>
    </sheetView>
  </sheetViews>
  <sheetFormatPr defaultRowHeight="16.5"/>
  <cols>
    <col min="1" max="1" width="5.42578125" style="311" bestFit="1" customWidth="1"/>
    <col min="2" max="2" width="20.42578125" style="311" customWidth="1"/>
    <col min="3" max="3" width="6.5703125" style="311" bestFit="1" customWidth="1"/>
    <col min="4" max="4" width="9.28515625" style="311" customWidth="1"/>
    <col min="5" max="5" width="16.140625" style="311" bestFit="1" customWidth="1"/>
    <col min="6" max="6" width="17.42578125" style="311" bestFit="1" customWidth="1"/>
    <col min="7" max="7" width="16.140625" style="311" bestFit="1" customWidth="1"/>
    <col min="8" max="8" width="17.140625" style="318" bestFit="1" customWidth="1"/>
    <col min="9" max="9" width="19.140625" style="318" bestFit="1" customWidth="1"/>
    <col min="10" max="11" width="10.42578125" style="311" bestFit="1" customWidth="1"/>
    <col min="12" max="12" width="9.42578125" style="311" bestFit="1" customWidth="1"/>
    <col min="13" max="14" width="10.42578125" style="311" bestFit="1" customWidth="1"/>
    <col min="15" max="15" width="9.42578125" style="311" bestFit="1" customWidth="1"/>
    <col min="16" max="16384" width="9.140625" style="311"/>
  </cols>
  <sheetData>
    <row r="1" spans="1:9">
      <c r="C1" s="311" t="s">
        <v>468</v>
      </c>
      <c r="G1" s="309" t="s">
        <v>1020</v>
      </c>
    </row>
    <row r="5" spans="1:9">
      <c r="A5" s="1539"/>
      <c r="B5" s="1539"/>
      <c r="C5" s="1539"/>
      <c r="D5" s="1539"/>
      <c r="E5" s="2676" t="s">
        <v>2914</v>
      </c>
      <c r="F5" s="2676"/>
    </row>
    <row r="6" spans="1:9" ht="49.5">
      <c r="A6" s="1981" t="s">
        <v>97</v>
      </c>
      <c r="B6" s="1981" t="s">
        <v>1140</v>
      </c>
      <c r="C6" s="1981" t="s">
        <v>100</v>
      </c>
      <c r="D6" s="1981" t="s">
        <v>1352</v>
      </c>
      <c r="E6" s="1981" t="s">
        <v>2913</v>
      </c>
      <c r="F6" s="1981" t="s">
        <v>102</v>
      </c>
    </row>
    <row r="7" spans="1:9">
      <c r="A7" s="1981" t="s">
        <v>480</v>
      </c>
      <c r="B7" s="2339" t="s">
        <v>22</v>
      </c>
      <c r="C7" s="1982"/>
      <c r="D7" s="1982"/>
      <c r="E7" s="1982"/>
      <c r="F7" s="1983">
        <f>F8+F13+SUM(F14:F22)</f>
        <v>34590211616</v>
      </c>
      <c r="I7" s="318">
        <f>F7-I31</f>
        <v>34590211616</v>
      </c>
    </row>
    <row r="8" spans="1:9">
      <c r="A8" s="1981">
        <v>1</v>
      </c>
      <c r="B8" s="2673" t="s">
        <v>2912</v>
      </c>
      <c r="C8" s="2673"/>
      <c r="D8" s="2673"/>
      <c r="E8" s="2673"/>
      <c r="F8" s="1983">
        <f>SUM(F9:F12)</f>
        <v>32386580000</v>
      </c>
      <c r="I8" s="318">
        <f>F8-I7</f>
        <v>-2203631616</v>
      </c>
    </row>
    <row r="9" spans="1:9">
      <c r="A9" s="1984" t="s">
        <v>615</v>
      </c>
      <c r="B9" s="298" t="s">
        <v>2901</v>
      </c>
      <c r="C9" s="299" t="s">
        <v>435</v>
      </c>
      <c r="D9" s="264">
        <v>400000</v>
      </c>
      <c r="E9" s="264">
        <v>21768</v>
      </c>
      <c r="F9" s="1985">
        <f>E9*D9</f>
        <v>8707200000</v>
      </c>
      <c r="G9" s="324">
        <f>D9+D11</f>
        <v>1060000</v>
      </c>
      <c r="H9" s="318">
        <f>50*1000*12</f>
        <v>600000</v>
      </c>
    </row>
    <row r="10" spans="1:9">
      <c r="A10" s="1984" t="s">
        <v>615</v>
      </c>
      <c r="B10" s="298" t="s">
        <v>2900</v>
      </c>
      <c r="C10" s="299" t="s">
        <v>435</v>
      </c>
      <c r="D10" s="264">
        <v>400000</v>
      </c>
      <c r="E10" s="264">
        <v>22418</v>
      </c>
      <c r="F10" s="1985">
        <f>E10*D10</f>
        <v>8967200000</v>
      </c>
      <c r="G10" s="324"/>
    </row>
    <row r="11" spans="1:9">
      <c r="A11" s="1984" t="s">
        <v>615</v>
      </c>
      <c r="B11" s="298" t="s">
        <v>2899</v>
      </c>
      <c r="C11" s="299" t="s">
        <v>435</v>
      </c>
      <c r="D11" s="264">
        <v>660000</v>
      </c>
      <c r="E11" s="264">
        <v>21973</v>
      </c>
      <c r="F11" s="1985">
        <f>E11*D11</f>
        <v>14502180000</v>
      </c>
    </row>
    <row r="12" spans="1:9">
      <c r="A12" s="1984" t="s">
        <v>615</v>
      </c>
      <c r="B12" s="298" t="s">
        <v>2898</v>
      </c>
      <c r="C12" s="299" t="s">
        <v>435</v>
      </c>
      <c r="D12" s="264">
        <v>6000</v>
      </c>
      <c r="E12" s="264">
        <v>35000</v>
      </c>
      <c r="F12" s="1985">
        <f>E12*D12</f>
        <v>210000000</v>
      </c>
    </row>
    <row r="13" spans="1:9" ht="33">
      <c r="A13" s="1981">
        <v>2</v>
      </c>
      <c r="B13" s="2339" t="s">
        <v>2911</v>
      </c>
      <c r="C13" s="1982"/>
      <c r="D13" s="1982"/>
      <c r="E13" s="1982"/>
      <c r="F13" s="1983">
        <f>800000000-14298124</f>
        <v>785701876</v>
      </c>
      <c r="G13" s="324">
        <f>SUM(F13:F22)</f>
        <v>2203631616</v>
      </c>
    </row>
    <row r="14" spans="1:9" ht="33">
      <c r="A14" s="1981">
        <v>3</v>
      </c>
      <c r="B14" s="2339" t="s">
        <v>2400</v>
      </c>
      <c r="C14" s="1984" t="s">
        <v>439</v>
      </c>
      <c r="D14" s="1984">
        <v>6</v>
      </c>
      <c r="E14" s="1986">
        <v>8000000</v>
      </c>
      <c r="F14" s="1983">
        <f>D14*E14*12</f>
        <v>576000000</v>
      </c>
    </row>
    <row r="15" spans="1:9">
      <c r="A15" s="1981">
        <v>4</v>
      </c>
      <c r="B15" s="2339" t="s">
        <v>484</v>
      </c>
      <c r="C15" s="1982"/>
      <c r="D15" s="1982"/>
      <c r="E15" s="1982"/>
      <c r="F15" s="1983">
        <v>230000000</v>
      </c>
    </row>
    <row r="16" spans="1:9">
      <c r="A16" s="1981">
        <v>5</v>
      </c>
      <c r="B16" s="2339" t="s">
        <v>801</v>
      </c>
      <c r="C16" s="1982"/>
      <c r="D16" s="1987">
        <v>7.4999999999999997E-2</v>
      </c>
      <c r="E16" s="1988">
        <v>5000000000</v>
      </c>
      <c r="F16" s="1983">
        <f>E16*D16</f>
        <v>375000000</v>
      </c>
    </row>
    <row r="17" spans="1:6" ht="33">
      <c r="A17" s="1981">
        <v>6</v>
      </c>
      <c r="B17" s="2339" t="s">
        <v>802</v>
      </c>
      <c r="C17" s="2667" t="s">
        <v>2910</v>
      </c>
      <c r="D17" s="2668"/>
      <c r="E17" s="2669"/>
      <c r="F17" s="1983">
        <f>4000000*12</f>
        <v>48000000</v>
      </c>
    </row>
    <row r="18" spans="1:6" ht="31.5" customHeight="1">
      <c r="A18" s="1981">
        <v>7</v>
      </c>
      <c r="B18" s="2339" t="s">
        <v>2909</v>
      </c>
      <c r="C18" s="2667" t="s">
        <v>2908</v>
      </c>
      <c r="D18" s="2668"/>
      <c r="E18" s="2669"/>
      <c r="F18" s="1983">
        <f>500000*12</f>
        <v>6000000</v>
      </c>
    </row>
    <row r="19" spans="1:6" ht="31.5" customHeight="1">
      <c r="A19" s="1981">
        <v>8</v>
      </c>
      <c r="B19" s="2339" t="s">
        <v>2907</v>
      </c>
      <c r="C19" s="2667" t="s">
        <v>2906</v>
      </c>
      <c r="D19" s="2668"/>
      <c r="E19" s="2669"/>
      <c r="F19" s="1983">
        <f>1500000*12</f>
        <v>18000000</v>
      </c>
    </row>
    <row r="20" spans="1:6" ht="31.5" customHeight="1">
      <c r="A20" s="1981">
        <v>9</v>
      </c>
      <c r="B20" s="2339" t="s">
        <v>2905</v>
      </c>
      <c r="C20" s="2667" t="s">
        <v>2904</v>
      </c>
      <c r="D20" s="2668"/>
      <c r="E20" s="2669"/>
      <c r="F20" s="1983">
        <f>700000*12</f>
        <v>8400000</v>
      </c>
    </row>
    <row r="21" spans="1:6" ht="31.5" customHeight="1">
      <c r="A21" s="1981">
        <v>10</v>
      </c>
      <c r="B21" s="2339" t="s">
        <v>2903</v>
      </c>
      <c r="C21" s="2667" t="s">
        <v>2902</v>
      </c>
      <c r="D21" s="2668"/>
      <c r="E21" s="2669"/>
      <c r="F21" s="1983">
        <f>(D9*0.003*E9)+(D10*0.003*E10)+(D11*0.003*E11)</f>
        <v>96529740</v>
      </c>
    </row>
    <row r="22" spans="1:6">
      <c r="A22" s="1981">
        <v>11</v>
      </c>
      <c r="B22" s="2670" t="s">
        <v>217</v>
      </c>
      <c r="C22" s="2671"/>
      <c r="D22" s="2671"/>
      <c r="E22" s="2672"/>
      <c r="F22" s="1983">
        <v>60000000</v>
      </c>
    </row>
    <row r="23" spans="1:6">
      <c r="A23" s="1981" t="s">
        <v>485</v>
      </c>
      <c r="B23" s="2673" t="s">
        <v>23</v>
      </c>
      <c r="C23" s="2673"/>
      <c r="D23" s="2673"/>
      <c r="E23" s="2673"/>
      <c r="F23" s="1983">
        <f>SUM(F24:F27)</f>
        <v>34924580000</v>
      </c>
    </row>
    <row r="24" spans="1:6">
      <c r="A24" s="1984" t="s">
        <v>615</v>
      </c>
      <c r="B24" s="298" t="s">
        <v>2901</v>
      </c>
      <c r="C24" s="299" t="s">
        <v>435</v>
      </c>
      <c r="D24" s="264">
        <f>D9</f>
        <v>400000</v>
      </c>
      <c r="E24" s="264">
        <f>E9+1800</f>
        <v>23568</v>
      </c>
      <c r="F24" s="1985">
        <f>E24*D24</f>
        <v>9427200000</v>
      </c>
    </row>
    <row r="25" spans="1:6">
      <c r="A25" s="1984" t="s">
        <v>615</v>
      </c>
      <c r="B25" s="298" t="s">
        <v>2900</v>
      </c>
      <c r="C25" s="299" t="s">
        <v>435</v>
      </c>
      <c r="D25" s="264">
        <f>D10</f>
        <v>400000</v>
      </c>
      <c r="E25" s="264">
        <f>E10+1800</f>
        <v>24218</v>
      </c>
      <c r="F25" s="1985">
        <f>E25*D25</f>
        <v>9687200000</v>
      </c>
    </row>
    <row r="26" spans="1:6">
      <c r="A26" s="1984" t="s">
        <v>615</v>
      </c>
      <c r="B26" s="298" t="s">
        <v>2899</v>
      </c>
      <c r="C26" s="299" t="s">
        <v>435</v>
      </c>
      <c r="D26" s="264">
        <f>D11</f>
        <v>660000</v>
      </c>
      <c r="E26" s="264">
        <f>E11+1650</f>
        <v>23623</v>
      </c>
      <c r="F26" s="1985">
        <f>E26*D26</f>
        <v>15591180000</v>
      </c>
    </row>
    <row r="27" spans="1:6">
      <c r="A27" s="1984" t="s">
        <v>615</v>
      </c>
      <c r="B27" s="298" t="s">
        <v>2898</v>
      </c>
      <c r="C27" s="299" t="s">
        <v>435</v>
      </c>
      <c r="D27" s="264">
        <f>D12</f>
        <v>6000</v>
      </c>
      <c r="E27" s="264">
        <v>36500</v>
      </c>
      <c r="F27" s="1985">
        <f>E27*D27</f>
        <v>219000000</v>
      </c>
    </row>
    <row r="28" spans="1:6" ht="27.75" customHeight="1">
      <c r="A28" s="1981" t="s">
        <v>489</v>
      </c>
      <c r="B28" s="2339" t="s">
        <v>2856</v>
      </c>
      <c r="C28" s="1982"/>
      <c r="D28" s="1982"/>
      <c r="E28" s="1982"/>
      <c r="F28" s="1983">
        <f>F23-F7</f>
        <v>334368384</v>
      </c>
    </row>
    <row r="29" spans="1:6">
      <c r="A29" s="1981" t="s">
        <v>547</v>
      </c>
      <c r="B29" s="2339" t="s">
        <v>2897</v>
      </c>
      <c r="C29" s="1982"/>
      <c r="D29" s="1982"/>
      <c r="E29" s="1982"/>
      <c r="F29" s="1983">
        <f>ROUND(F28*20%,0)</f>
        <v>66873677</v>
      </c>
    </row>
    <row r="30" spans="1:6" ht="33">
      <c r="A30" s="1981" t="s">
        <v>582</v>
      </c>
      <c r="B30" s="2339" t="s">
        <v>2854</v>
      </c>
      <c r="C30" s="1982"/>
      <c r="D30" s="1982"/>
      <c r="E30" s="1982"/>
      <c r="F30" s="1983">
        <f>ROUND(F28-F29,0)</f>
        <v>267494707</v>
      </c>
    </row>
    <row r="31" spans="1:6" ht="66">
      <c r="A31" s="1981" t="s">
        <v>640</v>
      </c>
      <c r="B31" s="2339" t="s">
        <v>2853</v>
      </c>
      <c r="C31" s="1982"/>
      <c r="D31" s="1982"/>
      <c r="E31" s="1982"/>
      <c r="F31" s="1983">
        <f>ROUND(F7-F15-F16,0)</f>
        <v>33985211616</v>
      </c>
    </row>
    <row r="32" spans="1:6" ht="33">
      <c r="A32" s="1981" t="s">
        <v>2896</v>
      </c>
      <c r="B32" s="1989" t="s">
        <v>2596</v>
      </c>
      <c r="C32" s="1989" t="s">
        <v>1861</v>
      </c>
      <c r="D32" s="1990"/>
      <c r="E32" s="1990"/>
      <c r="F32" s="1991">
        <v>6</v>
      </c>
    </row>
    <row r="33" spans="1:16">
      <c r="A33" s="1981" t="s">
        <v>2895</v>
      </c>
      <c r="B33" s="2339" t="s">
        <v>25</v>
      </c>
      <c r="C33" s="1982"/>
      <c r="D33" s="1982"/>
      <c r="E33" s="1982"/>
      <c r="F33" s="1983">
        <f>ROUND(F31/F32,0)</f>
        <v>5664201936</v>
      </c>
      <c r="G33" s="324"/>
    </row>
    <row r="34" spans="1:16">
      <c r="A34" s="1981" t="s">
        <v>2894</v>
      </c>
      <c r="B34" s="2339" t="s">
        <v>2893</v>
      </c>
      <c r="C34" s="1982"/>
      <c r="D34" s="1992">
        <f>F34/F33</f>
        <v>0.11726311023244564</v>
      </c>
      <c r="E34" s="1982"/>
      <c r="F34" s="1983">
        <f>F33-F35</f>
        <v>664201936</v>
      </c>
      <c r="G34" s="324"/>
    </row>
    <row r="35" spans="1:16">
      <c r="A35" s="1981" t="s">
        <v>2892</v>
      </c>
      <c r="B35" s="2339" t="s">
        <v>2891</v>
      </c>
      <c r="C35" s="1982"/>
      <c r="D35" s="1992">
        <f>F35/F33</f>
        <v>0.88273688976755438</v>
      </c>
      <c r="E35" s="1982"/>
      <c r="F35" s="1983">
        <v>5000000000</v>
      </c>
    </row>
    <row r="36" spans="1:16">
      <c r="D36" s="459">
        <f>SUM(D34:D35)</f>
        <v>1</v>
      </c>
      <c r="F36" s="1983"/>
    </row>
    <row r="37" spans="1:16">
      <c r="F37" s="1983">
        <v>161921263</v>
      </c>
    </row>
    <row r="38" spans="1:16">
      <c r="F38" s="311">
        <v>31356120</v>
      </c>
    </row>
    <row r="39" spans="1:16">
      <c r="F39" s="324">
        <f>SUM(F37:F38)</f>
        <v>193277383</v>
      </c>
    </row>
    <row r="43" spans="1:16">
      <c r="I43" s="1996"/>
    </row>
    <row r="45" spans="1:16">
      <c r="I45" s="1997"/>
      <c r="J45" s="1997"/>
      <c r="K45" s="1997"/>
      <c r="L45" s="1998"/>
      <c r="M45" s="2674" t="s">
        <v>2845</v>
      </c>
      <c r="N45" s="2674"/>
      <c r="O45" s="1998"/>
      <c r="P45" s="1997"/>
    </row>
    <row r="46" spans="1:16">
      <c r="I46" s="2666" t="s">
        <v>64</v>
      </c>
      <c r="J46" s="2666" t="s">
        <v>2844</v>
      </c>
      <c r="K46" s="2666"/>
      <c r="L46" s="2666"/>
      <c r="M46" s="2666" t="s">
        <v>2890</v>
      </c>
      <c r="N46" s="2666"/>
      <c r="O46" s="2666"/>
      <c r="P46" s="1997"/>
    </row>
    <row r="47" spans="1:16" ht="41.25" customHeight="1">
      <c r="I47" s="2666"/>
      <c r="J47" s="2666" t="s">
        <v>2842</v>
      </c>
      <c r="K47" s="2666" t="s">
        <v>2841</v>
      </c>
      <c r="L47" s="2666" t="s">
        <v>2838</v>
      </c>
      <c r="M47" s="2666" t="s">
        <v>2840</v>
      </c>
      <c r="N47" s="2675" t="s">
        <v>2889</v>
      </c>
      <c r="O47" s="2666" t="s">
        <v>2838</v>
      </c>
      <c r="P47" s="1997"/>
    </row>
    <row r="48" spans="1:16">
      <c r="I48" s="2666"/>
      <c r="J48" s="2666"/>
      <c r="K48" s="2666"/>
      <c r="L48" s="2666"/>
      <c r="M48" s="2666"/>
      <c r="N48" s="2675"/>
      <c r="O48" s="2666"/>
      <c r="P48" s="1997"/>
    </row>
    <row r="49" spans="9:16">
      <c r="I49" s="1993" t="s">
        <v>1657</v>
      </c>
      <c r="J49" s="1994">
        <v>38015</v>
      </c>
      <c r="K49" s="1994">
        <v>26363</v>
      </c>
      <c r="L49" s="1995">
        <f>K49/J49</f>
        <v>0.69348941207418124</v>
      </c>
      <c r="M49" s="1994">
        <v>34924</v>
      </c>
      <c r="N49" s="1994">
        <v>17575</v>
      </c>
      <c r="O49" s="1995">
        <f>N49/M49</f>
        <v>0.50323559729698775</v>
      </c>
      <c r="P49" s="1997"/>
    </row>
    <row r="50" spans="9:16" ht="33">
      <c r="I50" s="1993" t="s">
        <v>2837</v>
      </c>
      <c r="J50" s="1994">
        <v>392</v>
      </c>
      <c r="K50" s="1994">
        <v>35</v>
      </c>
      <c r="L50" s="1995">
        <f>K50/J50</f>
        <v>8.9285714285714288E-2</v>
      </c>
      <c r="M50" s="1994">
        <v>334</v>
      </c>
      <c r="N50" s="1994">
        <v>81</v>
      </c>
      <c r="O50" s="1995">
        <f>N50/M50</f>
        <v>0.24251497005988024</v>
      </c>
      <c r="P50" s="1997"/>
    </row>
  </sheetData>
  <mergeCells count="19">
    <mergeCell ref="C20:E20"/>
    <mergeCell ref="E5:F5"/>
    <mergeCell ref="B8:E8"/>
    <mergeCell ref="C17:E17"/>
    <mergeCell ref="C18:E18"/>
    <mergeCell ref="C19:E19"/>
    <mergeCell ref="O47:O48"/>
    <mergeCell ref="C21:E21"/>
    <mergeCell ref="B22:E22"/>
    <mergeCell ref="B23:E23"/>
    <mergeCell ref="M45:N45"/>
    <mergeCell ref="I46:I48"/>
    <mergeCell ref="J46:L46"/>
    <mergeCell ref="M46:O46"/>
    <mergeCell ref="J47:J48"/>
    <mergeCell ref="K47:K48"/>
    <mergeCell ref="L47:L48"/>
    <mergeCell ref="M47:M48"/>
    <mergeCell ref="N47:N48"/>
  </mergeCells>
  <pageMargins left="0.7" right="0.7" top="0.75" bottom="0.75" header="0.3" footer="0.3"/>
  <pageSetup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G28"/>
  <sheetViews>
    <sheetView workbookViewId="0">
      <selection activeCell="D30" sqref="D30"/>
    </sheetView>
  </sheetViews>
  <sheetFormatPr defaultColWidth="29.7109375" defaultRowHeight="16.5"/>
  <cols>
    <col min="1" max="1" width="4.85546875" style="86" bestFit="1" customWidth="1"/>
    <col min="2" max="2" width="28" style="86" bestFit="1" customWidth="1"/>
    <col min="3" max="3" width="10.5703125" style="86" bestFit="1" customWidth="1"/>
    <col min="4" max="4" width="11.42578125" style="86" bestFit="1" customWidth="1"/>
    <col min="5" max="5" width="20.140625" style="86" bestFit="1" customWidth="1"/>
    <col min="6" max="16384" width="29.7109375" style="86"/>
  </cols>
  <sheetData>
    <row r="1" spans="1:7">
      <c r="C1" s="86" t="s">
        <v>518</v>
      </c>
      <c r="G1" s="310" t="s">
        <v>1020</v>
      </c>
    </row>
    <row r="3" spans="1:7">
      <c r="A3" s="31" t="s">
        <v>528</v>
      </c>
      <c r="B3" s="31" t="s">
        <v>326</v>
      </c>
      <c r="C3" s="31" t="s">
        <v>1</v>
      </c>
      <c r="D3" s="31" t="s">
        <v>3</v>
      </c>
      <c r="E3" s="5" t="s">
        <v>226</v>
      </c>
    </row>
    <row r="4" spans="1:7">
      <c r="A4" s="5" t="s">
        <v>109</v>
      </c>
      <c r="B4" s="31" t="s">
        <v>328</v>
      </c>
      <c r="C4" s="31"/>
      <c r="D4" s="81"/>
      <c r="E4" s="40">
        <f>SUM(E5:E10)</f>
        <v>308000000</v>
      </c>
    </row>
    <row r="5" spans="1:7">
      <c r="A5" s="4">
        <v>1</v>
      </c>
      <c r="B5" s="34" t="s">
        <v>426</v>
      </c>
      <c r="C5" s="82">
        <v>25</v>
      </c>
      <c r="D5" s="41">
        <v>6000000</v>
      </c>
      <c r="E5" s="41">
        <v>150000000</v>
      </c>
    </row>
    <row r="6" spans="1:7">
      <c r="A6" s="4">
        <v>2</v>
      </c>
      <c r="B6" s="34" t="s">
        <v>427</v>
      </c>
      <c r="C6" s="82">
        <v>20</v>
      </c>
      <c r="D6" s="41">
        <v>4000000</v>
      </c>
      <c r="E6" s="41">
        <v>80000000</v>
      </c>
    </row>
    <row r="7" spans="1:7">
      <c r="A7" s="4">
        <v>3</v>
      </c>
      <c r="B7" s="34" t="s">
        <v>428</v>
      </c>
      <c r="C7" s="82">
        <v>10</v>
      </c>
      <c r="D7" s="41">
        <v>5000000</v>
      </c>
      <c r="E7" s="41">
        <v>50000000</v>
      </c>
    </row>
    <row r="8" spans="1:7">
      <c r="A8" s="4">
        <v>4</v>
      </c>
      <c r="B8" s="34" t="s">
        <v>429</v>
      </c>
      <c r="C8" s="82">
        <v>10</v>
      </c>
      <c r="D8" s="41">
        <v>1500000</v>
      </c>
      <c r="E8" s="41">
        <v>15000000</v>
      </c>
    </row>
    <row r="9" spans="1:7">
      <c r="A9" s="4">
        <v>5</v>
      </c>
      <c r="B9" s="34" t="s">
        <v>430</v>
      </c>
      <c r="C9" s="82">
        <v>100</v>
      </c>
      <c r="D9" s="41">
        <v>100000</v>
      </c>
      <c r="E9" s="41">
        <v>10000000</v>
      </c>
    </row>
    <row r="10" spans="1:7">
      <c r="A10" s="4">
        <v>6</v>
      </c>
      <c r="B10" s="34" t="s">
        <v>336</v>
      </c>
      <c r="C10" s="34"/>
      <c r="D10" s="82"/>
      <c r="E10" s="41">
        <v>3000000</v>
      </c>
    </row>
    <row r="11" spans="1:7">
      <c r="A11" s="5" t="s">
        <v>116</v>
      </c>
      <c r="B11" s="31" t="s">
        <v>211</v>
      </c>
      <c r="C11" s="34"/>
      <c r="D11" s="82"/>
      <c r="E11" s="40">
        <f>E12+E18+E19+E20+E21</f>
        <v>294925000</v>
      </c>
    </row>
    <row r="12" spans="1:7">
      <c r="A12" s="4">
        <v>1</v>
      </c>
      <c r="B12" s="34" t="s">
        <v>322</v>
      </c>
      <c r="C12" s="34"/>
      <c r="D12" s="82"/>
      <c r="E12" s="41">
        <f>SUM(E13:E17)</f>
        <v>284500000</v>
      </c>
    </row>
    <row r="13" spans="1:7">
      <c r="A13" s="4" t="s">
        <v>30</v>
      </c>
      <c r="B13" s="34" t="s">
        <v>426</v>
      </c>
      <c r="C13" s="82">
        <v>25</v>
      </c>
      <c r="D13" s="41">
        <v>5700000</v>
      </c>
      <c r="E13" s="41">
        <v>142500000</v>
      </c>
    </row>
    <row r="14" spans="1:7">
      <c r="A14" s="4" t="s">
        <v>30</v>
      </c>
      <c r="B14" s="34" t="s">
        <v>431</v>
      </c>
      <c r="C14" s="82">
        <v>20</v>
      </c>
      <c r="D14" s="41">
        <v>3700000</v>
      </c>
      <c r="E14" s="41">
        <v>74000000</v>
      </c>
    </row>
    <row r="15" spans="1:7">
      <c r="A15" s="4" t="s">
        <v>30</v>
      </c>
      <c r="B15" s="34" t="s">
        <v>428</v>
      </c>
      <c r="C15" s="82">
        <v>10</v>
      </c>
      <c r="D15" s="41">
        <v>4700000</v>
      </c>
      <c r="E15" s="41">
        <v>47000000</v>
      </c>
    </row>
    <row r="16" spans="1:7">
      <c r="A16" s="4" t="s">
        <v>30</v>
      </c>
      <c r="B16" s="34" t="s">
        <v>432</v>
      </c>
      <c r="C16" s="82">
        <v>10</v>
      </c>
      <c r="D16" s="41">
        <v>1300000</v>
      </c>
      <c r="E16" s="41">
        <v>13000000</v>
      </c>
    </row>
    <row r="17" spans="1:5">
      <c r="A17" s="4" t="s">
        <v>30</v>
      </c>
      <c r="B17" s="34" t="s">
        <v>433</v>
      </c>
      <c r="C17" s="82">
        <v>100</v>
      </c>
      <c r="D17" s="41">
        <v>80000</v>
      </c>
      <c r="E17" s="41">
        <v>8000000</v>
      </c>
    </row>
    <row r="18" spans="1:5">
      <c r="A18" s="4">
        <v>2</v>
      </c>
      <c r="B18" s="34" t="s">
        <v>323</v>
      </c>
      <c r="C18" s="34"/>
      <c r="D18" s="82"/>
      <c r="E18" s="41">
        <v>4000000</v>
      </c>
    </row>
    <row r="19" spans="1:5">
      <c r="A19" s="4">
        <v>3</v>
      </c>
      <c r="B19" s="34" t="s">
        <v>213</v>
      </c>
      <c r="C19" s="34"/>
      <c r="D19" s="82"/>
      <c r="E19" s="41">
        <f>C28</f>
        <v>1625000</v>
      </c>
    </row>
    <row r="20" spans="1:5">
      <c r="A20" s="4">
        <v>4</v>
      </c>
      <c r="B20" s="34" t="s">
        <v>337</v>
      </c>
      <c r="C20" s="34"/>
      <c r="D20" s="82"/>
      <c r="E20" s="41">
        <v>3000000</v>
      </c>
    </row>
    <row r="21" spans="1:5">
      <c r="A21" s="4">
        <v>5</v>
      </c>
      <c r="B21" s="34" t="s">
        <v>217</v>
      </c>
      <c r="C21" s="34"/>
      <c r="D21" s="82"/>
      <c r="E21" s="41">
        <v>1800000</v>
      </c>
    </row>
    <row r="22" spans="1:5" ht="17.25">
      <c r="A22" s="44" t="s">
        <v>135</v>
      </c>
      <c r="B22" s="14" t="s">
        <v>136</v>
      </c>
      <c r="C22" s="14"/>
      <c r="D22" s="83"/>
      <c r="E22" s="45">
        <f>E4-E11</f>
        <v>13075000</v>
      </c>
    </row>
    <row r="24" spans="1:5">
      <c r="A24" s="2589" t="s">
        <v>338</v>
      </c>
      <c r="B24" s="2589"/>
      <c r="C24" s="2590">
        <f>E12</f>
        <v>284500000</v>
      </c>
      <c r="D24" s="2590"/>
    </row>
    <row r="25" spans="1:5">
      <c r="A25" s="2589" t="s">
        <v>26</v>
      </c>
      <c r="B25" s="2589"/>
      <c r="C25" s="2590">
        <f>C24-C26</f>
        <v>134500000</v>
      </c>
      <c r="D25" s="2590"/>
      <c r="E25" s="231">
        <f>C25/C24</f>
        <v>0.47275922671353249</v>
      </c>
    </row>
    <row r="26" spans="1:5">
      <c r="A26" s="2585" t="s">
        <v>27</v>
      </c>
      <c r="B26" s="2585"/>
      <c r="C26" s="2591">
        <v>150000000</v>
      </c>
      <c r="D26" s="2591"/>
    </row>
    <row r="27" spans="1:5">
      <c r="A27" s="2585" t="s">
        <v>63</v>
      </c>
      <c r="B27" s="2585"/>
      <c r="C27" s="2586">
        <v>0.13</v>
      </c>
      <c r="D27" s="2586"/>
    </row>
    <row r="28" spans="1:5">
      <c r="A28" s="2587" t="s">
        <v>19</v>
      </c>
      <c r="B28" s="2587"/>
      <c r="C28" s="2588">
        <f>C26*C27/12</f>
        <v>1625000</v>
      </c>
      <c r="D28" s="2588"/>
    </row>
  </sheetData>
  <mergeCells count="10">
    <mergeCell ref="A27:B27"/>
    <mergeCell ref="C27:D27"/>
    <mergeCell ref="A28:B28"/>
    <mergeCell ref="C28:D28"/>
    <mergeCell ref="A24:B24"/>
    <mergeCell ref="C24:D24"/>
    <mergeCell ref="A25:B25"/>
    <mergeCell ref="C25:D25"/>
    <mergeCell ref="A26:B26"/>
    <mergeCell ref="C26:D26"/>
  </mergeCells>
  <pageMargins left="0.75" right="0.75" top="1" bottom="1" header="0.5" footer="0.5"/>
  <pageSetup paperSize="9" orientation="portrait" verticalDpi="0" r:id="rId1"/>
  <headerFooter alignWithMargins="0"/>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N40"/>
  <sheetViews>
    <sheetView workbookViewId="0">
      <selection activeCell="J13" sqref="J13"/>
    </sheetView>
  </sheetViews>
  <sheetFormatPr defaultRowHeight="16.5"/>
  <cols>
    <col min="1" max="1" width="4.140625" style="1999" customWidth="1"/>
    <col min="2" max="2" width="34.42578125" style="2000" customWidth="1"/>
    <col min="3" max="3" width="6.42578125" style="2045" customWidth="1"/>
    <col min="4" max="4" width="13.5703125" style="2002" customWidth="1"/>
    <col min="5" max="5" width="17.85546875" style="2002" bestFit="1" customWidth="1"/>
    <col min="6" max="6" width="14.42578125" style="2002" customWidth="1"/>
    <col min="7" max="7" width="16.7109375" style="2002" customWidth="1"/>
    <col min="8" max="8" width="15.7109375" style="2000" customWidth="1"/>
    <col min="9" max="9" width="10.28515625" style="2004" customWidth="1"/>
    <col min="10" max="10" width="14.5703125" style="2004" bestFit="1" customWidth="1"/>
    <col min="11" max="14" width="9.140625" style="2004"/>
    <col min="15" max="256" width="9.140625" style="2000"/>
    <col min="257" max="257" width="4.140625" style="2000" customWidth="1"/>
    <col min="258" max="258" width="34.42578125" style="2000" customWidth="1"/>
    <col min="259" max="259" width="6.42578125" style="2000" customWidth="1"/>
    <col min="260" max="260" width="13.5703125" style="2000" customWidth="1"/>
    <col min="261" max="261" width="16.85546875" style="2000" bestFit="1" customWidth="1"/>
    <col min="262" max="262" width="14.42578125" style="2000" customWidth="1"/>
    <col min="263" max="263" width="16.7109375" style="2000" customWidth="1"/>
    <col min="264" max="264" width="15.7109375" style="2000" customWidth="1"/>
    <col min="265" max="265" width="10.140625" style="2000" bestFit="1" customWidth="1"/>
    <col min="266" max="266" width="14" style="2000" bestFit="1" customWidth="1"/>
    <col min="267" max="512" width="9.140625" style="2000"/>
    <col min="513" max="513" width="4.140625" style="2000" customWidth="1"/>
    <col min="514" max="514" width="34.42578125" style="2000" customWidth="1"/>
    <col min="515" max="515" width="6.42578125" style="2000" customWidth="1"/>
    <col min="516" max="516" width="13.5703125" style="2000" customWidth="1"/>
    <col min="517" max="517" width="16.85546875" style="2000" bestFit="1" customWidth="1"/>
    <col min="518" max="518" width="14.42578125" style="2000" customWidth="1"/>
    <col min="519" max="519" width="16.7109375" style="2000" customWidth="1"/>
    <col min="520" max="520" width="15.7109375" style="2000" customWidth="1"/>
    <col min="521" max="521" width="10.140625" style="2000" bestFit="1" customWidth="1"/>
    <col min="522" max="522" width="14" style="2000" bestFit="1" customWidth="1"/>
    <col min="523" max="768" width="9.140625" style="2000"/>
    <col min="769" max="769" width="4.140625" style="2000" customWidth="1"/>
    <col min="770" max="770" width="34.42578125" style="2000" customWidth="1"/>
    <col min="771" max="771" width="6.42578125" style="2000" customWidth="1"/>
    <col min="772" max="772" width="13.5703125" style="2000" customWidth="1"/>
    <col min="773" max="773" width="16.85546875" style="2000" bestFit="1" customWidth="1"/>
    <col min="774" max="774" width="14.42578125" style="2000" customWidth="1"/>
    <col min="775" max="775" width="16.7109375" style="2000" customWidth="1"/>
    <col min="776" max="776" width="15.7109375" style="2000" customWidth="1"/>
    <col min="777" max="777" width="10.140625" style="2000" bestFit="1" customWidth="1"/>
    <col min="778" max="778" width="14" style="2000" bestFit="1" customWidth="1"/>
    <col min="779" max="1024" width="9.140625" style="2000"/>
    <col min="1025" max="1025" width="4.140625" style="2000" customWidth="1"/>
    <col min="1026" max="1026" width="34.42578125" style="2000" customWidth="1"/>
    <col min="1027" max="1027" width="6.42578125" style="2000" customWidth="1"/>
    <col min="1028" max="1028" width="13.5703125" style="2000" customWidth="1"/>
    <col min="1029" max="1029" width="16.85546875" style="2000" bestFit="1" customWidth="1"/>
    <col min="1030" max="1030" width="14.42578125" style="2000" customWidth="1"/>
    <col min="1031" max="1031" width="16.7109375" style="2000" customWidth="1"/>
    <col min="1032" max="1032" width="15.7109375" style="2000" customWidth="1"/>
    <col min="1033" max="1033" width="10.140625" style="2000" bestFit="1" customWidth="1"/>
    <col min="1034" max="1034" width="14" style="2000" bestFit="1" customWidth="1"/>
    <col min="1035" max="1280" width="9.140625" style="2000"/>
    <col min="1281" max="1281" width="4.140625" style="2000" customWidth="1"/>
    <col min="1282" max="1282" width="34.42578125" style="2000" customWidth="1"/>
    <col min="1283" max="1283" width="6.42578125" style="2000" customWidth="1"/>
    <col min="1284" max="1284" width="13.5703125" style="2000" customWidth="1"/>
    <col min="1285" max="1285" width="16.85546875" style="2000" bestFit="1" customWidth="1"/>
    <col min="1286" max="1286" width="14.42578125" style="2000" customWidth="1"/>
    <col min="1287" max="1287" width="16.7109375" style="2000" customWidth="1"/>
    <col min="1288" max="1288" width="15.7109375" style="2000" customWidth="1"/>
    <col min="1289" max="1289" width="10.140625" style="2000" bestFit="1" customWidth="1"/>
    <col min="1290" max="1290" width="14" style="2000" bestFit="1" customWidth="1"/>
    <col min="1291" max="1536" width="9.140625" style="2000"/>
    <col min="1537" max="1537" width="4.140625" style="2000" customWidth="1"/>
    <col min="1538" max="1538" width="34.42578125" style="2000" customWidth="1"/>
    <col min="1539" max="1539" width="6.42578125" style="2000" customWidth="1"/>
    <col min="1540" max="1540" width="13.5703125" style="2000" customWidth="1"/>
    <col min="1541" max="1541" width="16.85546875" style="2000" bestFit="1" customWidth="1"/>
    <col min="1542" max="1542" width="14.42578125" style="2000" customWidth="1"/>
    <col min="1543" max="1543" width="16.7109375" style="2000" customWidth="1"/>
    <col min="1544" max="1544" width="15.7109375" style="2000" customWidth="1"/>
    <col min="1545" max="1545" width="10.140625" style="2000" bestFit="1" customWidth="1"/>
    <col min="1546" max="1546" width="14" style="2000" bestFit="1" customWidth="1"/>
    <col min="1547" max="1792" width="9.140625" style="2000"/>
    <col min="1793" max="1793" width="4.140625" style="2000" customWidth="1"/>
    <col min="1794" max="1794" width="34.42578125" style="2000" customWidth="1"/>
    <col min="1795" max="1795" width="6.42578125" style="2000" customWidth="1"/>
    <col min="1796" max="1796" width="13.5703125" style="2000" customWidth="1"/>
    <col min="1797" max="1797" width="16.85546875" style="2000" bestFit="1" customWidth="1"/>
    <col min="1798" max="1798" width="14.42578125" style="2000" customWidth="1"/>
    <col min="1799" max="1799" width="16.7109375" style="2000" customWidth="1"/>
    <col min="1800" max="1800" width="15.7109375" style="2000" customWidth="1"/>
    <col min="1801" max="1801" width="10.140625" style="2000" bestFit="1" customWidth="1"/>
    <col min="1802" max="1802" width="14" style="2000" bestFit="1" customWidth="1"/>
    <col min="1803" max="2048" width="9.140625" style="2000"/>
    <col min="2049" max="2049" width="4.140625" style="2000" customWidth="1"/>
    <col min="2050" max="2050" width="34.42578125" style="2000" customWidth="1"/>
    <col min="2051" max="2051" width="6.42578125" style="2000" customWidth="1"/>
    <col min="2052" max="2052" width="13.5703125" style="2000" customWidth="1"/>
    <col min="2053" max="2053" width="16.85546875" style="2000" bestFit="1" customWidth="1"/>
    <col min="2054" max="2054" width="14.42578125" style="2000" customWidth="1"/>
    <col min="2055" max="2055" width="16.7109375" style="2000" customWidth="1"/>
    <col min="2056" max="2056" width="15.7109375" style="2000" customWidth="1"/>
    <col min="2057" max="2057" width="10.140625" style="2000" bestFit="1" customWidth="1"/>
    <col min="2058" max="2058" width="14" style="2000" bestFit="1" customWidth="1"/>
    <col min="2059" max="2304" width="9.140625" style="2000"/>
    <col min="2305" max="2305" width="4.140625" style="2000" customWidth="1"/>
    <col min="2306" max="2306" width="34.42578125" style="2000" customWidth="1"/>
    <col min="2307" max="2307" width="6.42578125" style="2000" customWidth="1"/>
    <col min="2308" max="2308" width="13.5703125" style="2000" customWidth="1"/>
    <col min="2309" max="2309" width="16.85546875" style="2000" bestFit="1" customWidth="1"/>
    <col min="2310" max="2310" width="14.42578125" style="2000" customWidth="1"/>
    <col min="2311" max="2311" width="16.7109375" style="2000" customWidth="1"/>
    <col min="2312" max="2312" width="15.7109375" style="2000" customWidth="1"/>
    <col min="2313" max="2313" width="10.140625" style="2000" bestFit="1" customWidth="1"/>
    <col min="2314" max="2314" width="14" style="2000" bestFit="1" customWidth="1"/>
    <col min="2315" max="2560" width="9.140625" style="2000"/>
    <col min="2561" max="2561" width="4.140625" style="2000" customWidth="1"/>
    <col min="2562" max="2562" width="34.42578125" style="2000" customWidth="1"/>
    <col min="2563" max="2563" width="6.42578125" style="2000" customWidth="1"/>
    <col min="2564" max="2564" width="13.5703125" style="2000" customWidth="1"/>
    <col min="2565" max="2565" width="16.85546875" style="2000" bestFit="1" customWidth="1"/>
    <col min="2566" max="2566" width="14.42578125" style="2000" customWidth="1"/>
    <col min="2567" max="2567" width="16.7109375" style="2000" customWidth="1"/>
    <col min="2568" max="2568" width="15.7109375" style="2000" customWidth="1"/>
    <col min="2569" max="2569" width="10.140625" style="2000" bestFit="1" customWidth="1"/>
    <col min="2570" max="2570" width="14" style="2000" bestFit="1" customWidth="1"/>
    <col min="2571" max="2816" width="9.140625" style="2000"/>
    <col min="2817" max="2817" width="4.140625" style="2000" customWidth="1"/>
    <col min="2818" max="2818" width="34.42578125" style="2000" customWidth="1"/>
    <col min="2819" max="2819" width="6.42578125" style="2000" customWidth="1"/>
    <col min="2820" max="2820" width="13.5703125" style="2000" customWidth="1"/>
    <col min="2821" max="2821" width="16.85546875" style="2000" bestFit="1" customWidth="1"/>
    <col min="2822" max="2822" width="14.42578125" style="2000" customWidth="1"/>
    <col min="2823" max="2823" width="16.7109375" style="2000" customWidth="1"/>
    <col min="2824" max="2824" width="15.7109375" style="2000" customWidth="1"/>
    <col min="2825" max="2825" width="10.140625" style="2000" bestFit="1" customWidth="1"/>
    <col min="2826" max="2826" width="14" style="2000" bestFit="1" customWidth="1"/>
    <col min="2827" max="3072" width="9.140625" style="2000"/>
    <col min="3073" max="3073" width="4.140625" style="2000" customWidth="1"/>
    <col min="3074" max="3074" width="34.42578125" style="2000" customWidth="1"/>
    <col min="3075" max="3075" width="6.42578125" style="2000" customWidth="1"/>
    <col min="3076" max="3076" width="13.5703125" style="2000" customWidth="1"/>
    <col min="3077" max="3077" width="16.85546875" style="2000" bestFit="1" customWidth="1"/>
    <col min="3078" max="3078" width="14.42578125" style="2000" customWidth="1"/>
    <col min="3079" max="3079" width="16.7109375" style="2000" customWidth="1"/>
    <col min="3080" max="3080" width="15.7109375" style="2000" customWidth="1"/>
    <col min="3081" max="3081" width="10.140625" style="2000" bestFit="1" customWidth="1"/>
    <col min="3082" max="3082" width="14" style="2000" bestFit="1" customWidth="1"/>
    <col min="3083" max="3328" width="9.140625" style="2000"/>
    <col min="3329" max="3329" width="4.140625" style="2000" customWidth="1"/>
    <col min="3330" max="3330" width="34.42578125" style="2000" customWidth="1"/>
    <col min="3331" max="3331" width="6.42578125" style="2000" customWidth="1"/>
    <col min="3332" max="3332" width="13.5703125" style="2000" customWidth="1"/>
    <col min="3333" max="3333" width="16.85546875" style="2000" bestFit="1" customWidth="1"/>
    <col min="3334" max="3334" width="14.42578125" style="2000" customWidth="1"/>
    <col min="3335" max="3335" width="16.7109375" style="2000" customWidth="1"/>
    <col min="3336" max="3336" width="15.7109375" style="2000" customWidth="1"/>
    <col min="3337" max="3337" width="10.140625" style="2000" bestFit="1" customWidth="1"/>
    <col min="3338" max="3338" width="14" style="2000" bestFit="1" customWidth="1"/>
    <col min="3339" max="3584" width="9.140625" style="2000"/>
    <col min="3585" max="3585" width="4.140625" style="2000" customWidth="1"/>
    <col min="3586" max="3586" width="34.42578125" style="2000" customWidth="1"/>
    <col min="3587" max="3587" width="6.42578125" style="2000" customWidth="1"/>
    <col min="3588" max="3588" width="13.5703125" style="2000" customWidth="1"/>
    <col min="3589" max="3589" width="16.85546875" style="2000" bestFit="1" customWidth="1"/>
    <col min="3590" max="3590" width="14.42578125" style="2000" customWidth="1"/>
    <col min="3591" max="3591" width="16.7109375" style="2000" customWidth="1"/>
    <col min="3592" max="3592" width="15.7109375" style="2000" customWidth="1"/>
    <col min="3593" max="3593" width="10.140625" style="2000" bestFit="1" customWidth="1"/>
    <col min="3594" max="3594" width="14" style="2000" bestFit="1" customWidth="1"/>
    <col min="3595" max="3840" width="9.140625" style="2000"/>
    <col min="3841" max="3841" width="4.140625" style="2000" customWidth="1"/>
    <col min="3842" max="3842" width="34.42578125" style="2000" customWidth="1"/>
    <col min="3843" max="3843" width="6.42578125" style="2000" customWidth="1"/>
    <col min="3844" max="3844" width="13.5703125" style="2000" customWidth="1"/>
    <col min="3845" max="3845" width="16.85546875" style="2000" bestFit="1" customWidth="1"/>
    <col min="3846" max="3846" width="14.42578125" style="2000" customWidth="1"/>
    <col min="3847" max="3847" width="16.7109375" style="2000" customWidth="1"/>
    <col min="3848" max="3848" width="15.7109375" style="2000" customWidth="1"/>
    <col min="3849" max="3849" width="10.140625" style="2000" bestFit="1" customWidth="1"/>
    <col min="3850" max="3850" width="14" style="2000" bestFit="1" customWidth="1"/>
    <col min="3851" max="4096" width="9.140625" style="2000"/>
    <col min="4097" max="4097" width="4.140625" style="2000" customWidth="1"/>
    <col min="4098" max="4098" width="34.42578125" style="2000" customWidth="1"/>
    <col min="4099" max="4099" width="6.42578125" style="2000" customWidth="1"/>
    <col min="4100" max="4100" width="13.5703125" style="2000" customWidth="1"/>
    <col min="4101" max="4101" width="16.85546875" style="2000" bestFit="1" customWidth="1"/>
    <col min="4102" max="4102" width="14.42578125" style="2000" customWidth="1"/>
    <col min="4103" max="4103" width="16.7109375" style="2000" customWidth="1"/>
    <col min="4104" max="4104" width="15.7109375" style="2000" customWidth="1"/>
    <col min="4105" max="4105" width="10.140625" style="2000" bestFit="1" customWidth="1"/>
    <col min="4106" max="4106" width="14" style="2000" bestFit="1" customWidth="1"/>
    <col min="4107" max="4352" width="9.140625" style="2000"/>
    <col min="4353" max="4353" width="4.140625" style="2000" customWidth="1"/>
    <col min="4354" max="4354" width="34.42578125" style="2000" customWidth="1"/>
    <col min="4355" max="4355" width="6.42578125" style="2000" customWidth="1"/>
    <col min="4356" max="4356" width="13.5703125" style="2000" customWidth="1"/>
    <col min="4357" max="4357" width="16.85546875" style="2000" bestFit="1" customWidth="1"/>
    <col min="4358" max="4358" width="14.42578125" style="2000" customWidth="1"/>
    <col min="4359" max="4359" width="16.7109375" style="2000" customWidth="1"/>
    <col min="4360" max="4360" width="15.7109375" style="2000" customWidth="1"/>
    <col min="4361" max="4361" width="10.140625" style="2000" bestFit="1" customWidth="1"/>
    <col min="4362" max="4362" width="14" style="2000" bestFit="1" customWidth="1"/>
    <col min="4363" max="4608" width="9.140625" style="2000"/>
    <col min="4609" max="4609" width="4.140625" style="2000" customWidth="1"/>
    <col min="4610" max="4610" width="34.42578125" style="2000" customWidth="1"/>
    <col min="4611" max="4611" width="6.42578125" style="2000" customWidth="1"/>
    <col min="4612" max="4612" width="13.5703125" style="2000" customWidth="1"/>
    <col min="4613" max="4613" width="16.85546875" style="2000" bestFit="1" customWidth="1"/>
    <col min="4614" max="4614" width="14.42578125" style="2000" customWidth="1"/>
    <col min="4615" max="4615" width="16.7109375" style="2000" customWidth="1"/>
    <col min="4616" max="4616" width="15.7109375" style="2000" customWidth="1"/>
    <col min="4617" max="4617" width="10.140625" style="2000" bestFit="1" customWidth="1"/>
    <col min="4618" max="4618" width="14" style="2000" bestFit="1" customWidth="1"/>
    <col min="4619" max="4864" width="9.140625" style="2000"/>
    <col min="4865" max="4865" width="4.140625" style="2000" customWidth="1"/>
    <col min="4866" max="4866" width="34.42578125" style="2000" customWidth="1"/>
    <col min="4867" max="4867" width="6.42578125" style="2000" customWidth="1"/>
    <col min="4868" max="4868" width="13.5703125" style="2000" customWidth="1"/>
    <col min="4869" max="4869" width="16.85546875" style="2000" bestFit="1" customWidth="1"/>
    <col min="4870" max="4870" width="14.42578125" style="2000" customWidth="1"/>
    <col min="4871" max="4871" width="16.7109375" style="2000" customWidth="1"/>
    <col min="4872" max="4872" width="15.7109375" style="2000" customWidth="1"/>
    <col min="4873" max="4873" width="10.140625" style="2000" bestFit="1" customWidth="1"/>
    <col min="4874" max="4874" width="14" style="2000" bestFit="1" customWidth="1"/>
    <col min="4875" max="5120" width="9.140625" style="2000"/>
    <col min="5121" max="5121" width="4.140625" style="2000" customWidth="1"/>
    <col min="5122" max="5122" width="34.42578125" style="2000" customWidth="1"/>
    <col min="5123" max="5123" width="6.42578125" style="2000" customWidth="1"/>
    <col min="5124" max="5124" width="13.5703125" style="2000" customWidth="1"/>
    <col min="5125" max="5125" width="16.85546875" style="2000" bestFit="1" customWidth="1"/>
    <col min="5126" max="5126" width="14.42578125" style="2000" customWidth="1"/>
    <col min="5127" max="5127" width="16.7109375" style="2000" customWidth="1"/>
    <col min="5128" max="5128" width="15.7109375" style="2000" customWidth="1"/>
    <col min="5129" max="5129" width="10.140625" style="2000" bestFit="1" customWidth="1"/>
    <col min="5130" max="5130" width="14" style="2000" bestFit="1" customWidth="1"/>
    <col min="5131" max="5376" width="9.140625" style="2000"/>
    <col min="5377" max="5377" width="4.140625" style="2000" customWidth="1"/>
    <col min="5378" max="5378" width="34.42578125" style="2000" customWidth="1"/>
    <col min="5379" max="5379" width="6.42578125" style="2000" customWidth="1"/>
    <col min="5380" max="5380" width="13.5703125" style="2000" customWidth="1"/>
    <col min="5381" max="5381" width="16.85546875" style="2000" bestFit="1" customWidth="1"/>
    <col min="5382" max="5382" width="14.42578125" style="2000" customWidth="1"/>
    <col min="5383" max="5383" width="16.7109375" style="2000" customWidth="1"/>
    <col min="5384" max="5384" width="15.7109375" style="2000" customWidth="1"/>
    <col min="5385" max="5385" width="10.140625" style="2000" bestFit="1" customWidth="1"/>
    <col min="5386" max="5386" width="14" style="2000" bestFit="1" customWidth="1"/>
    <col min="5387" max="5632" width="9.140625" style="2000"/>
    <col min="5633" max="5633" width="4.140625" style="2000" customWidth="1"/>
    <col min="5634" max="5634" width="34.42578125" style="2000" customWidth="1"/>
    <col min="5635" max="5635" width="6.42578125" style="2000" customWidth="1"/>
    <col min="5636" max="5636" width="13.5703125" style="2000" customWidth="1"/>
    <col min="5637" max="5637" width="16.85546875" style="2000" bestFit="1" customWidth="1"/>
    <col min="5638" max="5638" width="14.42578125" style="2000" customWidth="1"/>
    <col min="5639" max="5639" width="16.7109375" style="2000" customWidth="1"/>
    <col min="5640" max="5640" width="15.7109375" style="2000" customWidth="1"/>
    <col min="5641" max="5641" width="10.140625" style="2000" bestFit="1" customWidth="1"/>
    <col min="5642" max="5642" width="14" style="2000" bestFit="1" customWidth="1"/>
    <col min="5643" max="5888" width="9.140625" style="2000"/>
    <col min="5889" max="5889" width="4.140625" style="2000" customWidth="1"/>
    <col min="5890" max="5890" width="34.42578125" style="2000" customWidth="1"/>
    <col min="5891" max="5891" width="6.42578125" style="2000" customWidth="1"/>
    <col min="5892" max="5892" width="13.5703125" style="2000" customWidth="1"/>
    <col min="5893" max="5893" width="16.85546875" style="2000" bestFit="1" customWidth="1"/>
    <col min="5894" max="5894" width="14.42578125" style="2000" customWidth="1"/>
    <col min="5895" max="5895" width="16.7109375" style="2000" customWidth="1"/>
    <col min="5896" max="5896" width="15.7109375" style="2000" customWidth="1"/>
    <col min="5897" max="5897" width="10.140625" style="2000" bestFit="1" customWidth="1"/>
    <col min="5898" max="5898" width="14" style="2000" bestFit="1" customWidth="1"/>
    <col min="5899" max="6144" width="9.140625" style="2000"/>
    <col min="6145" max="6145" width="4.140625" style="2000" customWidth="1"/>
    <col min="6146" max="6146" width="34.42578125" style="2000" customWidth="1"/>
    <col min="6147" max="6147" width="6.42578125" style="2000" customWidth="1"/>
    <col min="6148" max="6148" width="13.5703125" style="2000" customWidth="1"/>
    <col min="6149" max="6149" width="16.85546875" style="2000" bestFit="1" customWidth="1"/>
    <col min="6150" max="6150" width="14.42578125" style="2000" customWidth="1"/>
    <col min="6151" max="6151" width="16.7109375" style="2000" customWidth="1"/>
    <col min="6152" max="6152" width="15.7109375" style="2000" customWidth="1"/>
    <col min="6153" max="6153" width="10.140625" style="2000" bestFit="1" customWidth="1"/>
    <col min="6154" max="6154" width="14" style="2000" bestFit="1" customWidth="1"/>
    <col min="6155" max="6400" width="9.140625" style="2000"/>
    <col min="6401" max="6401" width="4.140625" style="2000" customWidth="1"/>
    <col min="6402" max="6402" width="34.42578125" style="2000" customWidth="1"/>
    <col min="6403" max="6403" width="6.42578125" style="2000" customWidth="1"/>
    <col min="6404" max="6404" width="13.5703125" style="2000" customWidth="1"/>
    <col min="6405" max="6405" width="16.85546875" style="2000" bestFit="1" customWidth="1"/>
    <col min="6406" max="6406" width="14.42578125" style="2000" customWidth="1"/>
    <col min="6407" max="6407" width="16.7109375" style="2000" customWidth="1"/>
    <col min="6408" max="6408" width="15.7109375" style="2000" customWidth="1"/>
    <col min="6409" max="6409" width="10.140625" style="2000" bestFit="1" customWidth="1"/>
    <col min="6410" max="6410" width="14" style="2000" bestFit="1" customWidth="1"/>
    <col min="6411" max="6656" width="9.140625" style="2000"/>
    <col min="6657" max="6657" width="4.140625" style="2000" customWidth="1"/>
    <col min="6658" max="6658" width="34.42578125" style="2000" customWidth="1"/>
    <col min="6659" max="6659" width="6.42578125" style="2000" customWidth="1"/>
    <col min="6660" max="6660" width="13.5703125" style="2000" customWidth="1"/>
    <col min="6661" max="6661" width="16.85546875" style="2000" bestFit="1" customWidth="1"/>
    <col min="6662" max="6662" width="14.42578125" style="2000" customWidth="1"/>
    <col min="6663" max="6663" width="16.7109375" style="2000" customWidth="1"/>
    <col min="6664" max="6664" width="15.7109375" style="2000" customWidth="1"/>
    <col min="6665" max="6665" width="10.140625" style="2000" bestFit="1" customWidth="1"/>
    <col min="6666" max="6666" width="14" style="2000" bestFit="1" customWidth="1"/>
    <col min="6667" max="6912" width="9.140625" style="2000"/>
    <col min="6913" max="6913" width="4.140625" style="2000" customWidth="1"/>
    <col min="6914" max="6914" width="34.42578125" style="2000" customWidth="1"/>
    <col min="6915" max="6915" width="6.42578125" style="2000" customWidth="1"/>
    <col min="6916" max="6916" width="13.5703125" style="2000" customWidth="1"/>
    <col min="6917" max="6917" width="16.85546875" style="2000" bestFit="1" customWidth="1"/>
    <col min="6918" max="6918" width="14.42578125" style="2000" customWidth="1"/>
    <col min="6919" max="6919" width="16.7109375" style="2000" customWidth="1"/>
    <col min="6920" max="6920" width="15.7109375" style="2000" customWidth="1"/>
    <col min="6921" max="6921" width="10.140625" style="2000" bestFit="1" customWidth="1"/>
    <col min="6922" max="6922" width="14" style="2000" bestFit="1" customWidth="1"/>
    <col min="6923" max="7168" width="9.140625" style="2000"/>
    <col min="7169" max="7169" width="4.140625" style="2000" customWidth="1"/>
    <col min="7170" max="7170" width="34.42578125" style="2000" customWidth="1"/>
    <col min="7171" max="7171" width="6.42578125" style="2000" customWidth="1"/>
    <col min="7172" max="7172" width="13.5703125" style="2000" customWidth="1"/>
    <col min="7173" max="7173" width="16.85546875" style="2000" bestFit="1" customWidth="1"/>
    <col min="7174" max="7174" width="14.42578125" style="2000" customWidth="1"/>
    <col min="7175" max="7175" width="16.7109375" style="2000" customWidth="1"/>
    <col min="7176" max="7176" width="15.7109375" style="2000" customWidth="1"/>
    <col min="7177" max="7177" width="10.140625" style="2000" bestFit="1" customWidth="1"/>
    <col min="7178" max="7178" width="14" style="2000" bestFit="1" customWidth="1"/>
    <col min="7179" max="7424" width="9.140625" style="2000"/>
    <col min="7425" max="7425" width="4.140625" style="2000" customWidth="1"/>
    <col min="7426" max="7426" width="34.42578125" style="2000" customWidth="1"/>
    <col min="7427" max="7427" width="6.42578125" style="2000" customWidth="1"/>
    <col min="7428" max="7428" width="13.5703125" style="2000" customWidth="1"/>
    <col min="7429" max="7429" width="16.85546875" style="2000" bestFit="1" customWidth="1"/>
    <col min="7430" max="7430" width="14.42578125" style="2000" customWidth="1"/>
    <col min="7431" max="7431" width="16.7109375" style="2000" customWidth="1"/>
    <col min="7432" max="7432" width="15.7109375" style="2000" customWidth="1"/>
    <col min="7433" max="7433" width="10.140625" style="2000" bestFit="1" customWidth="1"/>
    <col min="7434" max="7434" width="14" style="2000" bestFit="1" customWidth="1"/>
    <col min="7435" max="7680" width="9.140625" style="2000"/>
    <col min="7681" max="7681" width="4.140625" style="2000" customWidth="1"/>
    <col min="7682" max="7682" width="34.42578125" style="2000" customWidth="1"/>
    <col min="7683" max="7683" width="6.42578125" style="2000" customWidth="1"/>
    <col min="7684" max="7684" width="13.5703125" style="2000" customWidth="1"/>
    <col min="7685" max="7685" width="16.85546875" style="2000" bestFit="1" customWidth="1"/>
    <col min="7686" max="7686" width="14.42578125" style="2000" customWidth="1"/>
    <col min="7687" max="7687" width="16.7109375" style="2000" customWidth="1"/>
    <col min="7688" max="7688" width="15.7109375" style="2000" customWidth="1"/>
    <col min="7689" max="7689" width="10.140625" style="2000" bestFit="1" customWidth="1"/>
    <col min="7690" max="7690" width="14" style="2000" bestFit="1" customWidth="1"/>
    <col min="7691" max="7936" width="9.140625" style="2000"/>
    <col min="7937" max="7937" width="4.140625" style="2000" customWidth="1"/>
    <col min="7938" max="7938" width="34.42578125" style="2000" customWidth="1"/>
    <col min="7939" max="7939" width="6.42578125" style="2000" customWidth="1"/>
    <col min="7940" max="7940" width="13.5703125" style="2000" customWidth="1"/>
    <col min="7941" max="7941" width="16.85546875" style="2000" bestFit="1" customWidth="1"/>
    <col min="7942" max="7942" width="14.42578125" style="2000" customWidth="1"/>
    <col min="7943" max="7943" width="16.7109375" style="2000" customWidth="1"/>
    <col min="7944" max="7944" width="15.7109375" style="2000" customWidth="1"/>
    <col min="7945" max="7945" width="10.140625" style="2000" bestFit="1" customWidth="1"/>
    <col min="7946" max="7946" width="14" style="2000" bestFit="1" customWidth="1"/>
    <col min="7947" max="8192" width="9.140625" style="2000"/>
    <col min="8193" max="8193" width="4.140625" style="2000" customWidth="1"/>
    <col min="8194" max="8194" width="34.42578125" style="2000" customWidth="1"/>
    <col min="8195" max="8195" width="6.42578125" style="2000" customWidth="1"/>
    <col min="8196" max="8196" width="13.5703125" style="2000" customWidth="1"/>
    <col min="8197" max="8197" width="16.85546875" style="2000" bestFit="1" customWidth="1"/>
    <col min="8198" max="8198" width="14.42578125" style="2000" customWidth="1"/>
    <col min="8199" max="8199" width="16.7109375" style="2000" customWidth="1"/>
    <col min="8200" max="8200" width="15.7109375" style="2000" customWidth="1"/>
    <col min="8201" max="8201" width="10.140625" style="2000" bestFit="1" customWidth="1"/>
    <col min="8202" max="8202" width="14" style="2000" bestFit="1" customWidth="1"/>
    <col min="8203" max="8448" width="9.140625" style="2000"/>
    <col min="8449" max="8449" width="4.140625" style="2000" customWidth="1"/>
    <col min="8450" max="8450" width="34.42578125" style="2000" customWidth="1"/>
    <col min="8451" max="8451" width="6.42578125" style="2000" customWidth="1"/>
    <col min="8452" max="8452" width="13.5703125" style="2000" customWidth="1"/>
    <col min="8453" max="8453" width="16.85546875" style="2000" bestFit="1" customWidth="1"/>
    <col min="8454" max="8454" width="14.42578125" style="2000" customWidth="1"/>
    <col min="8455" max="8455" width="16.7109375" style="2000" customWidth="1"/>
    <col min="8456" max="8456" width="15.7109375" style="2000" customWidth="1"/>
    <col min="8457" max="8457" width="10.140625" style="2000" bestFit="1" customWidth="1"/>
    <col min="8458" max="8458" width="14" style="2000" bestFit="1" customWidth="1"/>
    <col min="8459" max="8704" width="9.140625" style="2000"/>
    <col min="8705" max="8705" width="4.140625" style="2000" customWidth="1"/>
    <col min="8706" max="8706" width="34.42578125" style="2000" customWidth="1"/>
    <col min="8707" max="8707" width="6.42578125" style="2000" customWidth="1"/>
    <col min="8708" max="8708" width="13.5703125" style="2000" customWidth="1"/>
    <col min="8709" max="8709" width="16.85546875" style="2000" bestFit="1" customWidth="1"/>
    <col min="8710" max="8710" width="14.42578125" style="2000" customWidth="1"/>
    <col min="8711" max="8711" width="16.7109375" style="2000" customWidth="1"/>
    <col min="8712" max="8712" width="15.7109375" style="2000" customWidth="1"/>
    <col min="8713" max="8713" width="10.140625" style="2000" bestFit="1" customWidth="1"/>
    <col min="8714" max="8714" width="14" style="2000" bestFit="1" customWidth="1"/>
    <col min="8715" max="8960" width="9.140625" style="2000"/>
    <col min="8961" max="8961" width="4.140625" style="2000" customWidth="1"/>
    <col min="8962" max="8962" width="34.42578125" style="2000" customWidth="1"/>
    <col min="8963" max="8963" width="6.42578125" style="2000" customWidth="1"/>
    <col min="8964" max="8964" width="13.5703125" style="2000" customWidth="1"/>
    <col min="8965" max="8965" width="16.85546875" style="2000" bestFit="1" customWidth="1"/>
    <col min="8966" max="8966" width="14.42578125" style="2000" customWidth="1"/>
    <col min="8967" max="8967" width="16.7109375" style="2000" customWidth="1"/>
    <col min="8968" max="8968" width="15.7109375" style="2000" customWidth="1"/>
    <col min="8969" max="8969" width="10.140625" style="2000" bestFit="1" customWidth="1"/>
    <col min="8970" max="8970" width="14" style="2000" bestFit="1" customWidth="1"/>
    <col min="8971" max="9216" width="9.140625" style="2000"/>
    <col min="9217" max="9217" width="4.140625" style="2000" customWidth="1"/>
    <col min="9218" max="9218" width="34.42578125" style="2000" customWidth="1"/>
    <col min="9219" max="9219" width="6.42578125" style="2000" customWidth="1"/>
    <col min="9220" max="9220" width="13.5703125" style="2000" customWidth="1"/>
    <col min="9221" max="9221" width="16.85546875" style="2000" bestFit="1" customWidth="1"/>
    <col min="9222" max="9222" width="14.42578125" style="2000" customWidth="1"/>
    <col min="9223" max="9223" width="16.7109375" style="2000" customWidth="1"/>
    <col min="9224" max="9224" width="15.7109375" style="2000" customWidth="1"/>
    <col min="9225" max="9225" width="10.140625" style="2000" bestFit="1" customWidth="1"/>
    <col min="9226" max="9226" width="14" style="2000" bestFit="1" customWidth="1"/>
    <col min="9227" max="9472" width="9.140625" style="2000"/>
    <col min="9473" max="9473" width="4.140625" style="2000" customWidth="1"/>
    <col min="9474" max="9474" width="34.42578125" style="2000" customWidth="1"/>
    <col min="9475" max="9475" width="6.42578125" style="2000" customWidth="1"/>
    <col min="9476" max="9476" width="13.5703125" style="2000" customWidth="1"/>
    <col min="9477" max="9477" width="16.85546875" style="2000" bestFit="1" customWidth="1"/>
    <col min="9478" max="9478" width="14.42578125" style="2000" customWidth="1"/>
    <col min="9479" max="9479" width="16.7109375" style="2000" customWidth="1"/>
    <col min="9480" max="9480" width="15.7109375" style="2000" customWidth="1"/>
    <col min="9481" max="9481" width="10.140625" style="2000" bestFit="1" customWidth="1"/>
    <col min="9482" max="9482" width="14" style="2000" bestFit="1" customWidth="1"/>
    <col min="9483" max="9728" width="9.140625" style="2000"/>
    <col min="9729" max="9729" width="4.140625" style="2000" customWidth="1"/>
    <col min="9730" max="9730" width="34.42578125" style="2000" customWidth="1"/>
    <col min="9731" max="9731" width="6.42578125" style="2000" customWidth="1"/>
    <col min="9732" max="9732" width="13.5703125" style="2000" customWidth="1"/>
    <col min="9733" max="9733" width="16.85546875" style="2000" bestFit="1" customWidth="1"/>
    <col min="9734" max="9734" width="14.42578125" style="2000" customWidth="1"/>
    <col min="9735" max="9735" width="16.7109375" style="2000" customWidth="1"/>
    <col min="9736" max="9736" width="15.7109375" style="2000" customWidth="1"/>
    <col min="9737" max="9737" width="10.140625" style="2000" bestFit="1" customWidth="1"/>
    <col min="9738" max="9738" width="14" style="2000" bestFit="1" customWidth="1"/>
    <col min="9739" max="9984" width="9.140625" style="2000"/>
    <col min="9985" max="9985" width="4.140625" style="2000" customWidth="1"/>
    <col min="9986" max="9986" width="34.42578125" style="2000" customWidth="1"/>
    <col min="9987" max="9987" width="6.42578125" style="2000" customWidth="1"/>
    <col min="9988" max="9988" width="13.5703125" style="2000" customWidth="1"/>
    <col min="9989" max="9989" width="16.85546875" style="2000" bestFit="1" customWidth="1"/>
    <col min="9990" max="9990" width="14.42578125" style="2000" customWidth="1"/>
    <col min="9991" max="9991" width="16.7109375" style="2000" customWidth="1"/>
    <col min="9992" max="9992" width="15.7109375" style="2000" customWidth="1"/>
    <col min="9993" max="9993" width="10.140625" style="2000" bestFit="1" customWidth="1"/>
    <col min="9994" max="9994" width="14" style="2000" bestFit="1" customWidth="1"/>
    <col min="9995" max="10240" width="9.140625" style="2000"/>
    <col min="10241" max="10241" width="4.140625" style="2000" customWidth="1"/>
    <col min="10242" max="10242" width="34.42578125" style="2000" customWidth="1"/>
    <col min="10243" max="10243" width="6.42578125" style="2000" customWidth="1"/>
    <col min="10244" max="10244" width="13.5703125" style="2000" customWidth="1"/>
    <col min="10245" max="10245" width="16.85546875" style="2000" bestFit="1" customWidth="1"/>
    <col min="10246" max="10246" width="14.42578125" style="2000" customWidth="1"/>
    <col min="10247" max="10247" width="16.7109375" style="2000" customWidth="1"/>
    <col min="10248" max="10248" width="15.7109375" style="2000" customWidth="1"/>
    <col min="10249" max="10249" width="10.140625" style="2000" bestFit="1" customWidth="1"/>
    <col min="10250" max="10250" width="14" style="2000" bestFit="1" customWidth="1"/>
    <col min="10251" max="10496" width="9.140625" style="2000"/>
    <col min="10497" max="10497" width="4.140625" style="2000" customWidth="1"/>
    <col min="10498" max="10498" width="34.42578125" style="2000" customWidth="1"/>
    <col min="10499" max="10499" width="6.42578125" style="2000" customWidth="1"/>
    <col min="10500" max="10500" width="13.5703125" style="2000" customWidth="1"/>
    <col min="10501" max="10501" width="16.85546875" style="2000" bestFit="1" customWidth="1"/>
    <col min="10502" max="10502" width="14.42578125" style="2000" customWidth="1"/>
    <col min="10503" max="10503" width="16.7109375" style="2000" customWidth="1"/>
    <col min="10504" max="10504" width="15.7109375" style="2000" customWidth="1"/>
    <col min="10505" max="10505" width="10.140625" style="2000" bestFit="1" customWidth="1"/>
    <col min="10506" max="10506" width="14" style="2000" bestFit="1" customWidth="1"/>
    <col min="10507" max="10752" width="9.140625" style="2000"/>
    <col min="10753" max="10753" width="4.140625" style="2000" customWidth="1"/>
    <col min="10754" max="10754" width="34.42578125" style="2000" customWidth="1"/>
    <col min="10755" max="10755" width="6.42578125" style="2000" customWidth="1"/>
    <col min="10756" max="10756" width="13.5703125" style="2000" customWidth="1"/>
    <col min="10757" max="10757" width="16.85546875" style="2000" bestFit="1" customWidth="1"/>
    <col min="10758" max="10758" width="14.42578125" style="2000" customWidth="1"/>
    <col min="10759" max="10759" width="16.7109375" style="2000" customWidth="1"/>
    <col min="10760" max="10760" width="15.7109375" style="2000" customWidth="1"/>
    <col min="10761" max="10761" width="10.140625" style="2000" bestFit="1" customWidth="1"/>
    <col min="10762" max="10762" width="14" style="2000" bestFit="1" customWidth="1"/>
    <col min="10763" max="11008" width="9.140625" style="2000"/>
    <col min="11009" max="11009" width="4.140625" style="2000" customWidth="1"/>
    <col min="11010" max="11010" width="34.42578125" style="2000" customWidth="1"/>
    <col min="11011" max="11011" width="6.42578125" style="2000" customWidth="1"/>
    <col min="11012" max="11012" width="13.5703125" style="2000" customWidth="1"/>
    <col min="11013" max="11013" width="16.85546875" style="2000" bestFit="1" customWidth="1"/>
    <col min="11014" max="11014" width="14.42578125" style="2000" customWidth="1"/>
    <col min="11015" max="11015" width="16.7109375" style="2000" customWidth="1"/>
    <col min="11016" max="11016" width="15.7109375" style="2000" customWidth="1"/>
    <col min="11017" max="11017" width="10.140625" style="2000" bestFit="1" customWidth="1"/>
    <col min="11018" max="11018" width="14" style="2000" bestFit="1" customWidth="1"/>
    <col min="11019" max="11264" width="9.140625" style="2000"/>
    <col min="11265" max="11265" width="4.140625" style="2000" customWidth="1"/>
    <col min="11266" max="11266" width="34.42578125" style="2000" customWidth="1"/>
    <col min="11267" max="11267" width="6.42578125" style="2000" customWidth="1"/>
    <col min="11268" max="11268" width="13.5703125" style="2000" customWidth="1"/>
    <col min="11269" max="11269" width="16.85546875" style="2000" bestFit="1" customWidth="1"/>
    <col min="11270" max="11270" width="14.42578125" style="2000" customWidth="1"/>
    <col min="11271" max="11271" width="16.7109375" style="2000" customWidth="1"/>
    <col min="11272" max="11272" width="15.7109375" style="2000" customWidth="1"/>
    <col min="11273" max="11273" width="10.140625" style="2000" bestFit="1" customWidth="1"/>
    <col min="11274" max="11274" width="14" style="2000" bestFit="1" customWidth="1"/>
    <col min="11275" max="11520" width="9.140625" style="2000"/>
    <col min="11521" max="11521" width="4.140625" style="2000" customWidth="1"/>
    <col min="11522" max="11522" width="34.42578125" style="2000" customWidth="1"/>
    <col min="11523" max="11523" width="6.42578125" style="2000" customWidth="1"/>
    <col min="11524" max="11524" width="13.5703125" style="2000" customWidth="1"/>
    <col min="11525" max="11525" width="16.85546875" style="2000" bestFit="1" customWidth="1"/>
    <col min="11526" max="11526" width="14.42578125" style="2000" customWidth="1"/>
    <col min="11527" max="11527" width="16.7109375" style="2000" customWidth="1"/>
    <col min="11528" max="11528" width="15.7109375" style="2000" customWidth="1"/>
    <col min="11529" max="11529" width="10.140625" style="2000" bestFit="1" customWidth="1"/>
    <col min="11530" max="11530" width="14" style="2000" bestFit="1" customWidth="1"/>
    <col min="11531" max="11776" width="9.140625" style="2000"/>
    <col min="11777" max="11777" width="4.140625" style="2000" customWidth="1"/>
    <col min="11778" max="11778" width="34.42578125" style="2000" customWidth="1"/>
    <col min="11779" max="11779" width="6.42578125" style="2000" customWidth="1"/>
    <col min="11780" max="11780" width="13.5703125" style="2000" customWidth="1"/>
    <col min="11781" max="11781" width="16.85546875" style="2000" bestFit="1" customWidth="1"/>
    <col min="11782" max="11782" width="14.42578125" style="2000" customWidth="1"/>
    <col min="11783" max="11783" width="16.7109375" style="2000" customWidth="1"/>
    <col min="11784" max="11784" width="15.7109375" style="2000" customWidth="1"/>
    <col min="11785" max="11785" width="10.140625" style="2000" bestFit="1" customWidth="1"/>
    <col min="11786" max="11786" width="14" style="2000" bestFit="1" customWidth="1"/>
    <col min="11787" max="12032" width="9.140625" style="2000"/>
    <col min="12033" max="12033" width="4.140625" style="2000" customWidth="1"/>
    <col min="12034" max="12034" width="34.42578125" style="2000" customWidth="1"/>
    <col min="12035" max="12035" width="6.42578125" style="2000" customWidth="1"/>
    <col min="12036" max="12036" width="13.5703125" style="2000" customWidth="1"/>
    <col min="12037" max="12037" width="16.85546875" style="2000" bestFit="1" customWidth="1"/>
    <col min="12038" max="12038" width="14.42578125" style="2000" customWidth="1"/>
    <col min="12039" max="12039" width="16.7109375" style="2000" customWidth="1"/>
    <col min="12040" max="12040" width="15.7109375" style="2000" customWidth="1"/>
    <col min="12041" max="12041" width="10.140625" style="2000" bestFit="1" customWidth="1"/>
    <col min="12042" max="12042" width="14" style="2000" bestFit="1" customWidth="1"/>
    <col min="12043" max="12288" width="9.140625" style="2000"/>
    <col min="12289" max="12289" width="4.140625" style="2000" customWidth="1"/>
    <col min="12290" max="12290" width="34.42578125" style="2000" customWidth="1"/>
    <col min="12291" max="12291" width="6.42578125" style="2000" customWidth="1"/>
    <col min="12292" max="12292" width="13.5703125" style="2000" customWidth="1"/>
    <col min="12293" max="12293" width="16.85546875" style="2000" bestFit="1" customWidth="1"/>
    <col min="12294" max="12294" width="14.42578125" style="2000" customWidth="1"/>
    <col min="12295" max="12295" width="16.7109375" style="2000" customWidth="1"/>
    <col min="12296" max="12296" width="15.7109375" style="2000" customWidth="1"/>
    <col min="12297" max="12297" width="10.140625" style="2000" bestFit="1" customWidth="1"/>
    <col min="12298" max="12298" width="14" style="2000" bestFit="1" customWidth="1"/>
    <col min="12299" max="12544" width="9.140625" style="2000"/>
    <col min="12545" max="12545" width="4.140625" style="2000" customWidth="1"/>
    <col min="12546" max="12546" width="34.42578125" style="2000" customWidth="1"/>
    <col min="12547" max="12547" width="6.42578125" style="2000" customWidth="1"/>
    <col min="12548" max="12548" width="13.5703125" style="2000" customWidth="1"/>
    <col min="12549" max="12549" width="16.85546875" style="2000" bestFit="1" customWidth="1"/>
    <col min="12550" max="12550" width="14.42578125" style="2000" customWidth="1"/>
    <col min="12551" max="12551" width="16.7109375" style="2000" customWidth="1"/>
    <col min="12552" max="12552" width="15.7109375" style="2000" customWidth="1"/>
    <col min="12553" max="12553" width="10.140625" style="2000" bestFit="1" customWidth="1"/>
    <col min="12554" max="12554" width="14" style="2000" bestFit="1" customWidth="1"/>
    <col min="12555" max="12800" width="9.140625" style="2000"/>
    <col min="12801" max="12801" width="4.140625" style="2000" customWidth="1"/>
    <col min="12802" max="12802" width="34.42578125" style="2000" customWidth="1"/>
    <col min="12803" max="12803" width="6.42578125" style="2000" customWidth="1"/>
    <col min="12804" max="12804" width="13.5703125" style="2000" customWidth="1"/>
    <col min="12805" max="12805" width="16.85546875" style="2000" bestFit="1" customWidth="1"/>
    <col min="12806" max="12806" width="14.42578125" style="2000" customWidth="1"/>
    <col min="12807" max="12807" width="16.7109375" style="2000" customWidth="1"/>
    <col min="12808" max="12808" width="15.7109375" style="2000" customWidth="1"/>
    <col min="12809" max="12809" width="10.140625" style="2000" bestFit="1" customWidth="1"/>
    <col min="12810" max="12810" width="14" style="2000" bestFit="1" customWidth="1"/>
    <col min="12811" max="13056" width="9.140625" style="2000"/>
    <col min="13057" max="13057" width="4.140625" style="2000" customWidth="1"/>
    <col min="13058" max="13058" width="34.42578125" style="2000" customWidth="1"/>
    <col min="13059" max="13059" width="6.42578125" style="2000" customWidth="1"/>
    <col min="13060" max="13060" width="13.5703125" style="2000" customWidth="1"/>
    <col min="13061" max="13061" width="16.85546875" style="2000" bestFit="1" customWidth="1"/>
    <col min="13062" max="13062" width="14.42578125" style="2000" customWidth="1"/>
    <col min="13063" max="13063" width="16.7109375" style="2000" customWidth="1"/>
    <col min="13064" max="13064" width="15.7109375" style="2000" customWidth="1"/>
    <col min="13065" max="13065" width="10.140625" style="2000" bestFit="1" customWidth="1"/>
    <col min="13066" max="13066" width="14" style="2000" bestFit="1" customWidth="1"/>
    <col min="13067" max="13312" width="9.140625" style="2000"/>
    <col min="13313" max="13313" width="4.140625" style="2000" customWidth="1"/>
    <col min="13314" max="13314" width="34.42578125" style="2000" customWidth="1"/>
    <col min="13315" max="13315" width="6.42578125" style="2000" customWidth="1"/>
    <col min="13316" max="13316" width="13.5703125" style="2000" customWidth="1"/>
    <col min="13317" max="13317" width="16.85546875" style="2000" bestFit="1" customWidth="1"/>
    <col min="13318" max="13318" width="14.42578125" style="2000" customWidth="1"/>
    <col min="13319" max="13319" width="16.7109375" style="2000" customWidth="1"/>
    <col min="13320" max="13320" width="15.7109375" style="2000" customWidth="1"/>
    <col min="13321" max="13321" width="10.140625" style="2000" bestFit="1" customWidth="1"/>
    <col min="13322" max="13322" width="14" style="2000" bestFit="1" customWidth="1"/>
    <col min="13323" max="13568" width="9.140625" style="2000"/>
    <col min="13569" max="13569" width="4.140625" style="2000" customWidth="1"/>
    <col min="13570" max="13570" width="34.42578125" style="2000" customWidth="1"/>
    <col min="13571" max="13571" width="6.42578125" style="2000" customWidth="1"/>
    <col min="13572" max="13572" width="13.5703125" style="2000" customWidth="1"/>
    <col min="13573" max="13573" width="16.85546875" style="2000" bestFit="1" customWidth="1"/>
    <col min="13574" max="13574" width="14.42578125" style="2000" customWidth="1"/>
    <col min="13575" max="13575" width="16.7109375" style="2000" customWidth="1"/>
    <col min="13576" max="13576" width="15.7109375" style="2000" customWidth="1"/>
    <col min="13577" max="13577" width="10.140625" style="2000" bestFit="1" customWidth="1"/>
    <col min="13578" max="13578" width="14" style="2000" bestFit="1" customWidth="1"/>
    <col min="13579" max="13824" width="9.140625" style="2000"/>
    <col min="13825" max="13825" width="4.140625" style="2000" customWidth="1"/>
    <col min="13826" max="13826" width="34.42578125" style="2000" customWidth="1"/>
    <col min="13827" max="13827" width="6.42578125" style="2000" customWidth="1"/>
    <col min="13828" max="13828" width="13.5703125" style="2000" customWidth="1"/>
    <col min="13829" max="13829" width="16.85546875" style="2000" bestFit="1" customWidth="1"/>
    <col min="13830" max="13830" width="14.42578125" style="2000" customWidth="1"/>
    <col min="13831" max="13831" width="16.7109375" style="2000" customWidth="1"/>
    <col min="13832" max="13832" width="15.7109375" style="2000" customWidth="1"/>
    <col min="13833" max="13833" width="10.140625" style="2000" bestFit="1" customWidth="1"/>
    <col min="13834" max="13834" width="14" style="2000" bestFit="1" customWidth="1"/>
    <col min="13835" max="14080" width="9.140625" style="2000"/>
    <col min="14081" max="14081" width="4.140625" style="2000" customWidth="1"/>
    <col min="14082" max="14082" width="34.42578125" style="2000" customWidth="1"/>
    <col min="14083" max="14083" width="6.42578125" style="2000" customWidth="1"/>
    <col min="14084" max="14084" width="13.5703125" style="2000" customWidth="1"/>
    <col min="14085" max="14085" width="16.85546875" style="2000" bestFit="1" customWidth="1"/>
    <col min="14086" max="14086" width="14.42578125" style="2000" customWidth="1"/>
    <col min="14087" max="14087" width="16.7109375" style="2000" customWidth="1"/>
    <col min="14088" max="14088" width="15.7109375" style="2000" customWidth="1"/>
    <col min="14089" max="14089" width="10.140625" style="2000" bestFit="1" customWidth="1"/>
    <col min="14090" max="14090" width="14" style="2000" bestFit="1" customWidth="1"/>
    <col min="14091" max="14336" width="9.140625" style="2000"/>
    <col min="14337" max="14337" width="4.140625" style="2000" customWidth="1"/>
    <col min="14338" max="14338" width="34.42578125" style="2000" customWidth="1"/>
    <col min="14339" max="14339" width="6.42578125" style="2000" customWidth="1"/>
    <col min="14340" max="14340" width="13.5703125" style="2000" customWidth="1"/>
    <col min="14341" max="14341" width="16.85546875" style="2000" bestFit="1" customWidth="1"/>
    <col min="14342" max="14342" width="14.42578125" style="2000" customWidth="1"/>
    <col min="14343" max="14343" width="16.7109375" style="2000" customWidth="1"/>
    <col min="14344" max="14344" width="15.7109375" style="2000" customWidth="1"/>
    <col min="14345" max="14345" width="10.140625" style="2000" bestFit="1" customWidth="1"/>
    <col min="14346" max="14346" width="14" style="2000" bestFit="1" customWidth="1"/>
    <col min="14347" max="14592" width="9.140625" style="2000"/>
    <col min="14593" max="14593" width="4.140625" style="2000" customWidth="1"/>
    <col min="14594" max="14594" width="34.42578125" style="2000" customWidth="1"/>
    <col min="14595" max="14595" width="6.42578125" style="2000" customWidth="1"/>
    <col min="14596" max="14596" width="13.5703125" style="2000" customWidth="1"/>
    <col min="14597" max="14597" width="16.85546875" style="2000" bestFit="1" customWidth="1"/>
    <col min="14598" max="14598" width="14.42578125" style="2000" customWidth="1"/>
    <col min="14599" max="14599" width="16.7109375" style="2000" customWidth="1"/>
    <col min="14600" max="14600" width="15.7109375" style="2000" customWidth="1"/>
    <col min="14601" max="14601" width="10.140625" style="2000" bestFit="1" customWidth="1"/>
    <col min="14602" max="14602" width="14" style="2000" bestFit="1" customWidth="1"/>
    <col min="14603" max="14848" width="9.140625" style="2000"/>
    <col min="14849" max="14849" width="4.140625" style="2000" customWidth="1"/>
    <col min="14850" max="14850" width="34.42578125" style="2000" customWidth="1"/>
    <col min="14851" max="14851" width="6.42578125" style="2000" customWidth="1"/>
    <col min="14852" max="14852" width="13.5703125" style="2000" customWidth="1"/>
    <col min="14853" max="14853" width="16.85546875" style="2000" bestFit="1" customWidth="1"/>
    <col min="14854" max="14854" width="14.42578125" style="2000" customWidth="1"/>
    <col min="14855" max="14855" width="16.7109375" style="2000" customWidth="1"/>
    <col min="14856" max="14856" width="15.7109375" style="2000" customWidth="1"/>
    <col min="14857" max="14857" width="10.140625" style="2000" bestFit="1" customWidth="1"/>
    <col min="14858" max="14858" width="14" style="2000" bestFit="1" customWidth="1"/>
    <col min="14859" max="15104" width="9.140625" style="2000"/>
    <col min="15105" max="15105" width="4.140625" style="2000" customWidth="1"/>
    <col min="15106" max="15106" width="34.42578125" style="2000" customWidth="1"/>
    <col min="15107" max="15107" width="6.42578125" style="2000" customWidth="1"/>
    <col min="15108" max="15108" width="13.5703125" style="2000" customWidth="1"/>
    <col min="15109" max="15109" width="16.85546875" style="2000" bestFit="1" customWidth="1"/>
    <col min="15110" max="15110" width="14.42578125" style="2000" customWidth="1"/>
    <col min="15111" max="15111" width="16.7109375" style="2000" customWidth="1"/>
    <col min="15112" max="15112" width="15.7109375" style="2000" customWidth="1"/>
    <col min="15113" max="15113" width="10.140625" style="2000" bestFit="1" customWidth="1"/>
    <col min="15114" max="15114" width="14" style="2000" bestFit="1" customWidth="1"/>
    <col min="15115" max="15360" width="9.140625" style="2000"/>
    <col min="15361" max="15361" width="4.140625" style="2000" customWidth="1"/>
    <col min="15362" max="15362" width="34.42578125" style="2000" customWidth="1"/>
    <col min="15363" max="15363" width="6.42578125" style="2000" customWidth="1"/>
    <col min="15364" max="15364" width="13.5703125" style="2000" customWidth="1"/>
    <col min="15365" max="15365" width="16.85546875" style="2000" bestFit="1" customWidth="1"/>
    <col min="15366" max="15366" width="14.42578125" style="2000" customWidth="1"/>
    <col min="15367" max="15367" width="16.7109375" style="2000" customWidth="1"/>
    <col min="15368" max="15368" width="15.7109375" style="2000" customWidth="1"/>
    <col min="15369" max="15369" width="10.140625" style="2000" bestFit="1" customWidth="1"/>
    <col min="15370" max="15370" width="14" style="2000" bestFit="1" customWidth="1"/>
    <col min="15371" max="15616" width="9.140625" style="2000"/>
    <col min="15617" max="15617" width="4.140625" style="2000" customWidth="1"/>
    <col min="15618" max="15618" width="34.42578125" style="2000" customWidth="1"/>
    <col min="15619" max="15619" width="6.42578125" style="2000" customWidth="1"/>
    <col min="15620" max="15620" width="13.5703125" style="2000" customWidth="1"/>
    <col min="15621" max="15621" width="16.85546875" style="2000" bestFit="1" customWidth="1"/>
    <col min="15622" max="15622" width="14.42578125" style="2000" customWidth="1"/>
    <col min="15623" max="15623" width="16.7109375" style="2000" customWidth="1"/>
    <col min="15624" max="15624" width="15.7109375" style="2000" customWidth="1"/>
    <col min="15625" max="15625" width="10.140625" style="2000" bestFit="1" customWidth="1"/>
    <col min="15626" max="15626" width="14" style="2000" bestFit="1" customWidth="1"/>
    <col min="15627" max="15872" width="9.140625" style="2000"/>
    <col min="15873" max="15873" width="4.140625" style="2000" customWidth="1"/>
    <col min="15874" max="15874" width="34.42578125" style="2000" customWidth="1"/>
    <col min="15875" max="15875" width="6.42578125" style="2000" customWidth="1"/>
    <col min="15876" max="15876" width="13.5703125" style="2000" customWidth="1"/>
    <col min="15877" max="15877" width="16.85546875" style="2000" bestFit="1" customWidth="1"/>
    <col min="15878" max="15878" width="14.42578125" style="2000" customWidth="1"/>
    <col min="15879" max="15879" width="16.7109375" style="2000" customWidth="1"/>
    <col min="15880" max="15880" width="15.7109375" style="2000" customWidth="1"/>
    <col min="15881" max="15881" width="10.140625" style="2000" bestFit="1" customWidth="1"/>
    <col min="15882" max="15882" width="14" style="2000" bestFit="1" customWidth="1"/>
    <col min="15883" max="16128" width="9.140625" style="2000"/>
    <col min="16129" max="16129" width="4.140625" style="2000" customWidth="1"/>
    <col min="16130" max="16130" width="34.42578125" style="2000" customWidth="1"/>
    <col min="16131" max="16131" width="6.42578125" style="2000" customWidth="1"/>
    <col min="16132" max="16132" width="13.5703125" style="2000" customWidth="1"/>
    <col min="16133" max="16133" width="16.85546875" style="2000" bestFit="1" customWidth="1"/>
    <col min="16134" max="16134" width="14.42578125" style="2000" customWidth="1"/>
    <col min="16135" max="16135" width="16.7109375" style="2000" customWidth="1"/>
    <col min="16136" max="16136" width="15.7109375" style="2000" customWidth="1"/>
    <col min="16137" max="16137" width="10.140625" style="2000" bestFit="1" customWidth="1"/>
    <col min="16138" max="16138" width="14" style="2000" bestFit="1" customWidth="1"/>
    <col min="16139" max="16384" width="9.140625" style="2000"/>
  </cols>
  <sheetData>
    <row r="1" spans="1:14">
      <c r="C1" s="2001" t="s">
        <v>1201</v>
      </c>
      <c r="G1" s="2003" t="s">
        <v>1020</v>
      </c>
    </row>
    <row r="4" spans="1:14" ht="17.25" customHeight="1">
      <c r="A4" s="2005"/>
      <c r="B4" s="1999"/>
      <c r="C4" s="1999"/>
      <c r="D4" s="1999"/>
      <c r="E4" s="1999"/>
      <c r="F4" s="2006"/>
      <c r="G4" s="2006" t="s">
        <v>537</v>
      </c>
      <c r="H4" s="2006"/>
    </row>
    <row r="5" spans="1:14" s="2012" customFormat="1" ht="15.95" customHeight="1">
      <c r="A5" s="2007" t="s">
        <v>0</v>
      </c>
      <c r="B5" s="2007" t="s">
        <v>1105</v>
      </c>
      <c r="C5" s="2008" t="s">
        <v>99</v>
      </c>
      <c r="D5" s="2009" t="s">
        <v>1104</v>
      </c>
      <c r="E5" s="2009" t="s">
        <v>1103</v>
      </c>
      <c r="F5" s="2009" t="s">
        <v>39</v>
      </c>
      <c r="G5" s="2009" t="s">
        <v>242</v>
      </c>
      <c r="H5" s="2010"/>
      <c r="I5" s="2011"/>
      <c r="J5" s="2011"/>
      <c r="K5" s="2011"/>
      <c r="L5" s="2011"/>
      <c r="M5" s="2011"/>
      <c r="N5" s="2011"/>
    </row>
    <row r="6" spans="1:14" s="2018" customFormat="1">
      <c r="A6" s="2013">
        <v>1</v>
      </c>
      <c r="B6" s="2014" t="s">
        <v>1200</v>
      </c>
      <c r="C6" s="2015">
        <v>25</v>
      </c>
      <c r="D6" s="2015">
        <v>30150000</v>
      </c>
      <c r="E6" s="2015">
        <f t="shared" ref="E6:E24" si="0">D6*C6</f>
        <v>753750000</v>
      </c>
      <c r="F6" s="2015">
        <f t="shared" ref="F6:F24" si="1">+D6*112%</f>
        <v>33768000</v>
      </c>
      <c r="G6" s="2015">
        <f t="shared" ref="G6:G24" si="2">F6*C6</f>
        <v>844200000</v>
      </c>
      <c r="H6" s="2016"/>
      <c r="I6" s="2017"/>
      <c r="J6" s="2017"/>
      <c r="K6" s="2017"/>
      <c r="L6" s="2017"/>
      <c r="M6" s="2017"/>
      <c r="N6" s="2017"/>
    </row>
    <row r="7" spans="1:14" s="2018" customFormat="1">
      <c r="A7" s="2013">
        <v>2</v>
      </c>
      <c r="B7" s="2014" t="s">
        <v>1199</v>
      </c>
      <c r="C7" s="2015">
        <v>25</v>
      </c>
      <c r="D7" s="2015">
        <v>10000000</v>
      </c>
      <c r="E7" s="2015">
        <f t="shared" si="0"/>
        <v>250000000</v>
      </c>
      <c r="F7" s="2015">
        <f t="shared" si="1"/>
        <v>11200000.000000002</v>
      </c>
      <c r="G7" s="2015">
        <f t="shared" si="2"/>
        <v>280000000.00000006</v>
      </c>
      <c r="H7" s="2019"/>
      <c r="I7" s="2017"/>
      <c r="J7" s="2017"/>
      <c r="K7" s="2017"/>
      <c r="L7" s="2017"/>
      <c r="M7" s="2017"/>
      <c r="N7" s="2017"/>
    </row>
    <row r="8" spans="1:14" s="2018" customFormat="1">
      <c r="A8" s="2013">
        <v>3</v>
      </c>
      <c r="B8" s="2014" t="s">
        <v>1198</v>
      </c>
      <c r="C8" s="2015">
        <v>20</v>
      </c>
      <c r="D8" s="2015">
        <v>25500000</v>
      </c>
      <c r="E8" s="2015">
        <f t="shared" si="0"/>
        <v>510000000</v>
      </c>
      <c r="F8" s="2015">
        <f t="shared" si="1"/>
        <v>28560000.000000004</v>
      </c>
      <c r="G8" s="2015">
        <f t="shared" si="2"/>
        <v>571200000.00000012</v>
      </c>
      <c r="H8" s="2016"/>
      <c r="I8" s="2017"/>
      <c r="J8" s="2017"/>
      <c r="K8" s="2017"/>
      <c r="L8" s="2017"/>
      <c r="M8" s="2017"/>
      <c r="N8" s="2017"/>
    </row>
    <row r="9" spans="1:14" s="2018" customFormat="1">
      <c r="A9" s="2013">
        <v>4</v>
      </c>
      <c r="B9" s="2014" t="s">
        <v>1197</v>
      </c>
      <c r="C9" s="2015">
        <v>15</v>
      </c>
      <c r="D9" s="2015">
        <v>23500000</v>
      </c>
      <c r="E9" s="2015">
        <f t="shared" si="0"/>
        <v>352500000</v>
      </c>
      <c r="F9" s="2015">
        <f t="shared" si="1"/>
        <v>26320000.000000004</v>
      </c>
      <c r="G9" s="2015">
        <f t="shared" si="2"/>
        <v>394800000.00000006</v>
      </c>
      <c r="H9" s="2016"/>
      <c r="I9" s="2017"/>
      <c r="J9" s="2017"/>
      <c r="K9" s="2017"/>
      <c r="L9" s="2017"/>
      <c r="M9" s="2017"/>
      <c r="N9" s="2017"/>
    </row>
    <row r="10" spans="1:14" s="2018" customFormat="1">
      <c r="A10" s="2013">
        <v>5</v>
      </c>
      <c r="B10" s="2014" t="s">
        <v>1196</v>
      </c>
      <c r="C10" s="2015">
        <v>30</v>
      </c>
      <c r="D10" s="2015">
        <v>9850000</v>
      </c>
      <c r="E10" s="2015">
        <f t="shared" si="0"/>
        <v>295500000</v>
      </c>
      <c r="F10" s="2015">
        <f t="shared" si="1"/>
        <v>11032000.000000002</v>
      </c>
      <c r="G10" s="2015">
        <f t="shared" si="2"/>
        <v>330960000.00000006</v>
      </c>
      <c r="H10" s="2016"/>
      <c r="I10" s="2017"/>
      <c r="J10" s="2017"/>
      <c r="K10" s="2017"/>
      <c r="L10" s="2017"/>
      <c r="M10" s="2017"/>
      <c r="N10" s="2017"/>
    </row>
    <row r="11" spans="1:14" s="2018" customFormat="1">
      <c r="A11" s="2013">
        <v>6</v>
      </c>
      <c r="B11" s="2014" t="s">
        <v>1195</v>
      </c>
      <c r="C11" s="2015">
        <v>15</v>
      </c>
      <c r="D11" s="2015">
        <v>4200000</v>
      </c>
      <c r="E11" s="2015">
        <f t="shared" si="0"/>
        <v>63000000</v>
      </c>
      <c r="F11" s="2015">
        <f t="shared" si="1"/>
        <v>4704000</v>
      </c>
      <c r="G11" s="2015">
        <f t="shared" si="2"/>
        <v>70560000</v>
      </c>
      <c r="H11" s="2016"/>
      <c r="I11" s="2017"/>
      <c r="J11" s="2017"/>
      <c r="K11" s="2017"/>
      <c r="L11" s="2017"/>
      <c r="M11" s="2017"/>
      <c r="N11" s="2017"/>
    </row>
    <row r="12" spans="1:14" s="2018" customFormat="1">
      <c r="A12" s="2013">
        <v>7</v>
      </c>
      <c r="B12" s="2014" t="s">
        <v>1194</v>
      </c>
      <c r="C12" s="2015">
        <v>15</v>
      </c>
      <c r="D12" s="2015">
        <v>14800000</v>
      </c>
      <c r="E12" s="2015">
        <f t="shared" si="0"/>
        <v>222000000</v>
      </c>
      <c r="F12" s="2015">
        <f t="shared" si="1"/>
        <v>16576000.000000002</v>
      </c>
      <c r="G12" s="2015">
        <f t="shared" si="2"/>
        <v>248640000.00000003</v>
      </c>
      <c r="H12" s="2016"/>
      <c r="I12" s="2017"/>
      <c r="J12" s="2017"/>
      <c r="K12" s="2017"/>
      <c r="L12" s="2017"/>
      <c r="M12" s="2017"/>
      <c r="N12" s="2017"/>
    </row>
    <row r="13" spans="1:14" s="2018" customFormat="1">
      <c r="A13" s="2013">
        <v>8</v>
      </c>
      <c r="B13" s="2014" t="s">
        <v>1191</v>
      </c>
      <c r="C13" s="2015">
        <v>15</v>
      </c>
      <c r="D13" s="2015">
        <v>15200000</v>
      </c>
      <c r="E13" s="2015">
        <f t="shared" si="0"/>
        <v>228000000</v>
      </c>
      <c r="F13" s="2015">
        <f t="shared" si="1"/>
        <v>17024000</v>
      </c>
      <c r="G13" s="2015">
        <f t="shared" si="2"/>
        <v>255360000</v>
      </c>
      <c r="H13" s="2016"/>
      <c r="I13" s="2017"/>
      <c r="J13" s="2017"/>
      <c r="K13" s="2017"/>
      <c r="L13" s="2017"/>
      <c r="M13" s="2017"/>
      <c r="N13" s="2017"/>
    </row>
    <row r="14" spans="1:14" s="2018" customFormat="1">
      <c r="A14" s="2013">
        <v>9</v>
      </c>
      <c r="B14" s="2014" t="s">
        <v>1193</v>
      </c>
      <c r="C14" s="2015">
        <v>15</v>
      </c>
      <c r="D14" s="2015">
        <v>3500000</v>
      </c>
      <c r="E14" s="2015">
        <f t="shared" si="0"/>
        <v>52500000</v>
      </c>
      <c r="F14" s="2015">
        <f t="shared" si="1"/>
        <v>3920000.0000000005</v>
      </c>
      <c r="G14" s="2015">
        <f t="shared" si="2"/>
        <v>58800000.000000007</v>
      </c>
      <c r="H14" s="2016"/>
      <c r="I14" s="2017"/>
      <c r="J14" s="2017"/>
      <c r="K14" s="2017"/>
      <c r="L14" s="2017"/>
      <c r="M14" s="2017"/>
      <c r="N14" s="2017"/>
    </row>
    <row r="15" spans="1:14" s="2018" customFormat="1">
      <c r="A15" s="2013">
        <v>10</v>
      </c>
      <c r="B15" s="2014" t="s">
        <v>1192</v>
      </c>
      <c r="C15" s="2015">
        <v>14</v>
      </c>
      <c r="D15" s="2015">
        <v>9000000</v>
      </c>
      <c r="E15" s="2015">
        <f t="shared" si="0"/>
        <v>126000000</v>
      </c>
      <c r="F15" s="2015">
        <f t="shared" si="1"/>
        <v>10080000.000000002</v>
      </c>
      <c r="G15" s="2015">
        <f t="shared" si="2"/>
        <v>141120000.00000003</v>
      </c>
      <c r="H15" s="2016"/>
      <c r="I15" s="2017"/>
      <c r="J15" s="2017"/>
      <c r="K15" s="2017"/>
      <c r="L15" s="2017"/>
      <c r="M15" s="2017"/>
      <c r="N15" s="2017"/>
    </row>
    <row r="16" spans="1:14" s="2018" customFormat="1">
      <c r="A16" s="2013">
        <v>11</v>
      </c>
      <c r="B16" s="2014" t="s">
        <v>1191</v>
      </c>
      <c r="C16" s="2015">
        <v>15</v>
      </c>
      <c r="D16" s="2015">
        <v>45000000</v>
      </c>
      <c r="E16" s="2015">
        <f t="shared" si="0"/>
        <v>675000000</v>
      </c>
      <c r="F16" s="2015">
        <f t="shared" si="1"/>
        <v>50400000.000000007</v>
      </c>
      <c r="G16" s="2015">
        <f t="shared" si="2"/>
        <v>756000000.00000012</v>
      </c>
      <c r="H16" s="2016"/>
      <c r="I16" s="2017"/>
      <c r="J16" s="2017"/>
      <c r="K16" s="2017"/>
      <c r="L16" s="2017"/>
      <c r="M16" s="2017"/>
      <c r="N16" s="2017"/>
    </row>
    <row r="17" spans="1:14" s="2018" customFormat="1" ht="33">
      <c r="A17" s="2013">
        <v>12</v>
      </c>
      <c r="B17" s="2014" t="s">
        <v>1190</v>
      </c>
      <c r="C17" s="2015">
        <v>25</v>
      </c>
      <c r="D17" s="2015">
        <v>6500000</v>
      </c>
      <c r="E17" s="2015">
        <f t="shared" si="0"/>
        <v>162500000</v>
      </c>
      <c r="F17" s="2015">
        <f t="shared" si="1"/>
        <v>7280000.0000000009</v>
      </c>
      <c r="G17" s="2015">
        <f t="shared" si="2"/>
        <v>182000000.00000003</v>
      </c>
      <c r="H17" s="2016"/>
      <c r="I17" s="2017"/>
      <c r="J17" s="2017"/>
      <c r="K17" s="2017"/>
      <c r="L17" s="2017"/>
      <c r="M17" s="2017"/>
      <c r="N17" s="2017"/>
    </row>
    <row r="18" spans="1:14" s="2018" customFormat="1" ht="33">
      <c r="A18" s="2013">
        <v>13</v>
      </c>
      <c r="B18" s="2014" t="s">
        <v>1189</v>
      </c>
      <c r="C18" s="2015">
        <v>15</v>
      </c>
      <c r="D18" s="2015">
        <v>6400000</v>
      </c>
      <c r="E18" s="2015">
        <f t="shared" si="0"/>
        <v>96000000</v>
      </c>
      <c r="F18" s="2015">
        <f t="shared" si="1"/>
        <v>7168000.0000000009</v>
      </c>
      <c r="G18" s="2015">
        <f t="shared" si="2"/>
        <v>107520000.00000001</v>
      </c>
      <c r="H18" s="2016"/>
      <c r="I18" s="2017"/>
      <c r="J18" s="2017"/>
      <c r="K18" s="2017"/>
      <c r="L18" s="2017"/>
      <c r="M18" s="2017"/>
      <c r="N18" s="2017"/>
    </row>
    <row r="19" spans="1:14" s="2018" customFormat="1" ht="33">
      <c r="A19" s="2013">
        <v>14</v>
      </c>
      <c r="B19" s="2014" t="s">
        <v>1188</v>
      </c>
      <c r="C19" s="2015">
        <v>20</v>
      </c>
      <c r="D19" s="2015">
        <v>20500000</v>
      </c>
      <c r="E19" s="2015">
        <f t="shared" si="0"/>
        <v>410000000</v>
      </c>
      <c r="F19" s="2015">
        <f t="shared" si="1"/>
        <v>22960000.000000004</v>
      </c>
      <c r="G19" s="2015">
        <f t="shared" si="2"/>
        <v>459200000.00000006</v>
      </c>
      <c r="H19" s="2016"/>
      <c r="I19" s="2017"/>
      <c r="J19" s="2017"/>
      <c r="K19" s="2017"/>
      <c r="L19" s="2017"/>
      <c r="M19" s="2017"/>
      <c r="N19" s="2017"/>
    </row>
    <row r="20" spans="1:14" s="2018" customFormat="1" ht="33">
      <c r="A20" s="2013">
        <v>15</v>
      </c>
      <c r="B20" s="2014" t="s">
        <v>1187</v>
      </c>
      <c r="C20" s="2015">
        <v>10</v>
      </c>
      <c r="D20" s="2015">
        <v>8500000</v>
      </c>
      <c r="E20" s="2015">
        <f t="shared" si="0"/>
        <v>85000000</v>
      </c>
      <c r="F20" s="2015">
        <f t="shared" si="1"/>
        <v>9520000</v>
      </c>
      <c r="G20" s="2015">
        <f t="shared" si="2"/>
        <v>95200000</v>
      </c>
      <c r="H20" s="2016"/>
      <c r="I20" s="2017"/>
      <c r="J20" s="2017"/>
      <c r="K20" s="2017"/>
      <c r="L20" s="2017"/>
      <c r="M20" s="2017"/>
      <c r="N20" s="2017"/>
    </row>
    <row r="21" spans="1:14" s="2018" customFormat="1">
      <c r="A21" s="2013">
        <v>16</v>
      </c>
      <c r="B21" s="2014" t="s">
        <v>1186</v>
      </c>
      <c r="C21" s="2015">
        <v>15</v>
      </c>
      <c r="D21" s="2015">
        <v>3500000</v>
      </c>
      <c r="E21" s="2015">
        <f t="shared" si="0"/>
        <v>52500000</v>
      </c>
      <c r="F21" s="2015">
        <f t="shared" si="1"/>
        <v>3920000.0000000005</v>
      </c>
      <c r="G21" s="2015">
        <f t="shared" si="2"/>
        <v>58800000.000000007</v>
      </c>
      <c r="H21" s="2016"/>
      <c r="I21" s="2017"/>
      <c r="J21" s="2017"/>
      <c r="K21" s="2017"/>
      <c r="L21" s="2017"/>
      <c r="M21" s="2017"/>
      <c r="N21" s="2017"/>
    </row>
    <row r="22" spans="1:14" s="2018" customFormat="1" ht="33">
      <c r="A22" s="2013">
        <v>17</v>
      </c>
      <c r="B22" s="2014" t="s">
        <v>1185</v>
      </c>
      <c r="C22" s="2015">
        <v>5</v>
      </c>
      <c r="D22" s="2015">
        <v>30000000</v>
      </c>
      <c r="E22" s="2015">
        <f t="shared" si="0"/>
        <v>150000000</v>
      </c>
      <c r="F22" s="2015">
        <f t="shared" si="1"/>
        <v>33600000</v>
      </c>
      <c r="G22" s="2015">
        <f t="shared" si="2"/>
        <v>168000000</v>
      </c>
      <c r="H22" s="2016"/>
      <c r="I22" s="2017"/>
      <c r="J22" s="2017"/>
      <c r="K22" s="2017"/>
      <c r="L22" s="2017"/>
      <c r="M22" s="2017"/>
      <c r="N22" s="2017"/>
    </row>
    <row r="23" spans="1:14" s="2018" customFormat="1">
      <c r="A23" s="2013">
        <v>18</v>
      </c>
      <c r="B23" s="2014" t="s">
        <v>1184</v>
      </c>
      <c r="C23" s="2015">
        <v>15</v>
      </c>
      <c r="D23" s="2015">
        <v>2500000</v>
      </c>
      <c r="E23" s="2015">
        <f t="shared" si="0"/>
        <v>37500000</v>
      </c>
      <c r="F23" s="2015">
        <f t="shared" si="1"/>
        <v>2800000.0000000005</v>
      </c>
      <c r="G23" s="2015">
        <f t="shared" si="2"/>
        <v>42000000.000000007</v>
      </c>
      <c r="H23" s="2016"/>
      <c r="I23" s="2017"/>
      <c r="J23" s="2017"/>
      <c r="K23" s="2017"/>
      <c r="L23" s="2017"/>
      <c r="M23" s="2017"/>
      <c r="N23" s="2017"/>
    </row>
    <row r="24" spans="1:14" s="2018" customFormat="1">
      <c r="A24" s="2013">
        <v>19</v>
      </c>
      <c r="B24" s="2014" t="s">
        <v>1183</v>
      </c>
      <c r="C24" s="2015">
        <v>12</v>
      </c>
      <c r="D24" s="2015">
        <v>8400000</v>
      </c>
      <c r="E24" s="2015">
        <f t="shared" si="0"/>
        <v>100800000</v>
      </c>
      <c r="F24" s="2015">
        <f t="shared" si="1"/>
        <v>9408000</v>
      </c>
      <c r="G24" s="2015">
        <f t="shared" si="2"/>
        <v>112896000</v>
      </c>
      <c r="H24" s="2016"/>
      <c r="I24" s="2017"/>
      <c r="J24" s="2017"/>
      <c r="K24" s="2017"/>
      <c r="L24" s="2017"/>
      <c r="M24" s="2017"/>
      <c r="N24" s="2017"/>
    </row>
    <row r="25" spans="1:14" s="2018" customFormat="1" ht="33">
      <c r="A25" s="2013">
        <v>20</v>
      </c>
      <c r="B25" s="2014" t="s">
        <v>1182</v>
      </c>
      <c r="C25" s="2015">
        <v>10</v>
      </c>
      <c r="D25" s="2015"/>
      <c r="E25" s="2015">
        <v>300000000</v>
      </c>
      <c r="F25" s="2015">
        <f>+D25*107.5%</f>
        <v>0</v>
      </c>
      <c r="G25" s="2015">
        <v>500000000</v>
      </c>
      <c r="H25" s="2016"/>
      <c r="I25" s="2017"/>
      <c r="J25" s="2017"/>
      <c r="K25" s="2017"/>
      <c r="L25" s="2017"/>
      <c r="M25" s="2017"/>
      <c r="N25" s="2017"/>
    </row>
    <row r="26" spans="1:14" s="2023" customFormat="1" ht="15.95" customHeight="1">
      <c r="A26" s="2678" t="s">
        <v>1094</v>
      </c>
      <c r="B26" s="2679"/>
      <c r="C26" s="2020"/>
      <c r="D26" s="2021"/>
      <c r="E26" s="2021">
        <f>SUM(E6:E25)</f>
        <v>4922550000</v>
      </c>
      <c r="F26" s="2021"/>
      <c r="G26" s="2021">
        <f>SUM(G6:G25)</f>
        <v>5677256000</v>
      </c>
      <c r="H26" s="2022"/>
    </row>
    <row r="27" spans="1:14" s="2025" customFormat="1">
      <c r="A27" s="2024" t="s">
        <v>1181</v>
      </c>
      <c r="C27" s="2026"/>
      <c r="D27" s="2026"/>
      <c r="E27" s="2026">
        <f>G26</f>
        <v>5677256000</v>
      </c>
      <c r="F27" s="2027" t="s">
        <v>1092</v>
      </c>
      <c r="G27" s="2027"/>
      <c r="I27" s="2023"/>
      <c r="J27" s="2023"/>
      <c r="K27" s="2023"/>
      <c r="L27" s="2023"/>
      <c r="M27" s="2023"/>
      <c r="N27" s="2023"/>
    </row>
    <row r="28" spans="1:14" s="2025" customFormat="1">
      <c r="A28" s="2024" t="s">
        <v>1180</v>
      </c>
      <c r="C28" s="2026"/>
      <c r="D28" s="2026"/>
      <c r="E28" s="2026">
        <f>SUM(E29:E31)</f>
        <v>5202550000</v>
      </c>
      <c r="F28" s="2027" t="s">
        <v>1080</v>
      </c>
      <c r="G28" s="2027"/>
      <c r="I28" s="2023"/>
      <c r="J28" s="2028"/>
      <c r="K28" s="2023"/>
      <c r="L28" s="2023"/>
      <c r="M28" s="2023"/>
      <c r="N28" s="2023"/>
    </row>
    <row r="29" spans="1:14">
      <c r="A29" s="2029" t="s">
        <v>1179</v>
      </c>
      <c r="C29" s="2026"/>
      <c r="D29" s="2030"/>
      <c r="E29" s="2030">
        <f>E26</f>
        <v>4922550000</v>
      </c>
      <c r="F29" s="2002" t="s">
        <v>1080</v>
      </c>
      <c r="J29" s="2031"/>
    </row>
    <row r="30" spans="1:14">
      <c r="A30" s="2029" t="s">
        <v>1178</v>
      </c>
      <c r="C30" s="2026"/>
      <c r="D30" s="2030"/>
      <c r="E30" s="2030">
        <v>80000000</v>
      </c>
      <c r="F30" s="2002" t="s">
        <v>1080</v>
      </c>
    </row>
    <row r="31" spans="1:14" ht="32.25" customHeight="1">
      <c r="A31" s="2677" t="s">
        <v>1177</v>
      </c>
      <c r="B31" s="2677"/>
      <c r="C31" s="2026"/>
      <c r="D31" s="2030"/>
      <c r="E31" s="2032">
        <v>200000000</v>
      </c>
      <c r="F31" s="2033" t="s">
        <v>1080</v>
      </c>
      <c r="H31" s="2034">
        <f>+ROUND(E33,1)</f>
        <v>2167729166.6999998</v>
      </c>
    </row>
    <row r="32" spans="1:14" s="2025" customFormat="1">
      <c r="A32" s="2035" t="s">
        <v>1087</v>
      </c>
      <c r="C32" s="2026"/>
      <c r="D32" s="2036"/>
      <c r="E32" s="2037" t="s">
        <v>1176</v>
      </c>
      <c r="F32" s="2027" t="s">
        <v>1085</v>
      </c>
      <c r="G32" s="2038"/>
      <c r="I32" s="2023"/>
      <c r="J32" s="2023"/>
      <c r="K32" s="2023"/>
      <c r="L32" s="2023"/>
      <c r="M32" s="2023"/>
      <c r="N32" s="2023"/>
    </row>
    <row r="33" spans="1:14" s="2025" customFormat="1">
      <c r="A33" s="2025" t="s">
        <v>1084</v>
      </c>
      <c r="C33" s="2026"/>
      <c r="D33" s="2026"/>
      <c r="E33" s="2026">
        <f>ROUND(E28/E32,1)</f>
        <v>2167729166.6999998</v>
      </c>
      <c r="F33" s="2027" t="s">
        <v>1080</v>
      </c>
      <c r="G33" s="2027"/>
      <c r="H33" s="2039">
        <f>+E34/E33</f>
        <v>0.12350674189966825</v>
      </c>
      <c r="I33" s="2023"/>
      <c r="J33" s="2023"/>
      <c r="K33" s="2023"/>
      <c r="L33" s="2023"/>
      <c r="M33" s="2023"/>
      <c r="N33" s="2023"/>
    </row>
    <row r="34" spans="1:14" s="2025" customFormat="1">
      <c r="A34" s="2025" t="s">
        <v>1083</v>
      </c>
      <c r="C34" s="2026"/>
      <c r="D34" s="2026"/>
      <c r="E34" s="2026">
        <f>E33-E35</f>
        <v>267729166.69999981</v>
      </c>
      <c r="F34" s="2027" t="s">
        <v>1080</v>
      </c>
      <c r="G34" s="2040"/>
      <c r="I34" s="2023"/>
      <c r="J34" s="2041">
        <f>E34/E33</f>
        <v>0.12350674189966825</v>
      </c>
      <c r="K34" s="2023"/>
      <c r="L34" s="2023"/>
      <c r="M34" s="2023"/>
      <c r="N34" s="2023"/>
    </row>
    <row r="35" spans="1:14" s="2025" customFormat="1">
      <c r="A35" s="2025" t="s">
        <v>1082</v>
      </c>
      <c r="C35" s="2026"/>
      <c r="D35" s="2026"/>
      <c r="E35" s="2026">
        <v>1900000000</v>
      </c>
      <c r="F35" s="2027" t="s">
        <v>1080</v>
      </c>
      <c r="G35" s="2027"/>
      <c r="I35" s="2023"/>
      <c r="J35" s="2023"/>
      <c r="K35" s="2023"/>
      <c r="L35" s="2023"/>
      <c r="M35" s="2023"/>
      <c r="N35" s="2023"/>
    </row>
    <row r="36" spans="1:14" s="2025" customFormat="1">
      <c r="A36" s="2025" t="s">
        <v>560</v>
      </c>
      <c r="C36" s="2026"/>
      <c r="D36" s="2026"/>
      <c r="E36" s="2042">
        <f>+(E34/E33)*100</f>
        <v>12.350674189966824</v>
      </c>
      <c r="F36" s="2027" t="s">
        <v>90</v>
      </c>
      <c r="G36" s="2027"/>
      <c r="I36" s="2023"/>
      <c r="J36" s="2023"/>
      <c r="K36" s="2023"/>
      <c r="L36" s="2023"/>
      <c r="M36" s="2023"/>
      <c r="N36" s="2023"/>
    </row>
    <row r="37" spans="1:14" s="2025" customFormat="1">
      <c r="A37" s="2025" t="s">
        <v>1175</v>
      </c>
      <c r="C37" s="2026"/>
      <c r="D37" s="2026"/>
      <c r="E37" s="2026">
        <f>+E35*7%</f>
        <v>133000000.00000001</v>
      </c>
      <c r="F37" s="2027" t="s">
        <v>1080</v>
      </c>
      <c r="G37" s="2027"/>
      <c r="I37" s="2023"/>
      <c r="J37" s="2023"/>
      <c r="K37" s="2023"/>
      <c r="L37" s="2023"/>
      <c r="M37" s="2023"/>
      <c r="N37" s="2023"/>
    </row>
    <row r="38" spans="1:14" s="2025" customFormat="1">
      <c r="A38" s="2025" t="s">
        <v>1174</v>
      </c>
      <c r="C38" s="2026"/>
      <c r="D38" s="2026"/>
      <c r="E38" s="2026">
        <f>E37*J38</f>
        <v>13300000.000000002</v>
      </c>
      <c r="F38" s="2027" t="s">
        <v>1080</v>
      </c>
      <c r="G38" s="2027"/>
      <c r="I38" s="2023"/>
      <c r="J38" s="2043">
        <v>0.1</v>
      </c>
      <c r="K38" s="2023"/>
      <c r="L38" s="2023"/>
      <c r="M38" s="2023"/>
      <c r="N38" s="2023"/>
    </row>
    <row r="39" spans="1:14" s="2025" customFormat="1">
      <c r="A39" s="2025" t="s">
        <v>22</v>
      </c>
      <c r="C39" s="2026"/>
      <c r="D39" s="2026"/>
      <c r="E39" s="2026">
        <f>+E28+E37+E38</f>
        <v>5348850000</v>
      </c>
      <c r="F39" s="2027" t="s">
        <v>1080</v>
      </c>
      <c r="G39" s="2027"/>
      <c r="I39" s="2023"/>
      <c r="J39" s="2043"/>
      <c r="K39" s="2023"/>
      <c r="L39" s="2023"/>
      <c r="M39" s="2023"/>
      <c r="N39" s="2023"/>
    </row>
    <row r="40" spans="1:14" s="2025" customFormat="1">
      <c r="A40" s="2025" t="s">
        <v>1081</v>
      </c>
      <c r="C40" s="2026"/>
      <c r="D40" s="2026"/>
      <c r="E40" s="2026">
        <f>E27-E28-E37-E38</f>
        <v>328406000</v>
      </c>
      <c r="F40" s="2027" t="s">
        <v>1080</v>
      </c>
      <c r="G40" s="2027"/>
      <c r="H40" s="2044">
        <f>+E40/E34</f>
        <v>1.226635125518434</v>
      </c>
      <c r="I40" s="2023"/>
      <c r="J40" s="2028">
        <f>E40/12</f>
        <v>27367166.666666668</v>
      </c>
      <c r="K40" s="2023"/>
      <c r="L40" s="2023"/>
      <c r="M40" s="2023"/>
      <c r="N40" s="2023"/>
    </row>
  </sheetData>
  <mergeCells count="2">
    <mergeCell ref="A31:B31"/>
    <mergeCell ref="A26:B26"/>
  </mergeCells>
  <pageMargins left="0.23622047244094491" right="0" top="0.23622047244094491" bottom="0.23622047244094491" header="0.51181102362204722" footer="0.51181102362204722"/>
  <pageSetup paperSize="9" scale="95"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J124"/>
  <sheetViews>
    <sheetView workbookViewId="0">
      <selection activeCell="C2" sqref="C2"/>
    </sheetView>
  </sheetViews>
  <sheetFormatPr defaultRowHeight="16.5"/>
  <cols>
    <col min="1" max="1" width="5.7109375" style="311" bestFit="1" customWidth="1"/>
    <col min="2" max="2" width="29.42578125" style="311" bestFit="1" customWidth="1"/>
    <col min="3" max="3" width="13.7109375" style="311" bestFit="1" customWidth="1"/>
    <col min="4" max="4" width="6.85546875" style="311" bestFit="1" customWidth="1"/>
    <col min="5" max="5" width="8.42578125" style="311" bestFit="1" customWidth="1"/>
    <col min="6" max="6" width="14.85546875" style="311" bestFit="1" customWidth="1"/>
    <col min="7" max="7" width="17.42578125" style="311" bestFit="1" customWidth="1"/>
    <col min="8" max="8" width="18.85546875" style="311" bestFit="1" customWidth="1"/>
    <col min="9" max="9" width="15.7109375" style="311" bestFit="1" customWidth="1"/>
    <col min="10" max="10" width="19.140625" style="311" bestFit="1" customWidth="1"/>
    <col min="11" max="16384" width="9.140625" style="311"/>
  </cols>
  <sheetData>
    <row r="1" spans="1:10">
      <c r="C1" s="311" t="s">
        <v>753</v>
      </c>
      <c r="G1" s="309" t="s">
        <v>1020</v>
      </c>
    </row>
    <row r="4" spans="1:10" ht="33">
      <c r="A4" s="295" t="s">
        <v>97</v>
      </c>
      <c r="B4" s="295" t="s">
        <v>671</v>
      </c>
      <c r="C4" s="295" t="s">
        <v>672</v>
      </c>
      <c r="D4" s="295" t="s">
        <v>100</v>
      </c>
      <c r="E4" s="2355" t="s">
        <v>673</v>
      </c>
      <c r="F4" s="325" t="s">
        <v>674</v>
      </c>
      <c r="G4" s="325" t="s">
        <v>675</v>
      </c>
      <c r="H4" s="325" t="s">
        <v>676</v>
      </c>
    </row>
    <row r="5" spans="1:10">
      <c r="A5" s="295" t="s">
        <v>109</v>
      </c>
      <c r="B5" s="295" t="s">
        <v>677</v>
      </c>
      <c r="C5" s="295"/>
      <c r="D5" s="295"/>
      <c r="E5" s="2355"/>
      <c r="F5" s="325"/>
      <c r="G5" s="325"/>
      <c r="H5" s="325">
        <f>SUM(H6:H67)</f>
        <v>18300000000</v>
      </c>
      <c r="I5" s="471">
        <f>H5-J7</f>
        <v>0</v>
      </c>
      <c r="J5" s="311">
        <v>8800000000</v>
      </c>
    </row>
    <row r="6" spans="1:10">
      <c r="A6" s="299">
        <v>1</v>
      </c>
      <c r="B6" s="326" t="s">
        <v>678</v>
      </c>
      <c r="C6" s="326" t="s">
        <v>679</v>
      </c>
      <c r="D6" s="299" t="s">
        <v>244</v>
      </c>
      <c r="E6" s="299">
        <v>61</v>
      </c>
      <c r="F6" s="327">
        <v>5550000</v>
      </c>
      <c r="G6" s="327">
        <f>E6*F6</f>
        <v>338550000</v>
      </c>
      <c r="H6" s="327">
        <f>G6*2</f>
        <v>677100000</v>
      </c>
      <c r="I6" s="311">
        <f>E6+5</f>
        <v>66</v>
      </c>
      <c r="J6" s="311">
        <v>2</v>
      </c>
    </row>
    <row r="7" spans="1:10">
      <c r="A7" s="299">
        <v>2</v>
      </c>
      <c r="B7" s="326" t="s">
        <v>680</v>
      </c>
      <c r="C7" s="326" t="s">
        <v>681</v>
      </c>
      <c r="D7" s="299" t="s">
        <v>244</v>
      </c>
      <c r="E7" s="299">
        <v>61</v>
      </c>
      <c r="F7" s="327">
        <v>4600000</v>
      </c>
      <c r="G7" s="327">
        <f t="shared" ref="G7:G60" si="0">E7*F7</f>
        <v>280600000</v>
      </c>
      <c r="H7" s="327">
        <f t="shared" ref="H7:H62" si="1">G7*2</f>
        <v>561200000</v>
      </c>
      <c r="I7" s="311">
        <f t="shared" ref="I7:I60" si="2">E7+5</f>
        <v>66</v>
      </c>
      <c r="J7" s="471">
        <f>J5*J6+H65+H64</f>
        <v>18300000000</v>
      </c>
    </row>
    <row r="8" spans="1:10">
      <c r="A8" s="299">
        <v>3</v>
      </c>
      <c r="B8" s="326" t="s">
        <v>682</v>
      </c>
      <c r="C8" s="326" t="s">
        <v>683</v>
      </c>
      <c r="D8" s="299" t="s">
        <v>244</v>
      </c>
      <c r="E8" s="299">
        <v>80</v>
      </c>
      <c r="F8" s="327">
        <v>3200000</v>
      </c>
      <c r="G8" s="327">
        <f t="shared" si="0"/>
        <v>256000000</v>
      </c>
      <c r="H8" s="327">
        <f t="shared" si="1"/>
        <v>512000000</v>
      </c>
      <c r="I8" s="311">
        <f t="shared" si="2"/>
        <v>85</v>
      </c>
    </row>
    <row r="9" spans="1:10">
      <c r="A9" s="299">
        <v>4</v>
      </c>
      <c r="B9" s="326" t="s">
        <v>684</v>
      </c>
      <c r="C9" s="326" t="s">
        <v>683</v>
      </c>
      <c r="D9" s="299" t="s">
        <v>244</v>
      </c>
      <c r="E9" s="299">
        <v>70</v>
      </c>
      <c r="F9" s="327">
        <v>2200000</v>
      </c>
      <c r="G9" s="327">
        <f t="shared" si="0"/>
        <v>154000000</v>
      </c>
      <c r="H9" s="327">
        <f t="shared" si="1"/>
        <v>308000000</v>
      </c>
      <c r="I9" s="311">
        <f t="shared" si="2"/>
        <v>75</v>
      </c>
    </row>
    <row r="10" spans="1:10">
      <c r="A10" s="299">
        <v>5</v>
      </c>
      <c r="B10" s="326" t="s">
        <v>685</v>
      </c>
      <c r="C10" s="326" t="s">
        <v>686</v>
      </c>
      <c r="D10" s="299" t="s">
        <v>244</v>
      </c>
      <c r="E10" s="299">
        <v>20</v>
      </c>
      <c r="F10" s="327">
        <v>2900000</v>
      </c>
      <c r="G10" s="327">
        <f t="shared" si="0"/>
        <v>58000000</v>
      </c>
      <c r="H10" s="327">
        <f t="shared" si="1"/>
        <v>116000000</v>
      </c>
      <c r="I10" s="311">
        <f t="shared" si="2"/>
        <v>25</v>
      </c>
    </row>
    <row r="11" spans="1:10">
      <c r="A11" s="299">
        <v>6</v>
      </c>
      <c r="B11" s="326" t="s">
        <v>687</v>
      </c>
      <c r="C11" s="326" t="s">
        <v>686</v>
      </c>
      <c r="D11" s="299" t="s">
        <v>244</v>
      </c>
      <c r="E11" s="299">
        <v>37</v>
      </c>
      <c r="F11" s="327">
        <v>7600000</v>
      </c>
      <c r="G11" s="327">
        <f t="shared" si="0"/>
        <v>281200000</v>
      </c>
      <c r="H11" s="327">
        <f t="shared" si="1"/>
        <v>562400000</v>
      </c>
      <c r="I11" s="311">
        <f t="shared" si="2"/>
        <v>42</v>
      </c>
    </row>
    <row r="12" spans="1:10">
      <c r="A12" s="299">
        <v>7</v>
      </c>
      <c r="B12" s="326" t="s">
        <v>688</v>
      </c>
      <c r="C12" s="326" t="s">
        <v>686</v>
      </c>
      <c r="D12" s="299" t="s">
        <v>244</v>
      </c>
      <c r="E12" s="299">
        <v>59</v>
      </c>
      <c r="F12" s="327">
        <v>7100000</v>
      </c>
      <c r="G12" s="327">
        <f t="shared" si="0"/>
        <v>418900000</v>
      </c>
      <c r="H12" s="327">
        <f t="shared" si="1"/>
        <v>837800000</v>
      </c>
      <c r="I12" s="311">
        <f t="shared" si="2"/>
        <v>64</v>
      </c>
    </row>
    <row r="13" spans="1:10">
      <c r="A13" s="299">
        <v>8</v>
      </c>
      <c r="B13" s="326" t="s">
        <v>689</v>
      </c>
      <c r="C13" s="326" t="s">
        <v>690</v>
      </c>
      <c r="D13" s="299" t="s">
        <v>244</v>
      </c>
      <c r="E13" s="299">
        <v>55</v>
      </c>
      <c r="F13" s="327">
        <v>700000</v>
      </c>
      <c r="G13" s="327">
        <f t="shared" si="0"/>
        <v>38500000</v>
      </c>
      <c r="H13" s="327">
        <f t="shared" si="1"/>
        <v>77000000</v>
      </c>
      <c r="I13" s="311">
        <f t="shared" si="2"/>
        <v>60</v>
      </c>
    </row>
    <row r="14" spans="1:10">
      <c r="A14" s="299">
        <v>9</v>
      </c>
      <c r="B14" s="326" t="s">
        <v>691</v>
      </c>
      <c r="C14" s="326" t="s">
        <v>690</v>
      </c>
      <c r="D14" s="299" t="s">
        <v>244</v>
      </c>
      <c r="E14" s="299">
        <v>43</v>
      </c>
      <c r="F14" s="327">
        <v>800000</v>
      </c>
      <c r="G14" s="327">
        <f t="shared" si="0"/>
        <v>34400000</v>
      </c>
      <c r="H14" s="327">
        <f t="shared" si="1"/>
        <v>68800000</v>
      </c>
      <c r="I14" s="311">
        <f t="shared" si="2"/>
        <v>48</v>
      </c>
    </row>
    <row r="15" spans="1:10">
      <c r="A15" s="299">
        <v>10</v>
      </c>
      <c r="B15" s="326" t="s">
        <v>692</v>
      </c>
      <c r="C15" s="326" t="s">
        <v>690</v>
      </c>
      <c r="D15" s="299" t="s">
        <v>244</v>
      </c>
      <c r="E15" s="299">
        <v>19</v>
      </c>
      <c r="F15" s="327">
        <v>1050000</v>
      </c>
      <c r="G15" s="327">
        <f t="shared" si="0"/>
        <v>19950000</v>
      </c>
      <c r="H15" s="327">
        <f t="shared" si="1"/>
        <v>39900000</v>
      </c>
      <c r="I15" s="311">
        <f t="shared" si="2"/>
        <v>24</v>
      </c>
    </row>
    <row r="16" spans="1:10">
      <c r="A16" s="299">
        <v>11</v>
      </c>
      <c r="B16" s="326" t="s">
        <v>693</v>
      </c>
      <c r="C16" s="326" t="s">
        <v>690</v>
      </c>
      <c r="D16" s="299" t="s">
        <v>244</v>
      </c>
      <c r="E16" s="299">
        <v>67</v>
      </c>
      <c r="F16" s="327">
        <v>256000</v>
      </c>
      <c r="G16" s="327">
        <f t="shared" si="0"/>
        <v>17152000</v>
      </c>
      <c r="H16" s="327">
        <f t="shared" si="1"/>
        <v>34304000</v>
      </c>
      <c r="I16" s="311">
        <f t="shared" si="2"/>
        <v>72</v>
      </c>
    </row>
    <row r="17" spans="1:9">
      <c r="A17" s="299">
        <v>12</v>
      </c>
      <c r="B17" s="326" t="s">
        <v>694</v>
      </c>
      <c r="C17" s="326" t="s">
        <v>690</v>
      </c>
      <c r="D17" s="299" t="s">
        <v>244</v>
      </c>
      <c r="E17" s="299">
        <v>47</v>
      </c>
      <c r="F17" s="327">
        <v>320000</v>
      </c>
      <c r="G17" s="327">
        <f t="shared" si="0"/>
        <v>15040000</v>
      </c>
      <c r="H17" s="327">
        <f t="shared" si="1"/>
        <v>30080000</v>
      </c>
      <c r="I17" s="311">
        <f t="shared" si="2"/>
        <v>52</v>
      </c>
    </row>
    <row r="18" spans="1:9">
      <c r="A18" s="299">
        <v>13</v>
      </c>
      <c r="B18" s="326" t="s">
        <v>695</v>
      </c>
      <c r="C18" s="326" t="s">
        <v>690</v>
      </c>
      <c r="D18" s="299" t="s">
        <v>244</v>
      </c>
      <c r="E18" s="299">
        <v>55</v>
      </c>
      <c r="F18" s="327">
        <v>384000</v>
      </c>
      <c r="G18" s="327">
        <f t="shared" si="0"/>
        <v>21120000</v>
      </c>
      <c r="H18" s="327">
        <f t="shared" si="1"/>
        <v>42240000</v>
      </c>
      <c r="I18" s="311">
        <f t="shared" si="2"/>
        <v>60</v>
      </c>
    </row>
    <row r="19" spans="1:9">
      <c r="A19" s="299">
        <v>14</v>
      </c>
      <c r="B19" s="326" t="s">
        <v>696</v>
      </c>
      <c r="C19" s="326" t="s">
        <v>690</v>
      </c>
      <c r="D19" s="299" t="s">
        <v>697</v>
      </c>
      <c r="E19" s="299">
        <v>235</v>
      </c>
      <c r="F19" s="327">
        <v>50000</v>
      </c>
      <c r="G19" s="327">
        <f t="shared" si="0"/>
        <v>11750000</v>
      </c>
      <c r="H19" s="327">
        <f t="shared" si="1"/>
        <v>23500000</v>
      </c>
      <c r="I19" s="311">
        <f t="shared" si="2"/>
        <v>240</v>
      </c>
    </row>
    <row r="20" spans="1:9">
      <c r="A20" s="299">
        <v>15</v>
      </c>
      <c r="B20" s="326" t="s">
        <v>698</v>
      </c>
      <c r="C20" s="326" t="s">
        <v>699</v>
      </c>
      <c r="D20" s="299" t="s">
        <v>244</v>
      </c>
      <c r="E20" s="299">
        <v>59</v>
      </c>
      <c r="F20" s="327">
        <v>1150000</v>
      </c>
      <c r="G20" s="327">
        <f t="shared" si="0"/>
        <v>67850000</v>
      </c>
      <c r="H20" s="327">
        <f t="shared" si="1"/>
        <v>135700000</v>
      </c>
      <c r="I20" s="311">
        <f t="shared" si="2"/>
        <v>64</v>
      </c>
    </row>
    <row r="21" spans="1:9">
      <c r="A21" s="299">
        <v>16</v>
      </c>
      <c r="B21" s="326" t="s">
        <v>700</v>
      </c>
      <c r="C21" s="326" t="s">
        <v>681</v>
      </c>
      <c r="D21" s="299" t="s">
        <v>244</v>
      </c>
      <c r="E21" s="299">
        <v>59</v>
      </c>
      <c r="F21" s="327">
        <v>1450000</v>
      </c>
      <c r="G21" s="327">
        <f t="shared" si="0"/>
        <v>85550000</v>
      </c>
      <c r="H21" s="327">
        <f t="shared" si="1"/>
        <v>171100000</v>
      </c>
      <c r="I21" s="311">
        <f t="shared" si="2"/>
        <v>64</v>
      </c>
    </row>
    <row r="22" spans="1:9">
      <c r="A22" s="299">
        <v>17</v>
      </c>
      <c r="B22" s="326" t="s">
        <v>701</v>
      </c>
      <c r="C22" s="326" t="s">
        <v>702</v>
      </c>
      <c r="D22" s="299" t="s">
        <v>244</v>
      </c>
      <c r="E22" s="299">
        <v>39</v>
      </c>
      <c r="F22" s="327">
        <v>5200000</v>
      </c>
      <c r="G22" s="327">
        <f t="shared" si="0"/>
        <v>202800000</v>
      </c>
      <c r="H22" s="327">
        <f t="shared" si="1"/>
        <v>405600000</v>
      </c>
      <c r="I22" s="311">
        <f t="shared" si="2"/>
        <v>44</v>
      </c>
    </row>
    <row r="23" spans="1:9">
      <c r="A23" s="299">
        <v>18</v>
      </c>
      <c r="B23" s="326" t="s">
        <v>703</v>
      </c>
      <c r="C23" s="326" t="s">
        <v>704</v>
      </c>
      <c r="D23" s="299" t="s">
        <v>244</v>
      </c>
      <c r="E23" s="299">
        <v>55</v>
      </c>
      <c r="F23" s="327">
        <v>4300000</v>
      </c>
      <c r="G23" s="327">
        <f t="shared" si="0"/>
        <v>236500000</v>
      </c>
      <c r="H23" s="327">
        <f t="shared" si="1"/>
        <v>473000000</v>
      </c>
      <c r="I23" s="311">
        <f t="shared" si="2"/>
        <v>60</v>
      </c>
    </row>
    <row r="24" spans="1:9">
      <c r="A24" s="299">
        <v>19</v>
      </c>
      <c r="B24" s="326" t="s">
        <v>705</v>
      </c>
      <c r="C24" s="326" t="s">
        <v>702</v>
      </c>
      <c r="D24" s="299" t="s">
        <v>244</v>
      </c>
      <c r="E24" s="299">
        <v>51</v>
      </c>
      <c r="F24" s="327">
        <v>5100000</v>
      </c>
      <c r="G24" s="327">
        <f t="shared" si="0"/>
        <v>260100000</v>
      </c>
      <c r="H24" s="327">
        <f t="shared" si="1"/>
        <v>520200000</v>
      </c>
      <c r="I24" s="311">
        <f t="shared" si="2"/>
        <v>56</v>
      </c>
    </row>
    <row r="25" spans="1:9">
      <c r="A25" s="299">
        <v>20</v>
      </c>
      <c r="B25" s="326" t="s">
        <v>706</v>
      </c>
      <c r="C25" s="326" t="s">
        <v>704</v>
      </c>
      <c r="D25" s="299" t="s">
        <v>244</v>
      </c>
      <c r="E25" s="299">
        <v>55</v>
      </c>
      <c r="F25" s="327">
        <v>4200000</v>
      </c>
      <c r="G25" s="327">
        <f t="shared" si="0"/>
        <v>231000000</v>
      </c>
      <c r="H25" s="327">
        <f t="shared" si="1"/>
        <v>462000000</v>
      </c>
      <c r="I25" s="311">
        <f t="shared" si="2"/>
        <v>60</v>
      </c>
    </row>
    <row r="26" spans="1:9">
      <c r="A26" s="299">
        <v>21</v>
      </c>
      <c r="B26" s="326" t="s">
        <v>707</v>
      </c>
      <c r="C26" s="326" t="s">
        <v>686</v>
      </c>
      <c r="D26" s="299" t="s">
        <v>244</v>
      </c>
      <c r="E26" s="299">
        <v>35</v>
      </c>
      <c r="F26" s="327">
        <v>3200000</v>
      </c>
      <c r="G26" s="327">
        <f t="shared" si="0"/>
        <v>112000000</v>
      </c>
      <c r="H26" s="327">
        <f t="shared" si="1"/>
        <v>224000000</v>
      </c>
      <c r="I26" s="311">
        <f t="shared" si="2"/>
        <v>40</v>
      </c>
    </row>
    <row r="27" spans="1:9">
      <c r="A27" s="299">
        <v>22</v>
      </c>
      <c r="B27" s="326" t="s">
        <v>708</v>
      </c>
      <c r="C27" s="326" t="s">
        <v>686</v>
      </c>
      <c r="D27" s="299" t="s">
        <v>244</v>
      </c>
      <c r="E27" s="299">
        <v>63</v>
      </c>
      <c r="F27" s="327">
        <v>4800000</v>
      </c>
      <c r="G27" s="327">
        <f t="shared" si="0"/>
        <v>302400000</v>
      </c>
      <c r="H27" s="327">
        <f t="shared" si="1"/>
        <v>604800000</v>
      </c>
      <c r="I27" s="311">
        <f t="shared" si="2"/>
        <v>68</v>
      </c>
    </row>
    <row r="28" spans="1:9">
      <c r="A28" s="299">
        <v>23</v>
      </c>
      <c r="B28" s="326" t="s">
        <v>709</v>
      </c>
      <c r="C28" s="326" t="s">
        <v>686</v>
      </c>
      <c r="D28" s="299" t="s">
        <v>244</v>
      </c>
      <c r="E28" s="299">
        <v>55</v>
      </c>
      <c r="F28" s="327">
        <v>3300000</v>
      </c>
      <c r="G28" s="327">
        <f t="shared" si="0"/>
        <v>181500000</v>
      </c>
      <c r="H28" s="327">
        <f t="shared" si="1"/>
        <v>363000000</v>
      </c>
      <c r="I28" s="311">
        <f t="shared" si="2"/>
        <v>60</v>
      </c>
    </row>
    <row r="29" spans="1:9">
      <c r="A29" s="299">
        <v>24</v>
      </c>
      <c r="B29" s="326" t="s">
        <v>710</v>
      </c>
      <c r="C29" s="326" t="s">
        <v>679</v>
      </c>
      <c r="D29" s="299" t="s">
        <v>244</v>
      </c>
      <c r="E29" s="299">
        <v>35</v>
      </c>
      <c r="F29" s="327">
        <v>5000000</v>
      </c>
      <c r="G29" s="327">
        <f t="shared" si="0"/>
        <v>175000000</v>
      </c>
      <c r="H29" s="327">
        <f t="shared" si="1"/>
        <v>350000000</v>
      </c>
      <c r="I29" s="311">
        <f t="shared" si="2"/>
        <v>40</v>
      </c>
    </row>
    <row r="30" spans="1:9">
      <c r="A30" s="299">
        <v>25</v>
      </c>
      <c r="B30" s="326" t="s">
        <v>711</v>
      </c>
      <c r="C30" s="326" t="s">
        <v>681</v>
      </c>
      <c r="D30" s="299" t="s">
        <v>244</v>
      </c>
      <c r="E30" s="299">
        <v>47</v>
      </c>
      <c r="F30" s="327">
        <v>3880000</v>
      </c>
      <c r="G30" s="327">
        <f t="shared" si="0"/>
        <v>182360000</v>
      </c>
      <c r="H30" s="327">
        <f t="shared" si="1"/>
        <v>364720000</v>
      </c>
      <c r="I30" s="311">
        <f t="shared" si="2"/>
        <v>52</v>
      </c>
    </row>
    <row r="31" spans="1:9">
      <c r="A31" s="299">
        <v>26</v>
      </c>
      <c r="B31" s="326" t="s">
        <v>712</v>
      </c>
      <c r="C31" s="326" t="s">
        <v>713</v>
      </c>
      <c r="D31" s="299" t="s">
        <v>244</v>
      </c>
      <c r="E31" s="299">
        <v>59</v>
      </c>
      <c r="F31" s="327">
        <v>1200000</v>
      </c>
      <c r="G31" s="327">
        <f t="shared" si="0"/>
        <v>70800000</v>
      </c>
      <c r="H31" s="327">
        <f t="shared" si="1"/>
        <v>141600000</v>
      </c>
      <c r="I31" s="311">
        <f t="shared" si="2"/>
        <v>64</v>
      </c>
    </row>
    <row r="32" spans="1:9">
      <c r="A32" s="299">
        <v>27</v>
      </c>
      <c r="B32" s="326" t="s">
        <v>714</v>
      </c>
      <c r="C32" s="326" t="s">
        <v>699</v>
      </c>
      <c r="D32" s="299" t="s">
        <v>244</v>
      </c>
      <c r="E32" s="299">
        <v>47</v>
      </c>
      <c r="F32" s="327">
        <v>1750000</v>
      </c>
      <c r="G32" s="327">
        <f t="shared" si="0"/>
        <v>82250000</v>
      </c>
      <c r="H32" s="327">
        <f t="shared" si="1"/>
        <v>164500000</v>
      </c>
      <c r="I32" s="311">
        <f t="shared" si="2"/>
        <v>52</v>
      </c>
    </row>
    <row r="33" spans="1:9">
      <c r="A33" s="299">
        <v>28</v>
      </c>
      <c r="B33" s="326" t="s">
        <v>715</v>
      </c>
      <c r="C33" s="326" t="s">
        <v>716</v>
      </c>
      <c r="D33" s="299" t="s">
        <v>244</v>
      </c>
      <c r="E33" s="299">
        <v>45</v>
      </c>
      <c r="F33" s="327">
        <v>1100000</v>
      </c>
      <c r="G33" s="327">
        <f t="shared" si="0"/>
        <v>49500000</v>
      </c>
      <c r="H33" s="327">
        <f t="shared" si="1"/>
        <v>99000000</v>
      </c>
      <c r="I33" s="311">
        <f t="shared" si="2"/>
        <v>50</v>
      </c>
    </row>
    <row r="34" spans="1:9">
      <c r="A34" s="299">
        <v>29</v>
      </c>
      <c r="B34" s="326" t="s">
        <v>717</v>
      </c>
      <c r="C34" s="326" t="s">
        <v>690</v>
      </c>
      <c r="D34" s="299" t="s">
        <v>244</v>
      </c>
      <c r="E34" s="299">
        <v>43</v>
      </c>
      <c r="F34" s="327">
        <v>200000</v>
      </c>
      <c r="G34" s="327">
        <f t="shared" si="0"/>
        <v>8600000</v>
      </c>
      <c r="H34" s="327">
        <f t="shared" si="1"/>
        <v>17200000</v>
      </c>
      <c r="I34" s="311">
        <f t="shared" si="2"/>
        <v>48</v>
      </c>
    </row>
    <row r="35" spans="1:9">
      <c r="A35" s="299">
        <v>30</v>
      </c>
      <c r="B35" s="326" t="s">
        <v>718</v>
      </c>
      <c r="C35" s="326" t="s">
        <v>690</v>
      </c>
      <c r="D35" s="299" t="s">
        <v>244</v>
      </c>
      <c r="E35" s="299">
        <v>55</v>
      </c>
      <c r="F35" s="327">
        <v>350000</v>
      </c>
      <c r="G35" s="327">
        <f t="shared" si="0"/>
        <v>19250000</v>
      </c>
      <c r="H35" s="327">
        <f t="shared" si="1"/>
        <v>38500000</v>
      </c>
      <c r="I35" s="311">
        <f t="shared" si="2"/>
        <v>60</v>
      </c>
    </row>
    <row r="36" spans="1:9">
      <c r="A36" s="299">
        <v>31</v>
      </c>
      <c r="B36" s="326" t="s">
        <v>719</v>
      </c>
      <c r="C36" s="326" t="s">
        <v>690</v>
      </c>
      <c r="D36" s="299" t="s">
        <v>244</v>
      </c>
      <c r="E36" s="299">
        <v>55</v>
      </c>
      <c r="F36" s="327">
        <v>200000</v>
      </c>
      <c r="G36" s="327">
        <f t="shared" si="0"/>
        <v>11000000</v>
      </c>
      <c r="H36" s="327">
        <f t="shared" si="1"/>
        <v>22000000</v>
      </c>
      <c r="I36" s="311">
        <f t="shared" si="2"/>
        <v>60</v>
      </c>
    </row>
    <row r="37" spans="1:9">
      <c r="A37" s="299">
        <v>32</v>
      </c>
      <c r="B37" s="326" t="s">
        <v>720</v>
      </c>
      <c r="C37" s="326" t="s">
        <v>702</v>
      </c>
      <c r="D37" s="299" t="s">
        <v>244</v>
      </c>
      <c r="E37" s="299">
        <v>12</v>
      </c>
      <c r="F37" s="327">
        <v>23000000</v>
      </c>
      <c r="G37" s="327">
        <f t="shared" si="0"/>
        <v>276000000</v>
      </c>
      <c r="H37" s="327">
        <f t="shared" si="1"/>
        <v>552000000</v>
      </c>
      <c r="I37" s="311">
        <f t="shared" si="2"/>
        <v>17</v>
      </c>
    </row>
    <row r="38" spans="1:9">
      <c r="A38" s="299">
        <v>33</v>
      </c>
      <c r="B38" s="326" t="s">
        <v>721</v>
      </c>
      <c r="C38" s="326" t="s">
        <v>704</v>
      </c>
      <c r="D38" s="299" t="s">
        <v>244</v>
      </c>
      <c r="E38" s="299">
        <v>11</v>
      </c>
      <c r="F38" s="327">
        <v>21000000</v>
      </c>
      <c r="G38" s="327">
        <f t="shared" si="0"/>
        <v>231000000</v>
      </c>
      <c r="H38" s="327">
        <f t="shared" si="1"/>
        <v>462000000</v>
      </c>
      <c r="I38" s="311">
        <f t="shared" si="2"/>
        <v>16</v>
      </c>
    </row>
    <row r="39" spans="1:9">
      <c r="A39" s="299">
        <v>34</v>
      </c>
      <c r="B39" s="326" t="s">
        <v>722</v>
      </c>
      <c r="C39" s="326" t="s">
        <v>702</v>
      </c>
      <c r="D39" s="299" t="s">
        <v>244</v>
      </c>
      <c r="E39" s="299">
        <v>15</v>
      </c>
      <c r="F39" s="327">
        <v>23900000</v>
      </c>
      <c r="G39" s="327">
        <f t="shared" si="0"/>
        <v>358500000</v>
      </c>
      <c r="H39" s="327">
        <f t="shared" si="1"/>
        <v>717000000</v>
      </c>
      <c r="I39" s="311">
        <f t="shared" si="2"/>
        <v>20</v>
      </c>
    </row>
    <row r="40" spans="1:9">
      <c r="A40" s="299">
        <v>35</v>
      </c>
      <c r="B40" s="326" t="s">
        <v>723</v>
      </c>
      <c r="C40" s="326" t="s">
        <v>686</v>
      </c>
      <c r="D40" s="299" t="s">
        <v>244</v>
      </c>
      <c r="E40" s="299">
        <v>15</v>
      </c>
      <c r="F40" s="327">
        <v>12000000</v>
      </c>
      <c r="G40" s="327">
        <f t="shared" si="0"/>
        <v>180000000</v>
      </c>
      <c r="H40" s="327">
        <f t="shared" si="1"/>
        <v>360000000</v>
      </c>
      <c r="I40" s="311">
        <f t="shared" si="2"/>
        <v>20</v>
      </c>
    </row>
    <row r="41" spans="1:9">
      <c r="A41" s="299">
        <v>36</v>
      </c>
      <c r="B41" s="326" t="s">
        <v>724</v>
      </c>
      <c r="C41" s="326" t="s">
        <v>702</v>
      </c>
      <c r="D41" s="299" t="s">
        <v>244</v>
      </c>
      <c r="E41" s="299">
        <v>17</v>
      </c>
      <c r="F41" s="327">
        <v>18800000</v>
      </c>
      <c r="G41" s="327">
        <f t="shared" si="0"/>
        <v>319600000</v>
      </c>
      <c r="H41" s="327">
        <f t="shared" si="1"/>
        <v>639200000</v>
      </c>
      <c r="I41" s="311">
        <f t="shared" si="2"/>
        <v>22</v>
      </c>
    </row>
    <row r="42" spans="1:9">
      <c r="A42" s="299">
        <v>37</v>
      </c>
      <c r="B42" s="326" t="s">
        <v>725</v>
      </c>
      <c r="C42" s="326" t="s">
        <v>726</v>
      </c>
      <c r="D42" s="299" t="s">
        <v>244</v>
      </c>
      <c r="E42" s="299">
        <v>35</v>
      </c>
      <c r="F42" s="327">
        <v>5900000</v>
      </c>
      <c r="G42" s="327">
        <f t="shared" si="0"/>
        <v>206500000</v>
      </c>
      <c r="H42" s="327">
        <f t="shared" si="1"/>
        <v>413000000</v>
      </c>
      <c r="I42" s="311">
        <f t="shared" si="2"/>
        <v>40</v>
      </c>
    </row>
    <row r="43" spans="1:9">
      <c r="A43" s="299">
        <v>38</v>
      </c>
      <c r="B43" s="326" t="s">
        <v>727</v>
      </c>
      <c r="C43" s="326" t="s">
        <v>686</v>
      </c>
      <c r="D43" s="299" t="s">
        <v>244</v>
      </c>
      <c r="E43" s="299">
        <v>17</v>
      </c>
      <c r="F43" s="327">
        <v>17500000</v>
      </c>
      <c r="G43" s="327">
        <f t="shared" si="0"/>
        <v>297500000</v>
      </c>
      <c r="H43" s="327">
        <f t="shared" si="1"/>
        <v>595000000</v>
      </c>
      <c r="I43" s="311">
        <f t="shared" si="2"/>
        <v>22</v>
      </c>
    </row>
    <row r="44" spans="1:9">
      <c r="A44" s="299">
        <v>39</v>
      </c>
      <c r="B44" s="326" t="s">
        <v>728</v>
      </c>
      <c r="C44" s="326" t="s">
        <v>686</v>
      </c>
      <c r="D44" s="299" t="s">
        <v>244</v>
      </c>
      <c r="E44" s="299">
        <v>17</v>
      </c>
      <c r="F44" s="327">
        <v>12300000</v>
      </c>
      <c r="G44" s="327">
        <f t="shared" si="0"/>
        <v>209100000</v>
      </c>
      <c r="H44" s="327">
        <f t="shared" si="1"/>
        <v>418200000</v>
      </c>
      <c r="I44" s="311">
        <f t="shared" si="2"/>
        <v>22</v>
      </c>
    </row>
    <row r="45" spans="1:9">
      <c r="A45" s="299">
        <v>40</v>
      </c>
      <c r="B45" s="326" t="s">
        <v>729</v>
      </c>
      <c r="C45" s="326" t="s">
        <v>686</v>
      </c>
      <c r="D45" s="299" t="s">
        <v>244</v>
      </c>
      <c r="E45" s="299">
        <v>35</v>
      </c>
      <c r="F45" s="327">
        <v>12000000</v>
      </c>
      <c r="G45" s="327">
        <f t="shared" si="0"/>
        <v>420000000</v>
      </c>
      <c r="H45" s="327">
        <f t="shared" si="1"/>
        <v>840000000</v>
      </c>
      <c r="I45" s="311">
        <f t="shared" si="2"/>
        <v>40</v>
      </c>
    </row>
    <row r="46" spans="1:9">
      <c r="A46" s="299">
        <v>41</v>
      </c>
      <c r="B46" s="326" t="s">
        <v>730</v>
      </c>
      <c r="C46" s="326" t="s">
        <v>686</v>
      </c>
      <c r="D46" s="299" t="s">
        <v>244</v>
      </c>
      <c r="E46" s="299">
        <v>35</v>
      </c>
      <c r="F46" s="327">
        <v>7500000</v>
      </c>
      <c r="G46" s="327">
        <f t="shared" si="0"/>
        <v>262500000</v>
      </c>
      <c r="H46" s="327">
        <f t="shared" si="1"/>
        <v>525000000</v>
      </c>
      <c r="I46" s="311">
        <f t="shared" si="2"/>
        <v>40</v>
      </c>
    </row>
    <row r="47" spans="1:9">
      <c r="A47" s="299">
        <v>42</v>
      </c>
      <c r="B47" s="326" t="s">
        <v>731</v>
      </c>
      <c r="C47" s="326" t="s">
        <v>699</v>
      </c>
      <c r="D47" s="299" t="s">
        <v>244</v>
      </c>
      <c r="E47" s="299">
        <v>45</v>
      </c>
      <c r="F47" s="327">
        <v>3800000</v>
      </c>
      <c r="G47" s="327">
        <f t="shared" si="0"/>
        <v>171000000</v>
      </c>
      <c r="H47" s="327">
        <f t="shared" si="1"/>
        <v>342000000</v>
      </c>
      <c r="I47" s="311">
        <f t="shared" si="2"/>
        <v>50</v>
      </c>
    </row>
    <row r="48" spans="1:9">
      <c r="A48" s="299">
        <v>43</v>
      </c>
      <c r="B48" s="326" t="s">
        <v>732</v>
      </c>
      <c r="C48" s="326" t="s">
        <v>681</v>
      </c>
      <c r="D48" s="299" t="s">
        <v>244</v>
      </c>
      <c r="E48" s="299">
        <v>45</v>
      </c>
      <c r="F48" s="327">
        <v>4700000</v>
      </c>
      <c r="G48" s="327">
        <f t="shared" si="0"/>
        <v>211500000</v>
      </c>
      <c r="H48" s="327">
        <f t="shared" si="1"/>
        <v>423000000</v>
      </c>
      <c r="I48" s="311">
        <f t="shared" si="2"/>
        <v>50</v>
      </c>
    </row>
    <row r="49" spans="1:9">
      <c r="A49" s="299">
        <v>44</v>
      </c>
      <c r="B49" s="326" t="s">
        <v>733</v>
      </c>
      <c r="C49" s="326" t="s">
        <v>679</v>
      </c>
      <c r="D49" s="299" t="s">
        <v>244</v>
      </c>
      <c r="E49" s="299">
        <v>35</v>
      </c>
      <c r="F49" s="327">
        <v>1900000</v>
      </c>
      <c r="G49" s="327">
        <f t="shared" si="0"/>
        <v>66500000</v>
      </c>
      <c r="H49" s="327">
        <f t="shared" si="1"/>
        <v>133000000</v>
      </c>
      <c r="I49" s="311">
        <f t="shared" si="2"/>
        <v>40</v>
      </c>
    </row>
    <row r="50" spans="1:9">
      <c r="A50" s="299">
        <v>45</v>
      </c>
      <c r="B50" s="326" t="s">
        <v>734</v>
      </c>
      <c r="C50" s="326" t="s">
        <v>735</v>
      </c>
      <c r="D50" s="299" t="s">
        <v>244</v>
      </c>
      <c r="E50" s="299">
        <v>35</v>
      </c>
      <c r="F50" s="327">
        <v>1350000</v>
      </c>
      <c r="G50" s="327">
        <f t="shared" si="0"/>
        <v>47250000</v>
      </c>
      <c r="H50" s="327">
        <f t="shared" si="1"/>
        <v>94500000</v>
      </c>
      <c r="I50" s="311">
        <f t="shared" si="2"/>
        <v>40</v>
      </c>
    </row>
    <row r="51" spans="1:9">
      <c r="A51" s="299">
        <v>46</v>
      </c>
      <c r="B51" s="326" t="s">
        <v>736</v>
      </c>
      <c r="C51" s="326" t="s">
        <v>737</v>
      </c>
      <c r="D51" s="299" t="s">
        <v>244</v>
      </c>
      <c r="E51" s="299">
        <v>45</v>
      </c>
      <c r="F51" s="327">
        <v>1450000</v>
      </c>
      <c r="G51" s="327">
        <f t="shared" si="0"/>
        <v>65250000</v>
      </c>
      <c r="H51" s="327">
        <f t="shared" si="1"/>
        <v>130500000</v>
      </c>
      <c r="I51" s="311">
        <f t="shared" si="2"/>
        <v>50</v>
      </c>
    </row>
    <row r="52" spans="1:9">
      <c r="A52" s="299">
        <v>47</v>
      </c>
      <c r="B52" s="326" t="s">
        <v>738</v>
      </c>
      <c r="C52" s="326" t="s">
        <v>739</v>
      </c>
      <c r="D52" s="299" t="s">
        <v>244</v>
      </c>
      <c r="E52" s="299">
        <v>31</v>
      </c>
      <c r="F52" s="327">
        <v>1600000</v>
      </c>
      <c r="G52" s="327">
        <f t="shared" si="0"/>
        <v>49600000</v>
      </c>
      <c r="H52" s="327">
        <f t="shared" si="1"/>
        <v>99200000</v>
      </c>
      <c r="I52" s="311">
        <f t="shared" si="2"/>
        <v>36</v>
      </c>
    </row>
    <row r="53" spans="1:9">
      <c r="A53" s="299">
        <v>48</v>
      </c>
      <c r="B53" s="326" t="s">
        <v>740</v>
      </c>
      <c r="C53" s="326" t="s">
        <v>683</v>
      </c>
      <c r="D53" s="299" t="s">
        <v>244</v>
      </c>
      <c r="E53" s="299">
        <v>35</v>
      </c>
      <c r="F53" s="327">
        <v>600000</v>
      </c>
      <c r="G53" s="327">
        <f t="shared" si="0"/>
        <v>21000000</v>
      </c>
      <c r="H53" s="327">
        <f t="shared" si="1"/>
        <v>42000000</v>
      </c>
      <c r="I53" s="311">
        <f t="shared" si="2"/>
        <v>40</v>
      </c>
    </row>
    <row r="54" spans="1:9">
      <c r="A54" s="299">
        <v>49</v>
      </c>
      <c r="B54" s="326" t="s">
        <v>741</v>
      </c>
      <c r="C54" s="326" t="s">
        <v>683</v>
      </c>
      <c r="D54" s="299" t="s">
        <v>244</v>
      </c>
      <c r="E54" s="299">
        <v>43</v>
      </c>
      <c r="F54" s="327">
        <v>900000</v>
      </c>
      <c r="G54" s="327">
        <f t="shared" si="0"/>
        <v>38700000</v>
      </c>
      <c r="H54" s="327">
        <f t="shared" si="1"/>
        <v>77400000</v>
      </c>
      <c r="I54" s="311">
        <f t="shared" si="2"/>
        <v>48</v>
      </c>
    </row>
    <row r="55" spans="1:9">
      <c r="A55" s="299">
        <v>50</v>
      </c>
      <c r="B55" s="326" t="s">
        <v>742</v>
      </c>
      <c r="C55" s="326" t="s">
        <v>683</v>
      </c>
      <c r="D55" s="299" t="s">
        <v>244</v>
      </c>
      <c r="E55" s="299">
        <v>45</v>
      </c>
      <c r="F55" s="327">
        <v>800000</v>
      </c>
      <c r="G55" s="327">
        <f t="shared" si="0"/>
        <v>36000000</v>
      </c>
      <c r="H55" s="327">
        <f t="shared" si="1"/>
        <v>72000000</v>
      </c>
      <c r="I55" s="311">
        <f t="shared" si="2"/>
        <v>50</v>
      </c>
    </row>
    <row r="56" spans="1:9">
      <c r="A56" s="299">
        <v>51</v>
      </c>
      <c r="B56" s="326" t="s">
        <v>743</v>
      </c>
      <c r="C56" s="326" t="s">
        <v>713</v>
      </c>
      <c r="D56" s="299" t="s">
        <v>244</v>
      </c>
      <c r="E56" s="299">
        <v>35</v>
      </c>
      <c r="F56" s="327">
        <v>5700000</v>
      </c>
      <c r="G56" s="327">
        <f t="shared" si="0"/>
        <v>199500000</v>
      </c>
      <c r="H56" s="327">
        <f t="shared" si="1"/>
        <v>399000000</v>
      </c>
      <c r="I56" s="311">
        <f t="shared" si="2"/>
        <v>40</v>
      </c>
    </row>
    <row r="57" spans="1:9">
      <c r="A57" s="299">
        <v>52</v>
      </c>
      <c r="B57" s="326" t="s">
        <v>744</v>
      </c>
      <c r="C57" s="326" t="s">
        <v>686</v>
      </c>
      <c r="D57" s="299" t="s">
        <v>244</v>
      </c>
      <c r="E57" s="299">
        <v>35</v>
      </c>
      <c r="F57" s="327">
        <v>12000000</v>
      </c>
      <c r="G57" s="327">
        <f t="shared" si="0"/>
        <v>420000000</v>
      </c>
      <c r="H57" s="327">
        <f t="shared" si="1"/>
        <v>840000000</v>
      </c>
      <c r="I57" s="311">
        <f t="shared" si="2"/>
        <v>40</v>
      </c>
    </row>
    <row r="58" spans="1:9">
      <c r="A58" s="299">
        <v>53</v>
      </c>
      <c r="B58" s="326" t="s">
        <v>745</v>
      </c>
      <c r="C58" s="326" t="s">
        <v>683</v>
      </c>
      <c r="D58" s="299" t="s">
        <v>244</v>
      </c>
      <c r="E58" s="299">
        <v>45</v>
      </c>
      <c r="F58" s="327">
        <v>1000000</v>
      </c>
      <c r="G58" s="327">
        <f t="shared" si="0"/>
        <v>45000000</v>
      </c>
      <c r="H58" s="327">
        <f t="shared" si="1"/>
        <v>90000000</v>
      </c>
      <c r="I58" s="311">
        <f t="shared" si="2"/>
        <v>50</v>
      </c>
    </row>
    <row r="59" spans="1:9">
      <c r="A59" s="299">
        <v>54</v>
      </c>
      <c r="B59" s="326" t="s">
        <v>746</v>
      </c>
      <c r="C59" s="326" t="s">
        <v>739</v>
      </c>
      <c r="D59" s="299" t="s">
        <v>244</v>
      </c>
      <c r="E59" s="299">
        <v>39</v>
      </c>
      <c r="F59" s="327">
        <v>1400000</v>
      </c>
      <c r="G59" s="327">
        <f t="shared" si="0"/>
        <v>54600000</v>
      </c>
      <c r="H59" s="327">
        <f t="shared" si="1"/>
        <v>109200000</v>
      </c>
      <c r="I59" s="311">
        <f t="shared" si="2"/>
        <v>44</v>
      </c>
    </row>
    <row r="60" spans="1:9">
      <c r="A60" s="299">
        <v>55</v>
      </c>
      <c r="B60" s="326" t="s">
        <v>747</v>
      </c>
      <c r="C60" s="326"/>
      <c r="D60" s="299" t="s">
        <v>248</v>
      </c>
      <c r="E60" s="299">
        <v>39</v>
      </c>
      <c r="F60" s="327">
        <v>1050000</v>
      </c>
      <c r="G60" s="327">
        <f t="shared" si="0"/>
        <v>40950000</v>
      </c>
      <c r="H60" s="327">
        <f t="shared" si="1"/>
        <v>81900000</v>
      </c>
      <c r="I60" s="311">
        <f t="shared" si="2"/>
        <v>44</v>
      </c>
    </row>
    <row r="61" spans="1:9">
      <c r="A61" s="299">
        <v>56</v>
      </c>
      <c r="B61" s="328" t="s">
        <v>748</v>
      </c>
      <c r="C61" s="328"/>
      <c r="D61" s="328" t="s">
        <v>10</v>
      </c>
      <c r="E61" s="299">
        <v>1</v>
      </c>
      <c r="F61" s="329">
        <v>8000000</v>
      </c>
      <c r="G61" s="330">
        <f>E61*F61*6</f>
        <v>48000000</v>
      </c>
      <c r="H61" s="327">
        <f t="shared" si="1"/>
        <v>96000000</v>
      </c>
    </row>
    <row r="62" spans="1:9">
      <c r="A62" s="299">
        <v>57</v>
      </c>
      <c r="B62" s="331" t="s">
        <v>749</v>
      </c>
      <c r="C62" s="331"/>
      <c r="D62" s="331" t="s">
        <v>10</v>
      </c>
      <c r="E62" s="299">
        <v>4</v>
      </c>
      <c r="F62" s="330">
        <v>6000000</v>
      </c>
      <c r="G62" s="330">
        <f>E62*F62*6</f>
        <v>144000000</v>
      </c>
      <c r="H62" s="327">
        <f t="shared" si="1"/>
        <v>288000000</v>
      </c>
    </row>
    <row r="63" spans="1:9">
      <c r="A63" s="299">
        <v>58</v>
      </c>
      <c r="B63" s="328" t="s">
        <v>750</v>
      </c>
      <c r="C63" s="328"/>
      <c r="D63" s="328"/>
      <c r="E63" s="329"/>
      <c r="F63" s="329"/>
      <c r="G63" s="329">
        <f>H63/2</f>
        <v>5000000</v>
      </c>
      <c r="H63" s="332">
        <v>10000000</v>
      </c>
    </row>
    <row r="64" spans="1:9">
      <c r="A64" s="299">
        <v>59</v>
      </c>
      <c r="B64" s="328" t="s">
        <v>751</v>
      </c>
      <c r="C64" s="328"/>
      <c r="D64" s="328"/>
      <c r="E64" s="329"/>
      <c r="F64" s="329"/>
      <c r="G64" s="329">
        <f>H64/2</f>
        <v>50000000</v>
      </c>
      <c r="H64" s="332">
        <v>100000000</v>
      </c>
    </row>
    <row r="65" spans="1:9">
      <c r="A65" s="299">
        <v>60</v>
      </c>
      <c r="B65" s="328" t="s">
        <v>125</v>
      </c>
      <c r="C65" s="328"/>
      <c r="D65" s="328"/>
      <c r="E65" s="329"/>
      <c r="F65" s="329"/>
      <c r="G65" s="332">
        <f>H65/2</f>
        <v>300000000</v>
      </c>
      <c r="H65" s="332">
        <f>8000000000*7.5/100</f>
        <v>600000000</v>
      </c>
    </row>
    <row r="66" spans="1:9">
      <c r="A66" s="299">
        <v>61</v>
      </c>
      <c r="B66" s="328" t="s">
        <v>194</v>
      </c>
      <c r="C66" s="328"/>
      <c r="D66" s="328"/>
      <c r="E66" s="329"/>
      <c r="F66" s="329">
        <v>1000000</v>
      </c>
      <c r="G66" s="329">
        <f>H66/2</f>
        <v>6000000</v>
      </c>
      <c r="H66" s="332">
        <v>12000000</v>
      </c>
    </row>
    <row r="67" spans="1:9">
      <c r="A67" s="299">
        <v>62</v>
      </c>
      <c r="B67" s="328" t="s">
        <v>21</v>
      </c>
      <c r="C67" s="328"/>
      <c r="D67" s="328"/>
      <c r="E67" s="329"/>
      <c r="F67" s="329"/>
      <c r="G67" s="329">
        <f>H67/2</f>
        <v>145828000</v>
      </c>
      <c r="H67" s="332">
        <v>291656000</v>
      </c>
    </row>
    <row r="68" spans="1:9">
      <c r="A68" s="2318" t="s">
        <v>116</v>
      </c>
      <c r="B68" s="333" t="s">
        <v>242</v>
      </c>
      <c r="C68" s="333"/>
      <c r="D68" s="333"/>
      <c r="E68" s="333"/>
      <c r="F68" s="333"/>
      <c r="G68" s="334">
        <f>SUM(G69:G123)</f>
        <v>9718847800</v>
      </c>
      <c r="H68" s="334">
        <f>SUM(H69:H123)</f>
        <v>19437695600</v>
      </c>
      <c r="I68" s="311">
        <v>19437695600</v>
      </c>
    </row>
    <row r="69" spans="1:9">
      <c r="A69" s="299">
        <v>1</v>
      </c>
      <c r="B69" s="326" t="s">
        <v>678</v>
      </c>
      <c r="C69" s="326" t="s">
        <v>679</v>
      </c>
      <c r="D69" s="299" t="s">
        <v>244</v>
      </c>
      <c r="E69" s="299">
        <f>E6</f>
        <v>61</v>
      </c>
      <c r="F69" s="327">
        <f>F6*1.15</f>
        <v>6382499.9999999991</v>
      </c>
      <c r="G69" s="327">
        <f>E69*F69</f>
        <v>389332499.99999994</v>
      </c>
      <c r="H69" s="327">
        <f>G69*2</f>
        <v>778664999.99999988</v>
      </c>
    </row>
    <row r="70" spans="1:9">
      <c r="A70" s="299">
        <v>2</v>
      </c>
      <c r="B70" s="326" t="s">
        <v>680</v>
      </c>
      <c r="C70" s="326" t="s">
        <v>681</v>
      </c>
      <c r="D70" s="299" t="s">
        <v>244</v>
      </c>
      <c r="E70" s="299">
        <f t="shared" ref="E70:E123" si="3">E7</f>
        <v>61</v>
      </c>
      <c r="F70" s="327">
        <f t="shared" ref="F70:F123" si="4">F7*1.15</f>
        <v>5290000</v>
      </c>
      <c r="G70" s="327">
        <f t="shared" ref="G70:G123" si="5">E70*F70</f>
        <v>322690000</v>
      </c>
      <c r="H70" s="327">
        <f t="shared" ref="H70:H123" si="6">G70*2</f>
        <v>645380000</v>
      </c>
    </row>
    <row r="71" spans="1:9">
      <c r="A71" s="299">
        <v>3</v>
      </c>
      <c r="B71" s="326" t="s">
        <v>682</v>
      </c>
      <c r="C71" s="326" t="s">
        <v>683</v>
      </c>
      <c r="D71" s="299" t="s">
        <v>244</v>
      </c>
      <c r="E71" s="299">
        <f t="shared" si="3"/>
        <v>80</v>
      </c>
      <c r="F71" s="327">
        <f t="shared" si="4"/>
        <v>3679999.9999999995</v>
      </c>
      <c r="G71" s="327">
        <f t="shared" si="5"/>
        <v>294399999.99999994</v>
      </c>
      <c r="H71" s="327">
        <f t="shared" si="6"/>
        <v>588799999.99999988</v>
      </c>
    </row>
    <row r="72" spans="1:9">
      <c r="A72" s="299">
        <v>4</v>
      </c>
      <c r="B72" s="326" t="s">
        <v>684</v>
      </c>
      <c r="C72" s="326" t="s">
        <v>683</v>
      </c>
      <c r="D72" s="299" t="s">
        <v>244</v>
      </c>
      <c r="E72" s="299">
        <f t="shared" si="3"/>
        <v>70</v>
      </c>
      <c r="F72" s="327">
        <f t="shared" si="4"/>
        <v>2530000</v>
      </c>
      <c r="G72" s="327">
        <f t="shared" si="5"/>
        <v>177100000</v>
      </c>
      <c r="H72" s="327">
        <f t="shared" si="6"/>
        <v>354200000</v>
      </c>
    </row>
    <row r="73" spans="1:9">
      <c r="A73" s="299">
        <v>5</v>
      </c>
      <c r="B73" s="326" t="s">
        <v>685</v>
      </c>
      <c r="C73" s="326" t="s">
        <v>686</v>
      </c>
      <c r="D73" s="299" t="s">
        <v>244</v>
      </c>
      <c r="E73" s="299">
        <f t="shared" si="3"/>
        <v>20</v>
      </c>
      <c r="F73" s="327">
        <f t="shared" si="4"/>
        <v>3334999.9999999995</v>
      </c>
      <c r="G73" s="327">
        <f t="shared" si="5"/>
        <v>66699999.999999993</v>
      </c>
      <c r="H73" s="327">
        <f t="shared" si="6"/>
        <v>133399999.99999999</v>
      </c>
    </row>
    <row r="74" spans="1:9">
      <c r="A74" s="299">
        <v>6</v>
      </c>
      <c r="B74" s="326" t="s">
        <v>687</v>
      </c>
      <c r="C74" s="326" t="s">
        <v>686</v>
      </c>
      <c r="D74" s="299" t="s">
        <v>244</v>
      </c>
      <c r="E74" s="299">
        <f t="shared" si="3"/>
        <v>37</v>
      </c>
      <c r="F74" s="327">
        <f t="shared" si="4"/>
        <v>8740000</v>
      </c>
      <c r="G74" s="327">
        <f t="shared" si="5"/>
        <v>323380000</v>
      </c>
      <c r="H74" s="327">
        <f t="shared" si="6"/>
        <v>646760000</v>
      </c>
    </row>
    <row r="75" spans="1:9">
      <c r="A75" s="299">
        <v>7</v>
      </c>
      <c r="B75" s="326" t="s">
        <v>688</v>
      </c>
      <c r="C75" s="326" t="s">
        <v>686</v>
      </c>
      <c r="D75" s="299" t="s">
        <v>244</v>
      </c>
      <c r="E75" s="299">
        <f t="shared" si="3"/>
        <v>59</v>
      </c>
      <c r="F75" s="327">
        <f t="shared" si="4"/>
        <v>8164999.9999999991</v>
      </c>
      <c r="G75" s="327">
        <f t="shared" si="5"/>
        <v>481734999.99999994</v>
      </c>
      <c r="H75" s="327">
        <f t="shared" si="6"/>
        <v>963469999.99999988</v>
      </c>
    </row>
    <row r="76" spans="1:9">
      <c r="A76" s="299">
        <v>8</v>
      </c>
      <c r="B76" s="326" t="s">
        <v>689</v>
      </c>
      <c r="C76" s="326" t="s">
        <v>690</v>
      </c>
      <c r="D76" s="299" t="s">
        <v>244</v>
      </c>
      <c r="E76" s="299">
        <f t="shared" si="3"/>
        <v>55</v>
      </c>
      <c r="F76" s="327">
        <f t="shared" si="4"/>
        <v>804999.99999999988</v>
      </c>
      <c r="G76" s="327">
        <f t="shared" si="5"/>
        <v>44274999.999999993</v>
      </c>
      <c r="H76" s="327">
        <f t="shared" si="6"/>
        <v>88549999.999999985</v>
      </c>
    </row>
    <row r="77" spans="1:9">
      <c r="A77" s="299">
        <v>9</v>
      </c>
      <c r="B77" s="326" t="s">
        <v>691</v>
      </c>
      <c r="C77" s="326" t="s">
        <v>690</v>
      </c>
      <c r="D77" s="299" t="s">
        <v>244</v>
      </c>
      <c r="E77" s="299">
        <f t="shared" si="3"/>
        <v>43</v>
      </c>
      <c r="F77" s="327">
        <f t="shared" si="4"/>
        <v>919999.99999999988</v>
      </c>
      <c r="G77" s="327">
        <f t="shared" si="5"/>
        <v>39559999.999999993</v>
      </c>
      <c r="H77" s="327">
        <f t="shared" si="6"/>
        <v>79119999.999999985</v>
      </c>
    </row>
    <row r="78" spans="1:9">
      <c r="A78" s="299">
        <v>10</v>
      </c>
      <c r="B78" s="326" t="s">
        <v>692</v>
      </c>
      <c r="C78" s="326" t="s">
        <v>690</v>
      </c>
      <c r="D78" s="299" t="s">
        <v>244</v>
      </c>
      <c r="E78" s="299">
        <f t="shared" si="3"/>
        <v>19</v>
      </c>
      <c r="F78" s="327">
        <f t="shared" si="4"/>
        <v>1207500</v>
      </c>
      <c r="G78" s="327">
        <f t="shared" si="5"/>
        <v>22942500</v>
      </c>
      <c r="H78" s="327">
        <f t="shared" si="6"/>
        <v>45885000</v>
      </c>
    </row>
    <row r="79" spans="1:9">
      <c r="A79" s="299">
        <v>11</v>
      </c>
      <c r="B79" s="326" t="s">
        <v>693</v>
      </c>
      <c r="C79" s="326" t="s">
        <v>690</v>
      </c>
      <c r="D79" s="299" t="s">
        <v>244</v>
      </c>
      <c r="E79" s="299">
        <f t="shared" si="3"/>
        <v>67</v>
      </c>
      <c r="F79" s="327">
        <f t="shared" si="4"/>
        <v>294400</v>
      </c>
      <c r="G79" s="327">
        <f t="shared" si="5"/>
        <v>19724800</v>
      </c>
      <c r="H79" s="327">
        <f t="shared" si="6"/>
        <v>39449600</v>
      </c>
    </row>
    <row r="80" spans="1:9">
      <c r="A80" s="299">
        <v>12</v>
      </c>
      <c r="B80" s="326" t="s">
        <v>694</v>
      </c>
      <c r="C80" s="326" t="s">
        <v>690</v>
      </c>
      <c r="D80" s="299" t="s">
        <v>244</v>
      </c>
      <c r="E80" s="299">
        <f t="shared" si="3"/>
        <v>47</v>
      </c>
      <c r="F80" s="327">
        <f t="shared" si="4"/>
        <v>368000</v>
      </c>
      <c r="G80" s="327">
        <f t="shared" si="5"/>
        <v>17296000</v>
      </c>
      <c r="H80" s="327">
        <f t="shared" si="6"/>
        <v>34592000</v>
      </c>
    </row>
    <row r="81" spans="1:8">
      <c r="A81" s="299">
        <v>13</v>
      </c>
      <c r="B81" s="326" t="s">
        <v>695</v>
      </c>
      <c r="C81" s="326" t="s">
        <v>690</v>
      </c>
      <c r="D81" s="299" t="s">
        <v>244</v>
      </c>
      <c r="E81" s="299">
        <f t="shared" si="3"/>
        <v>55</v>
      </c>
      <c r="F81" s="327">
        <f t="shared" si="4"/>
        <v>441599.99999999994</v>
      </c>
      <c r="G81" s="327">
        <f t="shared" si="5"/>
        <v>24287999.999999996</v>
      </c>
      <c r="H81" s="327">
        <f t="shared" si="6"/>
        <v>48575999.999999993</v>
      </c>
    </row>
    <row r="82" spans="1:8">
      <c r="A82" s="299">
        <v>14</v>
      </c>
      <c r="B82" s="326" t="s">
        <v>696</v>
      </c>
      <c r="C82" s="326" t="s">
        <v>690</v>
      </c>
      <c r="D82" s="299" t="s">
        <v>697</v>
      </c>
      <c r="E82" s="299">
        <f t="shared" si="3"/>
        <v>235</v>
      </c>
      <c r="F82" s="327">
        <f t="shared" si="4"/>
        <v>57499.999999999993</v>
      </c>
      <c r="G82" s="327">
        <f t="shared" si="5"/>
        <v>13512499.999999998</v>
      </c>
      <c r="H82" s="327">
        <f t="shared" si="6"/>
        <v>27024999.999999996</v>
      </c>
    </row>
    <row r="83" spans="1:8">
      <c r="A83" s="299">
        <v>15</v>
      </c>
      <c r="B83" s="326" t="s">
        <v>698</v>
      </c>
      <c r="C83" s="326" t="s">
        <v>699</v>
      </c>
      <c r="D83" s="299" t="s">
        <v>244</v>
      </c>
      <c r="E83" s="299">
        <f t="shared" si="3"/>
        <v>59</v>
      </c>
      <c r="F83" s="327">
        <f t="shared" si="4"/>
        <v>1322500</v>
      </c>
      <c r="G83" s="327">
        <f t="shared" si="5"/>
        <v>78027500</v>
      </c>
      <c r="H83" s="327">
        <f t="shared" si="6"/>
        <v>156055000</v>
      </c>
    </row>
    <row r="84" spans="1:8">
      <c r="A84" s="299">
        <v>16</v>
      </c>
      <c r="B84" s="326" t="s">
        <v>700</v>
      </c>
      <c r="C84" s="326" t="s">
        <v>681</v>
      </c>
      <c r="D84" s="299" t="s">
        <v>244</v>
      </c>
      <c r="E84" s="299">
        <f t="shared" si="3"/>
        <v>59</v>
      </c>
      <c r="F84" s="327">
        <f t="shared" si="4"/>
        <v>1667499.9999999998</v>
      </c>
      <c r="G84" s="327">
        <f t="shared" si="5"/>
        <v>98382499.999999985</v>
      </c>
      <c r="H84" s="327">
        <f t="shared" si="6"/>
        <v>196764999.99999997</v>
      </c>
    </row>
    <row r="85" spans="1:8">
      <c r="A85" s="299">
        <v>17</v>
      </c>
      <c r="B85" s="326" t="s">
        <v>701</v>
      </c>
      <c r="C85" s="326" t="s">
        <v>702</v>
      </c>
      <c r="D85" s="299" t="s">
        <v>244</v>
      </c>
      <c r="E85" s="299">
        <f t="shared" si="3"/>
        <v>39</v>
      </c>
      <c r="F85" s="327">
        <f t="shared" si="4"/>
        <v>5980000</v>
      </c>
      <c r="G85" s="327">
        <f t="shared" si="5"/>
        <v>233220000</v>
      </c>
      <c r="H85" s="327">
        <f t="shared" si="6"/>
        <v>466440000</v>
      </c>
    </row>
    <row r="86" spans="1:8">
      <c r="A86" s="299">
        <v>18</v>
      </c>
      <c r="B86" s="326" t="s">
        <v>703</v>
      </c>
      <c r="C86" s="326" t="s">
        <v>704</v>
      </c>
      <c r="D86" s="299" t="s">
        <v>244</v>
      </c>
      <c r="E86" s="299">
        <f t="shared" si="3"/>
        <v>55</v>
      </c>
      <c r="F86" s="327">
        <f t="shared" si="4"/>
        <v>4945000</v>
      </c>
      <c r="G86" s="327">
        <f t="shared" si="5"/>
        <v>271975000</v>
      </c>
      <c r="H86" s="327">
        <f t="shared" si="6"/>
        <v>543950000</v>
      </c>
    </row>
    <row r="87" spans="1:8">
      <c r="A87" s="299">
        <v>19</v>
      </c>
      <c r="B87" s="326" t="s">
        <v>705</v>
      </c>
      <c r="C87" s="326" t="s">
        <v>702</v>
      </c>
      <c r="D87" s="299" t="s">
        <v>244</v>
      </c>
      <c r="E87" s="299">
        <f t="shared" si="3"/>
        <v>51</v>
      </c>
      <c r="F87" s="327">
        <f t="shared" si="4"/>
        <v>5865000</v>
      </c>
      <c r="G87" s="327">
        <f t="shared" si="5"/>
        <v>299115000</v>
      </c>
      <c r="H87" s="327">
        <f t="shared" si="6"/>
        <v>598230000</v>
      </c>
    </row>
    <row r="88" spans="1:8">
      <c r="A88" s="299">
        <v>20</v>
      </c>
      <c r="B88" s="326" t="s">
        <v>706</v>
      </c>
      <c r="C88" s="326" t="s">
        <v>704</v>
      </c>
      <c r="D88" s="299" t="s">
        <v>244</v>
      </c>
      <c r="E88" s="299">
        <f t="shared" si="3"/>
        <v>55</v>
      </c>
      <c r="F88" s="327">
        <f t="shared" si="4"/>
        <v>4830000</v>
      </c>
      <c r="G88" s="327">
        <f t="shared" si="5"/>
        <v>265650000</v>
      </c>
      <c r="H88" s="327">
        <f t="shared" si="6"/>
        <v>531300000</v>
      </c>
    </row>
    <row r="89" spans="1:8">
      <c r="A89" s="299">
        <v>21</v>
      </c>
      <c r="B89" s="326" t="s">
        <v>707</v>
      </c>
      <c r="C89" s="326" t="s">
        <v>686</v>
      </c>
      <c r="D89" s="299" t="s">
        <v>244</v>
      </c>
      <c r="E89" s="299">
        <f t="shared" si="3"/>
        <v>35</v>
      </c>
      <c r="F89" s="327">
        <f t="shared" si="4"/>
        <v>3679999.9999999995</v>
      </c>
      <c r="G89" s="327">
        <f t="shared" si="5"/>
        <v>128799999.99999999</v>
      </c>
      <c r="H89" s="327">
        <f t="shared" si="6"/>
        <v>257599999.99999997</v>
      </c>
    </row>
    <row r="90" spans="1:8">
      <c r="A90" s="299">
        <v>22</v>
      </c>
      <c r="B90" s="326" t="s">
        <v>708</v>
      </c>
      <c r="C90" s="326" t="s">
        <v>686</v>
      </c>
      <c r="D90" s="299" t="s">
        <v>244</v>
      </c>
      <c r="E90" s="299">
        <f t="shared" si="3"/>
        <v>63</v>
      </c>
      <c r="F90" s="327">
        <f t="shared" si="4"/>
        <v>5520000</v>
      </c>
      <c r="G90" s="327">
        <f t="shared" si="5"/>
        <v>347760000</v>
      </c>
      <c r="H90" s="327">
        <f t="shared" si="6"/>
        <v>695520000</v>
      </c>
    </row>
    <row r="91" spans="1:8">
      <c r="A91" s="299">
        <v>23</v>
      </c>
      <c r="B91" s="326" t="s">
        <v>709</v>
      </c>
      <c r="C91" s="326" t="s">
        <v>686</v>
      </c>
      <c r="D91" s="299" t="s">
        <v>244</v>
      </c>
      <c r="E91" s="299">
        <f t="shared" si="3"/>
        <v>55</v>
      </c>
      <c r="F91" s="327">
        <f t="shared" si="4"/>
        <v>3794999.9999999995</v>
      </c>
      <c r="G91" s="327">
        <f t="shared" si="5"/>
        <v>208724999.99999997</v>
      </c>
      <c r="H91" s="327">
        <f t="shared" si="6"/>
        <v>417449999.99999994</v>
      </c>
    </row>
    <row r="92" spans="1:8">
      <c r="A92" s="299">
        <v>24</v>
      </c>
      <c r="B92" s="326" t="s">
        <v>710</v>
      </c>
      <c r="C92" s="326" t="s">
        <v>679</v>
      </c>
      <c r="D92" s="299" t="s">
        <v>244</v>
      </c>
      <c r="E92" s="299">
        <f t="shared" si="3"/>
        <v>35</v>
      </c>
      <c r="F92" s="327">
        <f t="shared" si="4"/>
        <v>5750000</v>
      </c>
      <c r="G92" s="327">
        <f t="shared" si="5"/>
        <v>201250000</v>
      </c>
      <c r="H92" s="327">
        <f t="shared" si="6"/>
        <v>402500000</v>
      </c>
    </row>
    <row r="93" spans="1:8">
      <c r="A93" s="299">
        <v>25</v>
      </c>
      <c r="B93" s="326" t="s">
        <v>711</v>
      </c>
      <c r="C93" s="326" t="s">
        <v>681</v>
      </c>
      <c r="D93" s="299" t="s">
        <v>244</v>
      </c>
      <c r="E93" s="299">
        <f t="shared" si="3"/>
        <v>47</v>
      </c>
      <c r="F93" s="327">
        <f t="shared" si="4"/>
        <v>4462000</v>
      </c>
      <c r="G93" s="327">
        <f t="shared" si="5"/>
        <v>209714000</v>
      </c>
      <c r="H93" s="327">
        <f t="shared" si="6"/>
        <v>419428000</v>
      </c>
    </row>
    <row r="94" spans="1:8">
      <c r="A94" s="299">
        <v>26</v>
      </c>
      <c r="B94" s="326" t="s">
        <v>712</v>
      </c>
      <c r="C94" s="326" t="s">
        <v>713</v>
      </c>
      <c r="D94" s="299" t="s">
        <v>244</v>
      </c>
      <c r="E94" s="299">
        <f t="shared" si="3"/>
        <v>59</v>
      </c>
      <c r="F94" s="327">
        <f t="shared" si="4"/>
        <v>1380000</v>
      </c>
      <c r="G94" s="327">
        <f t="shared" si="5"/>
        <v>81420000</v>
      </c>
      <c r="H94" s="327">
        <f t="shared" si="6"/>
        <v>162840000</v>
      </c>
    </row>
    <row r="95" spans="1:8">
      <c r="A95" s="299">
        <v>27</v>
      </c>
      <c r="B95" s="326" t="s">
        <v>714</v>
      </c>
      <c r="C95" s="326" t="s">
        <v>699</v>
      </c>
      <c r="D95" s="299" t="s">
        <v>244</v>
      </c>
      <c r="E95" s="299">
        <f t="shared" si="3"/>
        <v>47</v>
      </c>
      <c r="F95" s="327">
        <f t="shared" si="4"/>
        <v>2012499.9999999998</v>
      </c>
      <c r="G95" s="327">
        <f t="shared" si="5"/>
        <v>94587499.999999985</v>
      </c>
      <c r="H95" s="327">
        <f t="shared" si="6"/>
        <v>189174999.99999997</v>
      </c>
    </row>
    <row r="96" spans="1:8">
      <c r="A96" s="299">
        <v>28</v>
      </c>
      <c r="B96" s="326" t="s">
        <v>715</v>
      </c>
      <c r="C96" s="326" t="s">
        <v>716</v>
      </c>
      <c r="D96" s="299" t="s">
        <v>244</v>
      </c>
      <c r="E96" s="299">
        <f t="shared" si="3"/>
        <v>45</v>
      </c>
      <c r="F96" s="327">
        <f t="shared" si="4"/>
        <v>1265000</v>
      </c>
      <c r="G96" s="327">
        <f t="shared" si="5"/>
        <v>56925000</v>
      </c>
      <c r="H96" s="327">
        <f t="shared" si="6"/>
        <v>113850000</v>
      </c>
    </row>
    <row r="97" spans="1:8">
      <c r="A97" s="299">
        <v>29</v>
      </c>
      <c r="B97" s="326" t="s">
        <v>717</v>
      </c>
      <c r="C97" s="326" t="s">
        <v>690</v>
      </c>
      <c r="D97" s="299" t="s">
        <v>244</v>
      </c>
      <c r="E97" s="299">
        <f t="shared" si="3"/>
        <v>43</v>
      </c>
      <c r="F97" s="327">
        <f t="shared" si="4"/>
        <v>229999.99999999997</v>
      </c>
      <c r="G97" s="327">
        <f t="shared" si="5"/>
        <v>9889999.9999999981</v>
      </c>
      <c r="H97" s="327">
        <f t="shared" si="6"/>
        <v>19779999.999999996</v>
      </c>
    </row>
    <row r="98" spans="1:8">
      <c r="A98" s="299">
        <v>30</v>
      </c>
      <c r="B98" s="326" t="s">
        <v>718</v>
      </c>
      <c r="C98" s="326" t="s">
        <v>690</v>
      </c>
      <c r="D98" s="299" t="s">
        <v>244</v>
      </c>
      <c r="E98" s="299">
        <f t="shared" si="3"/>
        <v>55</v>
      </c>
      <c r="F98" s="327">
        <f t="shared" si="4"/>
        <v>402499.99999999994</v>
      </c>
      <c r="G98" s="327">
        <f t="shared" si="5"/>
        <v>22137499.999999996</v>
      </c>
      <c r="H98" s="327">
        <f t="shared" si="6"/>
        <v>44274999.999999993</v>
      </c>
    </row>
    <row r="99" spans="1:8">
      <c r="A99" s="299">
        <v>31</v>
      </c>
      <c r="B99" s="326" t="s">
        <v>719</v>
      </c>
      <c r="C99" s="326" t="s">
        <v>690</v>
      </c>
      <c r="D99" s="299" t="s">
        <v>244</v>
      </c>
      <c r="E99" s="299">
        <f t="shared" si="3"/>
        <v>55</v>
      </c>
      <c r="F99" s="327">
        <f t="shared" si="4"/>
        <v>229999.99999999997</v>
      </c>
      <c r="G99" s="327">
        <f t="shared" si="5"/>
        <v>12649999.999999998</v>
      </c>
      <c r="H99" s="327">
        <f t="shared" si="6"/>
        <v>25299999.999999996</v>
      </c>
    </row>
    <row r="100" spans="1:8">
      <c r="A100" s="299">
        <v>32</v>
      </c>
      <c r="B100" s="326" t="s">
        <v>720</v>
      </c>
      <c r="C100" s="326" t="s">
        <v>702</v>
      </c>
      <c r="D100" s="299" t="s">
        <v>244</v>
      </c>
      <c r="E100" s="299">
        <f t="shared" si="3"/>
        <v>12</v>
      </c>
      <c r="F100" s="327">
        <f t="shared" si="4"/>
        <v>26449999.999999996</v>
      </c>
      <c r="G100" s="327">
        <f t="shared" si="5"/>
        <v>317399999.99999994</v>
      </c>
      <c r="H100" s="327">
        <f t="shared" si="6"/>
        <v>634799999.99999988</v>
      </c>
    </row>
    <row r="101" spans="1:8">
      <c r="A101" s="299">
        <v>33</v>
      </c>
      <c r="B101" s="326" t="s">
        <v>721</v>
      </c>
      <c r="C101" s="326" t="s">
        <v>704</v>
      </c>
      <c r="D101" s="299" t="s">
        <v>244</v>
      </c>
      <c r="E101" s="299">
        <f t="shared" si="3"/>
        <v>11</v>
      </c>
      <c r="F101" s="327">
        <f t="shared" si="4"/>
        <v>24149999.999999996</v>
      </c>
      <c r="G101" s="327">
        <f t="shared" si="5"/>
        <v>265649999.99999997</v>
      </c>
      <c r="H101" s="327">
        <f t="shared" si="6"/>
        <v>531299999.99999994</v>
      </c>
    </row>
    <row r="102" spans="1:8">
      <c r="A102" s="299">
        <v>34</v>
      </c>
      <c r="B102" s="326" t="s">
        <v>722</v>
      </c>
      <c r="C102" s="326" t="s">
        <v>702</v>
      </c>
      <c r="D102" s="299" t="s">
        <v>244</v>
      </c>
      <c r="E102" s="299">
        <f t="shared" si="3"/>
        <v>15</v>
      </c>
      <c r="F102" s="327">
        <f t="shared" si="4"/>
        <v>27484999.999999996</v>
      </c>
      <c r="G102" s="327">
        <f t="shared" si="5"/>
        <v>412274999.99999994</v>
      </c>
      <c r="H102" s="327">
        <f t="shared" si="6"/>
        <v>824549999.99999988</v>
      </c>
    </row>
    <row r="103" spans="1:8">
      <c r="A103" s="299">
        <v>35</v>
      </c>
      <c r="B103" s="326" t="s">
        <v>723</v>
      </c>
      <c r="C103" s="326" t="s">
        <v>686</v>
      </c>
      <c r="D103" s="299" t="s">
        <v>244</v>
      </c>
      <c r="E103" s="299">
        <f t="shared" si="3"/>
        <v>15</v>
      </c>
      <c r="F103" s="327">
        <f t="shared" si="4"/>
        <v>13799999.999999998</v>
      </c>
      <c r="G103" s="327">
        <f t="shared" si="5"/>
        <v>206999999.99999997</v>
      </c>
      <c r="H103" s="327">
        <f t="shared" si="6"/>
        <v>413999999.99999994</v>
      </c>
    </row>
    <row r="104" spans="1:8">
      <c r="A104" s="299">
        <v>36</v>
      </c>
      <c r="B104" s="326" t="s">
        <v>724</v>
      </c>
      <c r="C104" s="326" t="s">
        <v>702</v>
      </c>
      <c r="D104" s="299" t="s">
        <v>244</v>
      </c>
      <c r="E104" s="299">
        <f t="shared" si="3"/>
        <v>17</v>
      </c>
      <c r="F104" s="327">
        <f t="shared" si="4"/>
        <v>21620000</v>
      </c>
      <c r="G104" s="327">
        <f t="shared" si="5"/>
        <v>367540000</v>
      </c>
      <c r="H104" s="327">
        <f t="shared" si="6"/>
        <v>735080000</v>
      </c>
    </row>
    <row r="105" spans="1:8">
      <c r="A105" s="299">
        <v>37</v>
      </c>
      <c r="B105" s="326" t="s">
        <v>725</v>
      </c>
      <c r="C105" s="326" t="s">
        <v>726</v>
      </c>
      <c r="D105" s="299" t="s">
        <v>244</v>
      </c>
      <c r="E105" s="299">
        <f t="shared" si="3"/>
        <v>35</v>
      </c>
      <c r="F105" s="327">
        <f t="shared" si="4"/>
        <v>6784999.9999999991</v>
      </c>
      <c r="G105" s="327">
        <f t="shared" si="5"/>
        <v>237474999.99999997</v>
      </c>
      <c r="H105" s="327">
        <f t="shared" si="6"/>
        <v>474949999.99999994</v>
      </c>
    </row>
    <row r="106" spans="1:8">
      <c r="A106" s="299">
        <v>38</v>
      </c>
      <c r="B106" s="326" t="s">
        <v>727</v>
      </c>
      <c r="C106" s="326" t="s">
        <v>686</v>
      </c>
      <c r="D106" s="299" t="s">
        <v>244</v>
      </c>
      <c r="E106" s="299">
        <f t="shared" si="3"/>
        <v>17</v>
      </c>
      <c r="F106" s="327">
        <f t="shared" si="4"/>
        <v>20125000</v>
      </c>
      <c r="G106" s="327">
        <f t="shared" si="5"/>
        <v>342125000</v>
      </c>
      <c r="H106" s="327">
        <f t="shared" si="6"/>
        <v>684250000</v>
      </c>
    </row>
    <row r="107" spans="1:8">
      <c r="A107" s="299">
        <v>39</v>
      </c>
      <c r="B107" s="326" t="s">
        <v>728</v>
      </c>
      <c r="C107" s="326" t="s">
        <v>686</v>
      </c>
      <c r="D107" s="299" t="s">
        <v>244</v>
      </c>
      <c r="E107" s="299">
        <f t="shared" si="3"/>
        <v>17</v>
      </c>
      <c r="F107" s="327">
        <f t="shared" si="4"/>
        <v>14144999.999999998</v>
      </c>
      <c r="G107" s="327">
        <f t="shared" si="5"/>
        <v>240464999.99999997</v>
      </c>
      <c r="H107" s="327">
        <f t="shared" si="6"/>
        <v>480929999.99999994</v>
      </c>
    </row>
    <row r="108" spans="1:8">
      <c r="A108" s="299">
        <v>40</v>
      </c>
      <c r="B108" s="326" t="s">
        <v>729</v>
      </c>
      <c r="C108" s="326" t="s">
        <v>686</v>
      </c>
      <c r="D108" s="299" t="s">
        <v>244</v>
      </c>
      <c r="E108" s="299">
        <f t="shared" si="3"/>
        <v>35</v>
      </c>
      <c r="F108" s="327">
        <f t="shared" si="4"/>
        <v>13799999.999999998</v>
      </c>
      <c r="G108" s="327">
        <f t="shared" si="5"/>
        <v>482999999.99999994</v>
      </c>
      <c r="H108" s="327">
        <f t="shared" si="6"/>
        <v>965999999.99999988</v>
      </c>
    </row>
    <row r="109" spans="1:8">
      <c r="A109" s="299">
        <v>41</v>
      </c>
      <c r="B109" s="326" t="s">
        <v>730</v>
      </c>
      <c r="C109" s="326" t="s">
        <v>686</v>
      </c>
      <c r="D109" s="299" t="s">
        <v>244</v>
      </c>
      <c r="E109" s="299">
        <f t="shared" si="3"/>
        <v>35</v>
      </c>
      <c r="F109" s="327">
        <f t="shared" si="4"/>
        <v>8625000</v>
      </c>
      <c r="G109" s="327">
        <f t="shared" si="5"/>
        <v>301875000</v>
      </c>
      <c r="H109" s="327">
        <f t="shared" si="6"/>
        <v>603750000</v>
      </c>
    </row>
    <row r="110" spans="1:8">
      <c r="A110" s="299">
        <v>42</v>
      </c>
      <c r="B110" s="326" t="s">
        <v>731</v>
      </c>
      <c r="C110" s="326" t="s">
        <v>699</v>
      </c>
      <c r="D110" s="299" t="s">
        <v>244</v>
      </c>
      <c r="E110" s="299">
        <f t="shared" si="3"/>
        <v>45</v>
      </c>
      <c r="F110" s="327">
        <f t="shared" si="4"/>
        <v>4370000</v>
      </c>
      <c r="G110" s="327">
        <f t="shared" si="5"/>
        <v>196650000</v>
      </c>
      <c r="H110" s="327">
        <f t="shared" si="6"/>
        <v>393300000</v>
      </c>
    </row>
    <row r="111" spans="1:8">
      <c r="A111" s="299">
        <v>43</v>
      </c>
      <c r="B111" s="326" t="s">
        <v>732</v>
      </c>
      <c r="C111" s="326" t="s">
        <v>681</v>
      </c>
      <c r="D111" s="299" t="s">
        <v>244</v>
      </c>
      <c r="E111" s="299">
        <f t="shared" si="3"/>
        <v>45</v>
      </c>
      <c r="F111" s="327">
        <f t="shared" si="4"/>
        <v>5405000</v>
      </c>
      <c r="G111" s="327">
        <f t="shared" si="5"/>
        <v>243225000</v>
      </c>
      <c r="H111" s="327">
        <f t="shared" si="6"/>
        <v>486450000</v>
      </c>
    </row>
    <row r="112" spans="1:8">
      <c r="A112" s="299">
        <v>44</v>
      </c>
      <c r="B112" s="326" t="s">
        <v>733</v>
      </c>
      <c r="C112" s="326" t="s">
        <v>679</v>
      </c>
      <c r="D112" s="299" t="s">
        <v>244</v>
      </c>
      <c r="E112" s="299">
        <f t="shared" si="3"/>
        <v>35</v>
      </c>
      <c r="F112" s="327">
        <f t="shared" si="4"/>
        <v>2185000</v>
      </c>
      <c r="G112" s="327">
        <f t="shared" si="5"/>
        <v>76475000</v>
      </c>
      <c r="H112" s="327">
        <f t="shared" si="6"/>
        <v>152950000</v>
      </c>
    </row>
    <row r="113" spans="1:8">
      <c r="A113" s="299">
        <v>45</v>
      </c>
      <c r="B113" s="326" t="s">
        <v>734</v>
      </c>
      <c r="C113" s="326" t="s">
        <v>735</v>
      </c>
      <c r="D113" s="299" t="s">
        <v>244</v>
      </c>
      <c r="E113" s="299">
        <f t="shared" si="3"/>
        <v>35</v>
      </c>
      <c r="F113" s="327">
        <f t="shared" si="4"/>
        <v>1552499.9999999998</v>
      </c>
      <c r="G113" s="327">
        <f t="shared" si="5"/>
        <v>54337499.999999993</v>
      </c>
      <c r="H113" s="327">
        <f t="shared" si="6"/>
        <v>108674999.99999999</v>
      </c>
    </row>
    <row r="114" spans="1:8">
      <c r="A114" s="299">
        <v>46</v>
      </c>
      <c r="B114" s="326" t="s">
        <v>736</v>
      </c>
      <c r="C114" s="326" t="s">
        <v>737</v>
      </c>
      <c r="D114" s="299" t="s">
        <v>244</v>
      </c>
      <c r="E114" s="299">
        <f t="shared" si="3"/>
        <v>45</v>
      </c>
      <c r="F114" s="327">
        <f t="shared" si="4"/>
        <v>1667499.9999999998</v>
      </c>
      <c r="G114" s="327">
        <f t="shared" si="5"/>
        <v>75037499.999999985</v>
      </c>
      <c r="H114" s="327">
        <f t="shared" si="6"/>
        <v>150074999.99999997</v>
      </c>
    </row>
    <row r="115" spans="1:8">
      <c r="A115" s="299">
        <v>47</v>
      </c>
      <c r="B115" s="326" t="s">
        <v>738</v>
      </c>
      <c r="C115" s="326" t="s">
        <v>739</v>
      </c>
      <c r="D115" s="299" t="s">
        <v>244</v>
      </c>
      <c r="E115" s="299">
        <f t="shared" si="3"/>
        <v>31</v>
      </c>
      <c r="F115" s="327">
        <f t="shared" si="4"/>
        <v>1839999.9999999998</v>
      </c>
      <c r="G115" s="327">
        <f t="shared" si="5"/>
        <v>57039999.999999993</v>
      </c>
      <c r="H115" s="327">
        <f t="shared" si="6"/>
        <v>114079999.99999999</v>
      </c>
    </row>
    <row r="116" spans="1:8">
      <c r="A116" s="299">
        <v>48</v>
      </c>
      <c r="B116" s="326" t="s">
        <v>740</v>
      </c>
      <c r="C116" s="326" t="s">
        <v>683</v>
      </c>
      <c r="D116" s="299" t="s">
        <v>244</v>
      </c>
      <c r="E116" s="299">
        <f t="shared" si="3"/>
        <v>35</v>
      </c>
      <c r="F116" s="327">
        <f t="shared" si="4"/>
        <v>690000</v>
      </c>
      <c r="G116" s="327">
        <f t="shared" si="5"/>
        <v>24150000</v>
      </c>
      <c r="H116" s="327">
        <f t="shared" si="6"/>
        <v>48300000</v>
      </c>
    </row>
    <row r="117" spans="1:8">
      <c r="A117" s="299">
        <v>49</v>
      </c>
      <c r="B117" s="326" t="s">
        <v>741</v>
      </c>
      <c r="C117" s="326" t="s">
        <v>683</v>
      </c>
      <c r="D117" s="299" t="s">
        <v>244</v>
      </c>
      <c r="E117" s="299">
        <f t="shared" si="3"/>
        <v>43</v>
      </c>
      <c r="F117" s="327">
        <f t="shared" si="4"/>
        <v>1034999.9999999999</v>
      </c>
      <c r="G117" s="327">
        <f t="shared" si="5"/>
        <v>44504999.999999993</v>
      </c>
      <c r="H117" s="327">
        <f t="shared" si="6"/>
        <v>89009999.999999985</v>
      </c>
    </row>
    <row r="118" spans="1:8">
      <c r="A118" s="299">
        <v>50</v>
      </c>
      <c r="B118" s="326" t="s">
        <v>742</v>
      </c>
      <c r="C118" s="326" t="s">
        <v>683</v>
      </c>
      <c r="D118" s="299" t="s">
        <v>244</v>
      </c>
      <c r="E118" s="299">
        <f t="shared" si="3"/>
        <v>45</v>
      </c>
      <c r="F118" s="327">
        <f t="shared" si="4"/>
        <v>919999.99999999988</v>
      </c>
      <c r="G118" s="327">
        <f t="shared" si="5"/>
        <v>41399999.999999993</v>
      </c>
      <c r="H118" s="327">
        <f t="shared" si="6"/>
        <v>82799999.999999985</v>
      </c>
    </row>
    <row r="119" spans="1:8">
      <c r="A119" s="299">
        <v>51</v>
      </c>
      <c r="B119" s="326" t="s">
        <v>743</v>
      </c>
      <c r="C119" s="326" t="s">
        <v>713</v>
      </c>
      <c r="D119" s="299" t="s">
        <v>244</v>
      </c>
      <c r="E119" s="299">
        <f t="shared" si="3"/>
        <v>35</v>
      </c>
      <c r="F119" s="327">
        <f t="shared" si="4"/>
        <v>6554999.9999999991</v>
      </c>
      <c r="G119" s="327">
        <f t="shared" si="5"/>
        <v>229424999.99999997</v>
      </c>
      <c r="H119" s="327">
        <f t="shared" si="6"/>
        <v>458849999.99999994</v>
      </c>
    </row>
    <row r="120" spans="1:8">
      <c r="A120" s="299">
        <v>52</v>
      </c>
      <c r="B120" s="326" t="s">
        <v>744</v>
      </c>
      <c r="C120" s="326" t="s">
        <v>686</v>
      </c>
      <c r="D120" s="299" t="s">
        <v>244</v>
      </c>
      <c r="E120" s="299">
        <f t="shared" si="3"/>
        <v>35</v>
      </c>
      <c r="F120" s="327">
        <f t="shared" si="4"/>
        <v>13799999.999999998</v>
      </c>
      <c r="G120" s="327">
        <f t="shared" si="5"/>
        <v>482999999.99999994</v>
      </c>
      <c r="H120" s="327">
        <f t="shared" si="6"/>
        <v>965999999.99999988</v>
      </c>
    </row>
    <row r="121" spans="1:8">
      <c r="A121" s="299">
        <v>53</v>
      </c>
      <c r="B121" s="326" t="s">
        <v>745</v>
      </c>
      <c r="C121" s="326" t="s">
        <v>683</v>
      </c>
      <c r="D121" s="299" t="s">
        <v>244</v>
      </c>
      <c r="E121" s="299">
        <f t="shared" si="3"/>
        <v>45</v>
      </c>
      <c r="F121" s="327">
        <f t="shared" si="4"/>
        <v>1150000</v>
      </c>
      <c r="G121" s="327">
        <f t="shared" si="5"/>
        <v>51750000</v>
      </c>
      <c r="H121" s="327">
        <f t="shared" si="6"/>
        <v>103500000</v>
      </c>
    </row>
    <row r="122" spans="1:8">
      <c r="A122" s="299">
        <v>54</v>
      </c>
      <c r="B122" s="326" t="s">
        <v>746</v>
      </c>
      <c r="C122" s="326" t="s">
        <v>739</v>
      </c>
      <c r="D122" s="299" t="s">
        <v>244</v>
      </c>
      <c r="E122" s="299">
        <f t="shared" si="3"/>
        <v>39</v>
      </c>
      <c r="F122" s="327">
        <f t="shared" si="4"/>
        <v>1609999.9999999998</v>
      </c>
      <c r="G122" s="327">
        <f t="shared" si="5"/>
        <v>62789999.999999993</v>
      </c>
      <c r="H122" s="327">
        <f t="shared" si="6"/>
        <v>125579999.99999999</v>
      </c>
    </row>
    <row r="123" spans="1:8">
      <c r="A123" s="299">
        <v>55</v>
      </c>
      <c r="B123" s="326" t="s">
        <v>747</v>
      </c>
      <c r="C123" s="326"/>
      <c r="D123" s="299" t="s">
        <v>248</v>
      </c>
      <c r="E123" s="299">
        <f t="shared" si="3"/>
        <v>39</v>
      </c>
      <c r="F123" s="327">
        <f t="shared" si="4"/>
        <v>1207500</v>
      </c>
      <c r="G123" s="327">
        <f t="shared" si="5"/>
        <v>47092500</v>
      </c>
      <c r="H123" s="327">
        <f t="shared" si="6"/>
        <v>94185000</v>
      </c>
    </row>
    <row r="124" spans="1:8">
      <c r="A124" s="333" t="s">
        <v>135</v>
      </c>
      <c r="B124" s="333" t="s">
        <v>752</v>
      </c>
      <c r="C124" s="333"/>
      <c r="D124" s="333"/>
      <c r="E124" s="333"/>
      <c r="F124" s="333"/>
      <c r="G124" s="333"/>
      <c r="H124" s="335">
        <f>H68-H5</f>
        <v>1137695600</v>
      </c>
    </row>
  </sheetData>
  <pageMargins left="0.7" right="0.7" top="0.75" bottom="0.75" header="0.3" footer="0.3"/>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7">
    <pageSetUpPr fitToPage="1"/>
  </sheetPr>
  <dimension ref="A1:I23"/>
  <sheetViews>
    <sheetView workbookViewId="0">
      <selection activeCell="C2" sqref="C2"/>
    </sheetView>
  </sheetViews>
  <sheetFormatPr defaultRowHeight="16.5"/>
  <cols>
    <col min="1" max="1" width="5" style="2048" customWidth="1"/>
    <col min="2" max="2" width="24.28515625" style="2048" customWidth="1"/>
    <col min="3" max="3" width="5.42578125" style="2048" bestFit="1" customWidth="1"/>
    <col min="4" max="4" width="20.7109375" style="2048" customWidth="1"/>
    <col min="5" max="6" width="21.140625" style="2048" customWidth="1"/>
    <col min="7" max="7" width="17.7109375" style="2048" bestFit="1" customWidth="1"/>
    <col min="8" max="8" width="12.42578125" style="2048" bestFit="1" customWidth="1"/>
    <col min="9" max="9" width="19.140625" style="2048" bestFit="1" customWidth="1"/>
    <col min="10" max="16384" width="9.140625" style="2048"/>
  </cols>
  <sheetData>
    <row r="1" spans="1:9" ht="24" customHeight="1">
      <c r="A1" s="2046"/>
      <c r="B1" s="2046"/>
      <c r="C1" s="2046" t="s">
        <v>3052</v>
      </c>
      <c r="D1" s="2046"/>
      <c r="E1" s="2046"/>
      <c r="F1" s="2046"/>
      <c r="G1" s="2047" t="s">
        <v>1020</v>
      </c>
      <c r="H1" s="2046"/>
      <c r="I1" s="2046"/>
    </row>
    <row r="2" spans="1:9" ht="22.5" customHeight="1">
      <c r="A2" s="2049"/>
      <c r="B2" s="2049"/>
      <c r="C2" s="2049"/>
      <c r="D2" s="2049"/>
      <c r="E2" s="2049"/>
      <c r="F2" s="2049"/>
      <c r="G2" s="2049"/>
      <c r="H2" s="2049"/>
      <c r="I2" s="2049"/>
    </row>
    <row r="3" spans="1:9" ht="17.25" customHeight="1">
      <c r="A3" s="295" t="s">
        <v>97</v>
      </c>
      <c r="B3" s="295" t="s">
        <v>3051</v>
      </c>
      <c r="C3" s="295" t="s">
        <v>100</v>
      </c>
      <c r="D3" s="295" t="s">
        <v>3050</v>
      </c>
      <c r="E3" s="295" t="s">
        <v>3049</v>
      </c>
      <c r="F3" s="295" t="s">
        <v>3048</v>
      </c>
      <c r="G3" s="295" t="s">
        <v>3047</v>
      </c>
      <c r="H3" s="295" t="s">
        <v>2063</v>
      </c>
      <c r="I3" s="295" t="s">
        <v>3046</v>
      </c>
    </row>
    <row r="4" spans="1:9" ht="17.25" customHeight="1">
      <c r="A4" s="299">
        <v>1</v>
      </c>
      <c r="B4" s="2050" t="s">
        <v>3045</v>
      </c>
      <c r="C4" s="299" t="s">
        <v>1012</v>
      </c>
      <c r="D4" s="1958">
        <v>26000</v>
      </c>
      <c r="E4" s="1958">
        <v>12000</v>
      </c>
      <c r="F4" s="1958">
        <f>D4*E4</f>
        <v>312000000</v>
      </c>
      <c r="G4" s="1958">
        <f>D4</f>
        <v>26000</v>
      </c>
      <c r="H4" s="2051">
        <f>E4*115%</f>
        <v>13799.999999999998</v>
      </c>
      <c r="I4" s="1958">
        <f>G4*H4</f>
        <v>358799999.99999994</v>
      </c>
    </row>
    <row r="5" spans="1:9" ht="17.25" customHeight="1">
      <c r="A5" s="299">
        <v>2</v>
      </c>
      <c r="B5" s="2050" t="s">
        <v>3044</v>
      </c>
      <c r="C5" s="299" t="s">
        <v>1012</v>
      </c>
      <c r="D5" s="1958">
        <v>25000</v>
      </c>
      <c r="E5" s="1958">
        <v>350000</v>
      </c>
      <c r="F5" s="1958">
        <f>D5*E5</f>
        <v>8750000000</v>
      </c>
      <c r="G5" s="1958">
        <f>D5</f>
        <v>25000</v>
      </c>
      <c r="H5" s="2051">
        <f>E5*115%</f>
        <v>402499.99999999994</v>
      </c>
      <c r="I5" s="1958">
        <f>G5*H5</f>
        <v>10062499999.999998</v>
      </c>
    </row>
    <row r="6" spans="1:9" ht="17.25" customHeight="1">
      <c r="A6" s="299">
        <v>3</v>
      </c>
      <c r="B6" s="2050" t="s">
        <v>3043</v>
      </c>
      <c r="C6" s="299" t="s">
        <v>1012</v>
      </c>
      <c r="D6" s="1958">
        <v>30000</v>
      </c>
      <c r="E6" s="1958">
        <v>90000</v>
      </c>
      <c r="F6" s="1958">
        <f>D6*E6</f>
        <v>2700000000</v>
      </c>
      <c r="G6" s="1958">
        <f>D6</f>
        <v>30000</v>
      </c>
      <c r="H6" s="2051">
        <f>E6*115%</f>
        <v>103499.99999999999</v>
      </c>
      <c r="I6" s="1958">
        <f>G6*H6</f>
        <v>3104999999.9999995</v>
      </c>
    </row>
    <row r="7" spans="1:9" ht="17.25" customHeight="1">
      <c r="A7" s="299">
        <v>4</v>
      </c>
      <c r="B7" s="2050" t="s">
        <v>3042</v>
      </c>
      <c r="C7" s="299" t="s">
        <v>1012</v>
      </c>
      <c r="D7" s="1958">
        <v>15000</v>
      </c>
      <c r="E7" s="1958">
        <v>8000</v>
      </c>
      <c r="F7" s="1958">
        <f>D7*E7</f>
        <v>120000000</v>
      </c>
      <c r="G7" s="1958">
        <f>D7</f>
        <v>15000</v>
      </c>
      <c r="H7" s="2051">
        <f>E7*115%</f>
        <v>9200</v>
      </c>
      <c r="I7" s="1958">
        <f>G7*H7</f>
        <v>138000000</v>
      </c>
    </row>
    <row r="8" spans="1:9" ht="17.25" customHeight="1">
      <c r="A8" s="299">
        <v>5</v>
      </c>
      <c r="B8" s="2050" t="s">
        <v>3041</v>
      </c>
      <c r="C8" s="299" t="s">
        <v>108</v>
      </c>
      <c r="D8" s="1958">
        <v>25000</v>
      </c>
      <c r="E8" s="1958">
        <v>40000</v>
      </c>
      <c r="F8" s="1958">
        <f>D8*E8</f>
        <v>1000000000</v>
      </c>
      <c r="G8" s="1958">
        <f>D8</f>
        <v>25000</v>
      </c>
      <c r="H8" s="2051">
        <f>E8*115%</f>
        <v>46000</v>
      </c>
      <c r="I8" s="1958">
        <f>G8*H8</f>
        <v>1150000000</v>
      </c>
    </row>
    <row r="9" spans="1:9" ht="17.25" customHeight="1">
      <c r="A9" s="299"/>
      <c r="B9" s="295" t="s">
        <v>253</v>
      </c>
      <c r="C9" s="295"/>
      <c r="D9" s="295"/>
      <c r="E9" s="295"/>
      <c r="F9" s="2052">
        <f>SUM(F4:F8)</f>
        <v>12882000000</v>
      </c>
      <c r="G9" s="295"/>
      <c r="H9" s="295"/>
      <c r="I9" s="1956">
        <f>I4+I5+I6+I8</f>
        <v>14676299999.999998</v>
      </c>
    </row>
    <row r="10" spans="1:9" ht="17.25" customHeight="1"/>
    <row r="11" spans="1:9" ht="17.25" customHeight="1">
      <c r="D11" s="2681" t="s">
        <v>3040</v>
      </c>
      <c r="E11" s="2681"/>
      <c r="F11" s="1958">
        <f>F9</f>
        <v>12882000000</v>
      </c>
      <c r="G11" s="2053" t="s">
        <v>23</v>
      </c>
      <c r="H11" s="299"/>
      <c r="I11" s="2054">
        <f>I9</f>
        <v>14676299999.999998</v>
      </c>
    </row>
    <row r="12" spans="1:9" ht="17.25" customHeight="1">
      <c r="D12" s="2681" t="s">
        <v>2400</v>
      </c>
      <c r="E12" s="2681"/>
      <c r="F12" s="1958">
        <f>5*8000000*12</f>
        <v>480000000</v>
      </c>
      <c r="G12" s="2340" t="s">
        <v>22</v>
      </c>
      <c r="H12" s="299"/>
      <c r="I12" s="2054">
        <f>F12+F13+F14+F15+F11</f>
        <v>13857000000</v>
      </c>
    </row>
    <row r="13" spans="1:9" ht="17.25" customHeight="1">
      <c r="D13" s="2681" t="s">
        <v>3039</v>
      </c>
      <c r="E13" s="2681"/>
      <c r="F13" s="1958">
        <f>7.5%*F23</f>
        <v>375000000</v>
      </c>
      <c r="G13" s="2340" t="s">
        <v>24</v>
      </c>
      <c r="H13" s="299"/>
      <c r="I13" s="1958">
        <f>I11-I12</f>
        <v>819299999.99999809</v>
      </c>
    </row>
    <row r="14" spans="1:9" ht="17.25" customHeight="1">
      <c r="D14" s="2681" t="s">
        <v>3038</v>
      </c>
      <c r="E14" s="2681"/>
      <c r="F14" s="1958">
        <v>60000000</v>
      </c>
      <c r="G14" s="2055"/>
      <c r="H14" s="2345"/>
      <c r="I14" s="2056"/>
    </row>
    <row r="15" spans="1:9" ht="35.25" customHeight="1">
      <c r="D15" s="2680" t="s">
        <v>3037</v>
      </c>
      <c r="E15" s="2680"/>
      <c r="F15" s="1958">
        <v>60000000</v>
      </c>
      <c r="G15" s="2055"/>
      <c r="H15" s="2345"/>
      <c r="I15" s="2345"/>
    </row>
    <row r="16" spans="1:9" ht="17.25" customHeight="1">
      <c r="D16" s="2057"/>
      <c r="E16" s="2057"/>
      <c r="F16" s="2058"/>
    </row>
    <row r="17" spans="5:7" ht="17.25" customHeight="1">
      <c r="E17" s="2340" t="s">
        <v>3036</v>
      </c>
      <c r="F17" s="2059">
        <f>I12-F13</f>
        <v>13482000000</v>
      </c>
      <c r="G17" s="295" t="s">
        <v>3035</v>
      </c>
    </row>
    <row r="18" spans="5:7" ht="17.25" customHeight="1">
      <c r="E18" s="2340" t="s">
        <v>557</v>
      </c>
      <c r="F18" s="2060">
        <v>2</v>
      </c>
      <c r="G18" s="299" t="s">
        <v>2630</v>
      </c>
    </row>
    <row r="19" spans="5:7" ht="17.25" customHeight="1">
      <c r="E19" s="2340" t="s">
        <v>3034</v>
      </c>
      <c r="F19" s="1957">
        <f>F17/F18</f>
        <v>6741000000</v>
      </c>
      <c r="G19" s="299"/>
    </row>
    <row r="20" spans="5:7" ht="17.25" customHeight="1">
      <c r="E20" s="2340" t="s">
        <v>559</v>
      </c>
      <c r="F20" s="1957">
        <f>F19-F23</f>
        <v>1741000000</v>
      </c>
      <c r="G20" s="2061">
        <f>F20/F19</f>
        <v>0.25827028630766946</v>
      </c>
    </row>
    <row r="21" spans="5:7" ht="17.25" customHeight="1">
      <c r="E21" s="2340" t="s">
        <v>3033</v>
      </c>
      <c r="F21" s="1957">
        <f>F20-F22</f>
        <v>1549000000</v>
      </c>
      <c r="G21" s="2061"/>
    </row>
    <row r="22" spans="5:7" ht="17.25" customHeight="1">
      <c r="E22" s="2340" t="s">
        <v>3032</v>
      </c>
      <c r="F22" s="1957">
        <f>8000000*12*2</f>
        <v>192000000</v>
      </c>
      <c r="G22" s="2061"/>
    </row>
    <row r="23" spans="5:7" ht="17.25" customHeight="1">
      <c r="E23" s="2340" t="s">
        <v>2335</v>
      </c>
      <c r="F23" s="1957">
        <v>5000000000</v>
      </c>
      <c r="G23" s="2061">
        <f>F23/F19</f>
        <v>0.74172971369233054</v>
      </c>
    </row>
  </sheetData>
  <mergeCells count="5">
    <mergeCell ref="D15:E15"/>
    <mergeCell ref="D11:E11"/>
    <mergeCell ref="D12:E12"/>
    <mergeCell ref="D13:E13"/>
    <mergeCell ref="D14:E14"/>
  </mergeCells>
  <pageMargins left="0.70866141732283472" right="0.70866141732283472" top="0.74803149606299213" bottom="0.74803149606299213" header="0.31496062992125984" footer="0.31496062992125984"/>
  <pageSetup scale="84" orientation="landscape"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G40"/>
  <sheetViews>
    <sheetView workbookViewId="0">
      <selection activeCell="F23" sqref="F23"/>
    </sheetView>
  </sheetViews>
  <sheetFormatPr defaultRowHeight="16.5"/>
  <cols>
    <col min="1" max="1" width="5.28515625" style="311" customWidth="1"/>
    <col min="2" max="2" width="36.42578125" style="311" bestFit="1" customWidth="1"/>
    <col min="3" max="3" width="6.5703125" style="311" bestFit="1" customWidth="1"/>
    <col min="4" max="4" width="9.85546875" style="311" bestFit="1" customWidth="1"/>
    <col min="5" max="5" width="17.85546875" style="311" bestFit="1" customWidth="1"/>
    <col min="6" max="6" width="18" style="311" bestFit="1" customWidth="1"/>
    <col min="7" max="7" width="9.140625" style="311"/>
    <col min="8" max="8" width="12.5703125" style="311" bestFit="1" customWidth="1"/>
    <col min="9" max="16384" width="9.140625" style="311"/>
  </cols>
  <sheetData>
    <row r="1" spans="1:7">
      <c r="B1" s="309"/>
      <c r="C1" s="311" t="s">
        <v>561</v>
      </c>
      <c r="G1" s="309" t="s">
        <v>1020</v>
      </c>
    </row>
    <row r="2" spans="1:7">
      <c r="B2" s="309"/>
      <c r="G2" s="309"/>
    </row>
    <row r="3" spans="1:7">
      <c r="B3" s="309"/>
      <c r="G3" s="309"/>
    </row>
    <row r="4" spans="1:7">
      <c r="B4" s="309" t="s">
        <v>610</v>
      </c>
      <c r="F4" s="311" t="s">
        <v>2</v>
      </c>
      <c r="G4" s="309"/>
    </row>
    <row r="5" spans="1:7">
      <c r="B5" s="312" t="s">
        <v>12</v>
      </c>
      <c r="C5" s="312"/>
      <c r="D5" s="312"/>
      <c r="E5" s="313">
        <v>2500000000</v>
      </c>
      <c r="F5" s="311" t="s">
        <v>531</v>
      </c>
    </row>
    <row r="6" spans="1:7">
      <c r="B6" s="314" t="s">
        <v>532</v>
      </c>
      <c r="C6" s="314"/>
      <c r="D6" s="314"/>
      <c r="E6" s="315">
        <v>30</v>
      </c>
      <c r="F6" s="311" t="s">
        <v>533</v>
      </c>
    </row>
    <row r="7" spans="1:7">
      <c r="B7" s="2325" t="s">
        <v>611</v>
      </c>
      <c r="C7" s="314"/>
      <c r="D7" s="314"/>
      <c r="E7" s="315">
        <v>109000000</v>
      </c>
      <c r="F7" s="311" t="s">
        <v>612</v>
      </c>
    </row>
    <row r="8" spans="1:7">
      <c r="B8" s="2325" t="s">
        <v>534</v>
      </c>
      <c r="C8" s="314"/>
      <c r="D8" s="314"/>
      <c r="E8" s="315">
        <v>225</v>
      </c>
      <c r="F8" s="311" t="s">
        <v>535</v>
      </c>
    </row>
    <row r="10" spans="1:7">
      <c r="A10" s="2682" t="s">
        <v>536</v>
      </c>
      <c r="B10" s="2682"/>
      <c r="C10" s="2682"/>
      <c r="D10" s="2682"/>
      <c r="E10" s="2682"/>
      <c r="F10" s="2682"/>
    </row>
    <row r="11" spans="1:7">
      <c r="A11" s="266"/>
      <c r="B11" s="266"/>
      <c r="C11" s="266"/>
      <c r="D11" s="266"/>
      <c r="E11" s="2683" t="s">
        <v>537</v>
      </c>
      <c r="F11" s="2683"/>
    </row>
    <row r="12" spans="1:7">
      <c r="A12" s="2333" t="s">
        <v>97</v>
      </c>
      <c r="B12" s="2295" t="s">
        <v>64</v>
      </c>
      <c r="C12" s="2333" t="s">
        <v>100</v>
      </c>
      <c r="D12" s="2333" t="s">
        <v>1</v>
      </c>
      <c r="E12" s="2333" t="s">
        <v>3</v>
      </c>
      <c r="F12" s="2333" t="s">
        <v>4</v>
      </c>
    </row>
    <row r="13" spans="1:7">
      <c r="A13" s="2333" t="s">
        <v>109</v>
      </c>
      <c r="B13" s="267" t="s">
        <v>22</v>
      </c>
      <c r="C13" s="2334"/>
      <c r="D13" s="268"/>
      <c r="E13" s="269"/>
      <c r="F13" s="270">
        <f>F14+F16+F22+F24</f>
        <v>5717500000</v>
      </c>
    </row>
    <row r="14" spans="1:7">
      <c r="A14" s="2333" t="s">
        <v>480</v>
      </c>
      <c r="B14" s="267" t="s">
        <v>538</v>
      </c>
      <c r="C14" s="2333"/>
      <c r="D14" s="271"/>
      <c r="E14" s="272"/>
      <c r="F14" s="270">
        <f>F15</f>
        <v>3270000000</v>
      </c>
    </row>
    <row r="15" spans="1:7" ht="15.75" customHeight="1">
      <c r="A15" s="177">
        <v>1</v>
      </c>
      <c r="B15" s="273" t="s">
        <v>539</v>
      </c>
      <c r="C15" s="177" t="s">
        <v>540</v>
      </c>
      <c r="D15" s="274">
        <f>E6</f>
        <v>30</v>
      </c>
      <c r="E15" s="274">
        <v>109000000</v>
      </c>
      <c r="F15" s="275">
        <f>E15*D15</f>
        <v>3270000000</v>
      </c>
    </row>
    <row r="16" spans="1:7">
      <c r="A16" s="2333" t="s">
        <v>485</v>
      </c>
      <c r="B16" s="267" t="s">
        <v>541</v>
      </c>
      <c r="C16" s="2333"/>
      <c r="D16" s="272"/>
      <c r="E16" s="272"/>
      <c r="F16" s="270">
        <f>SUM(F18:F21)</f>
        <v>1991250000</v>
      </c>
    </row>
    <row r="17" spans="1:6">
      <c r="A17" s="2334"/>
      <c r="B17" s="276" t="s">
        <v>534</v>
      </c>
      <c r="C17" s="2334" t="s">
        <v>515</v>
      </c>
      <c r="D17" s="269">
        <f>E8</f>
        <v>225</v>
      </c>
      <c r="E17" s="269"/>
      <c r="F17" s="277">
        <f>E17*D17</f>
        <v>0</v>
      </c>
    </row>
    <row r="18" spans="1:6">
      <c r="A18" s="2334">
        <v>1</v>
      </c>
      <c r="B18" s="276" t="s">
        <v>542</v>
      </c>
      <c r="C18" s="2334" t="s">
        <v>515</v>
      </c>
      <c r="D18" s="274">
        <f>D17*D15</f>
        <v>6750</v>
      </c>
      <c r="E18" s="269">
        <v>60000</v>
      </c>
      <c r="F18" s="278">
        <f>D18*E18</f>
        <v>405000000</v>
      </c>
    </row>
    <row r="19" spans="1:6" ht="15.75" customHeight="1">
      <c r="A19" s="2334">
        <v>2</v>
      </c>
      <c r="B19" s="273" t="s">
        <v>543</v>
      </c>
      <c r="C19" s="177" t="s">
        <v>515</v>
      </c>
      <c r="D19" s="274">
        <f>D18</f>
        <v>6750</v>
      </c>
      <c r="E19" s="274">
        <v>45000</v>
      </c>
      <c r="F19" s="278">
        <f>D19*E19</f>
        <v>303750000</v>
      </c>
    </row>
    <row r="20" spans="1:6">
      <c r="A20" s="2334">
        <v>3</v>
      </c>
      <c r="B20" s="276" t="s">
        <v>544</v>
      </c>
      <c r="C20" s="2334" t="s">
        <v>515</v>
      </c>
      <c r="D20" s="274">
        <f>D18</f>
        <v>6750</v>
      </c>
      <c r="E20" s="269">
        <v>60000</v>
      </c>
      <c r="F20" s="278">
        <f>D20*E20</f>
        <v>405000000</v>
      </c>
    </row>
    <row r="21" spans="1:6">
      <c r="A21" s="2334">
        <v>4</v>
      </c>
      <c r="B21" s="276" t="s">
        <v>545</v>
      </c>
      <c r="C21" s="2334" t="s">
        <v>515</v>
      </c>
      <c r="D21" s="274">
        <f>D18</f>
        <v>6750</v>
      </c>
      <c r="E21" s="269">
        <v>130000</v>
      </c>
      <c r="F21" s="278">
        <f>D21*E21</f>
        <v>877500000</v>
      </c>
    </row>
    <row r="22" spans="1:6">
      <c r="A22" s="2333" t="s">
        <v>489</v>
      </c>
      <c r="B22" s="267" t="s">
        <v>217</v>
      </c>
      <c r="C22" s="2333"/>
      <c r="D22" s="271"/>
      <c r="E22" s="272"/>
      <c r="F22" s="270">
        <f>F23</f>
        <v>300000000</v>
      </c>
    </row>
    <row r="23" spans="1:6">
      <c r="A23" s="177">
        <v>1</v>
      </c>
      <c r="B23" s="279" t="s">
        <v>546</v>
      </c>
      <c r="C23" s="177" t="s">
        <v>540</v>
      </c>
      <c r="D23" s="280">
        <f>D15</f>
        <v>30</v>
      </c>
      <c r="E23" s="274">
        <v>10000000</v>
      </c>
      <c r="F23" s="274">
        <f>D23*E23</f>
        <v>300000000</v>
      </c>
    </row>
    <row r="24" spans="1:6">
      <c r="A24" s="2333" t="s">
        <v>547</v>
      </c>
      <c r="B24" s="267" t="s">
        <v>548</v>
      </c>
      <c r="C24" s="2333"/>
      <c r="D24" s="281"/>
      <c r="E24" s="272"/>
      <c r="F24" s="270">
        <f>F25+F26</f>
        <v>156250000</v>
      </c>
    </row>
    <row r="25" spans="1:6">
      <c r="A25" s="2334">
        <v>1</v>
      </c>
      <c r="B25" s="276" t="s">
        <v>549</v>
      </c>
      <c r="C25" s="282">
        <v>4.4999999999999998E-2</v>
      </c>
      <c r="D25" s="283">
        <v>6</v>
      </c>
      <c r="E25" s="269">
        <f>E38*C25/12</f>
        <v>9375000</v>
      </c>
      <c r="F25" s="277">
        <f>D25*E25</f>
        <v>56250000</v>
      </c>
    </row>
    <row r="26" spans="1:6">
      <c r="A26" s="2334">
        <v>2</v>
      </c>
      <c r="B26" s="276" t="s">
        <v>550</v>
      </c>
      <c r="C26" s="282">
        <v>0.08</v>
      </c>
      <c r="D26" s="283">
        <v>6</v>
      </c>
      <c r="E26" s="269">
        <f>E38*C26/12</f>
        <v>16666666.666666666</v>
      </c>
      <c r="F26" s="277">
        <f>D26*E26</f>
        <v>100000000</v>
      </c>
    </row>
    <row r="27" spans="1:6">
      <c r="A27" s="2333" t="s">
        <v>116</v>
      </c>
      <c r="B27" s="267" t="s">
        <v>551</v>
      </c>
      <c r="C27" s="2334"/>
      <c r="D27" s="284"/>
      <c r="E27" s="284"/>
      <c r="F27" s="285">
        <f>F28</f>
        <v>5872500000</v>
      </c>
    </row>
    <row r="28" spans="1:6" ht="15.75" customHeight="1">
      <c r="A28" s="286">
        <v>1</v>
      </c>
      <c r="B28" s="287" t="s">
        <v>552</v>
      </c>
      <c r="C28" s="286" t="s">
        <v>515</v>
      </c>
      <c r="D28" s="288">
        <f>D18</f>
        <v>6750</v>
      </c>
      <c r="E28" s="289">
        <v>870000</v>
      </c>
      <c r="F28" s="290">
        <f>E28*D28</f>
        <v>5872500000</v>
      </c>
    </row>
    <row r="29" spans="1:6">
      <c r="A29" s="2333" t="s">
        <v>135</v>
      </c>
      <c r="B29" s="267" t="s">
        <v>136</v>
      </c>
      <c r="C29" s="2333"/>
      <c r="D29" s="291"/>
      <c r="E29" s="272"/>
      <c r="F29" s="270">
        <f>F27-F13</f>
        <v>155000000</v>
      </c>
    </row>
    <row r="30" spans="1:6">
      <c r="A30" s="292" t="s">
        <v>553</v>
      </c>
      <c r="B30" s="293"/>
      <c r="C30" s="293"/>
      <c r="D30" s="293"/>
      <c r="E30" s="293"/>
      <c r="F30" s="294"/>
    </row>
    <row r="31" spans="1:6">
      <c r="A31" s="316"/>
      <c r="B31" s="316"/>
      <c r="C31" s="316"/>
      <c r="D31" s="316"/>
      <c r="E31" s="316"/>
      <c r="F31" s="316"/>
    </row>
    <row r="32" spans="1:6" ht="36" customHeight="1">
      <c r="A32" s="2684" t="s">
        <v>554</v>
      </c>
      <c r="B32" s="2684"/>
      <c r="C32" s="2684"/>
      <c r="D32" s="2684"/>
      <c r="E32" s="2684"/>
      <c r="F32" s="2684"/>
    </row>
    <row r="34" spans="2:5">
      <c r="B34" s="311" t="s">
        <v>555</v>
      </c>
      <c r="E34" s="317">
        <f>F13</f>
        <v>5717500000</v>
      </c>
    </row>
    <row r="35" spans="2:5">
      <c r="B35" s="311" t="s">
        <v>556</v>
      </c>
      <c r="E35" s="317">
        <f>E34-F24</f>
        <v>5561250000</v>
      </c>
    </row>
    <row r="36" spans="2:5">
      <c r="B36" s="311" t="s">
        <v>557</v>
      </c>
      <c r="E36" s="318">
        <v>2</v>
      </c>
    </row>
    <row r="37" spans="2:5">
      <c r="B37" s="319" t="s">
        <v>558</v>
      </c>
      <c r="C37" s="319"/>
      <c r="D37" s="319"/>
      <c r="E37" s="320">
        <f>E35/E36</f>
        <v>2780625000</v>
      </c>
    </row>
    <row r="38" spans="2:5">
      <c r="B38" s="319" t="s">
        <v>12</v>
      </c>
      <c r="C38" s="319"/>
      <c r="D38" s="319"/>
      <c r="E38" s="320">
        <f>E5</f>
        <v>2500000000</v>
      </c>
    </row>
    <row r="39" spans="2:5">
      <c r="B39" s="321" t="s">
        <v>559</v>
      </c>
      <c r="C39" s="319"/>
      <c r="D39" s="319"/>
      <c r="E39" s="322">
        <f>E37-E38</f>
        <v>280625000</v>
      </c>
    </row>
    <row r="40" spans="2:5">
      <c r="B40" s="321" t="s">
        <v>560</v>
      </c>
      <c r="C40" s="319"/>
      <c r="D40" s="319"/>
      <c r="E40" s="323">
        <f>E39/E37</f>
        <v>0.10092155540570914</v>
      </c>
    </row>
  </sheetData>
  <mergeCells count="3">
    <mergeCell ref="A10:F10"/>
    <mergeCell ref="E11:F11"/>
    <mergeCell ref="A32:F32"/>
  </mergeCells>
  <pageMargins left="0.45" right="0.3" top="0.75" bottom="0.75" header="0.3" footer="0.3"/>
  <pageSetup paperSize="9"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5"/>
  <sheetViews>
    <sheetView workbookViewId="0">
      <selection activeCell="B25" sqref="B25"/>
    </sheetView>
  </sheetViews>
  <sheetFormatPr defaultColWidth="38.5703125" defaultRowHeight="16.5"/>
  <cols>
    <col min="1" max="1" width="39.85546875" style="86" customWidth="1"/>
    <col min="2" max="2" width="21.28515625" style="86" bestFit="1" customWidth="1"/>
    <col min="3" max="3" width="20.28515625" style="86" bestFit="1" customWidth="1"/>
    <col min="4" max="16384" width="38.5703125" style="86"/>
  </cols>
  <sheetData>
    <row r="1" spans="1:7">
      <c r="C1" s="86" t="s">
        <v>474</v>
      </c>
      <c r="G1" s="310" t="s">
        <v>1020</v>
      </c>
    </row>
    <row r="3" spans="1:7">
      <c r="A3" s="5" t="s">
        <v>64</v>
      </c>
      <c r="B3" s="5" t="s">
        <v>44</v>
      </c>
      <c r="C3" s="5" t="s">
        <v>45</v>
      </c>
    </row>
    <row r="4" spans="1:7">
      <c r="A4" s="11" t="s">
        <v>46</v>
      </c>
      <c r="B4" s="243">
        <v>97500000</v>
      </c>
      <c r="C4" s="243">
        <f>B4*12</f>
        <v>1170000000</v>
      </c>
    </row>
    <row r="5" spans="1:7">
      <c r="A5" s="11" t="s">
        <v>93</v>
      </c>
      <c r="B5" s="18"/>
      <c r="C5" s="18"/>
      <c r="D5" s="251">
        <f>25*3*1300000</f>
        <v>97500000</v>
      </c>
    </row>
    <row r="6" spans="1:7">
      <c r="A6" s="11" t="s">
        <v>48</v>
      </c>
      <c r="B6" s="243">
        <f>SUM(B7:B14)</f>
        <v>76725000</v>
      </c>
      <c r="C6" s="243">
        <f>B6*12</f>
        <v>920700000</v>
      </c>
    </row>
    <row r="7" spans="1:7">
      <c r="A7" s="63" t="s">
        <v>81</v>
      </c>
      <c r="B7" s="243">
        <v>60000000</v>
      </c>
      <c r="C7" s="243">
        <f>B7*12</f>
        <v>720000000</v>
      </c>
    </row>
    <row r="8" spans="1:7">
      <c r="A8" s="63" t="s">
        <v>94</v>
      </c>
      <c r="B8" s="18"/>
      <c r="C8" s="18"/>
      <c r="D8" s="251">
        <f>25*16*150000</f>
        <v>60000000</v>
      </c>
    </row>
    <row r="9" spans="1:7">
      <c r="A9" s="63" t="s">
        <v>95</v>
      </c>
      <c r="B9" s="243">
        <v>6000000</v>
      </c>
      <c r="C9" s="243">
        <f t="shared" ref="C9:C15" si="0">B9*12</f>
        <v>72000000</v>
      </c>
    </row>
    <row r="10" spans="1:7">
      <c r="A10" s="252" t="s">
        <v>68</v>
      </c>
      <c r="B10" s="243">
        <f>B16/B17</f>
        <v>7291666.666666667</v>
      </c>
      <c r="C10" s="243">
        <f t="shared" si="0"/>
        <v>87500000</v>
      </c>
    </row>
    <row r="11" spans="1:7">
      <c r="A11" s="63" t="s">
        <v>85</v>
      </c>
      <c r="B11" s="243">
        <v>1250000</v>
      </c>
      <c r="C11" s="243">
        <f t="shared" si="0"/>
        <v>15000000</v>
      </c>
    </row>
    <row r="12" spans="1:7">
      <c r="A12" s="63" t="s">
        <v>70</v>
      </c>
      <c r="B12" s="243">
        <f>B19</f>
        <v>1583333.3333333333</v>
      </c>
      <c r="C12" s="243">
        <f t="shared" si="0"/>
        <v>19000000</v>
      </c>
    </row>
    <row r="13" spans="1:7">
      <c r="A13" s="63" t="s">
        <v>71</v>
      </c>
      <c r="B13" s="48">
        <v>500000</v>
      </c>
      <c r="C13" s="243">
        <f t="shared" si="0"/>
        <v>6000000</v>
      </c>
    </row>
    <row r="14" spans="1:7">
      <c r="A14" s="63" t="s">
        <v>86</v>
      </c>
      <c r="B14" s="243">
        <v>100000</v>
      </c>
      <c r="C14" s="243">
        <f t="shared" si="0"/>
        <v>1200000</v>
      </c>
    </row>
    <row r="15" spans="1:7" ht="17.25">
      <c r="A15" s="249" t="s">
        <v>60</v>
      </c>
      <c r="B15" s="250">
        <v>2958333</v>
      </c>
      <c r="C15" s="250">
        <f t="shared" si="0"/>
        <v>35499996</v>
      </c>
    </row>
    <row r="16" spans="1:7">
      <c r="A16" s="232" t="s">
        <v>96</v>
      </c>
      <c r="B16" s="233">
        <v>350000000</v>
      </c>
      <c r="C16" s="8"/>
      <c r="D16" s="6"/>
    </row>
    <row r="17" spans="1:4">
      <c r="A17" s="234" t="s">
        <v>6</v>
      </c>
      <c r="B17" s="8">
        <v>48</v>
      </c>
      <c r="C17" s="8"/>
      <c r="D17" s="6"/>
    </row>
    <row r="18" spans="1:4">
      <c r="A18" s="232" t="s">
        <v>12</v>
      </c>
      <c r="B18" s="233">
        <v>100000000</v>
      </c>
      <c r="C18" s="8"/>
      <c r="D18" s="6"/>
    </row>
    <row r="19" spans="1:4">
      <c r="A19" s="234" t="s">
        <v>19</v>
      </c>
      <c r="B19" s="8">
        <f>B18*19%/12</f>
        <v>1583333.3333333333</v>
      </c>
      <c r="C19" s="8"/>
      <c r="D19" s="6"/>
    </row>
    <row r="20" spans="1:4">
      <c r="A20" s="234" t="s">
        <v>88</v>
      </c>
      <c r="B20" s="8">
        <f>B15+B10</f>
        <v>10249999.666666668</v>
      </c>
      <c r="C20" s="27">
        <f>B20*12</f>
        <v>122999996.00000001</v>
      </c>
      <c r="D20" s="6"/>
    </row>
    <row r="21" spans="1:4">
      <c r="A21" s="234" t="s">
        <v>89</v>
      </c>
      <c r="B21" s="8">
        <f>B10*D21/100</f>
        <v>7291666.6666666679</v>
      </c>
      <c r="C21" s="8">
        <f>B21*12</f>
        <v>87500000.000000015</v>
      </c>
      <c r="D21" s="6">
        <v>100</v>
      </c>
    </row>
    <row r="22" spans="1:4">
      <c r="A22" s="234" t="s">
        <v>24</v>
      </c>
      <c r="B22" s="8">
        <f>B15*D22/100</f>
        <v>2662499.7000000002</v>
      </c>
      <c r="C22" s="8">
        <f>B22*12</f>
        <v>31949996.400000002</v>
      </c>
      <c r="D22" s="6">
        <v>90</v>
      </c>
    </row>
    <row r="23" spans="1:4">
      <c r="A23" s="236" t="s">
        <v>91</v>
      </c>
      <c r="B23" s="27">
        <f>B21+B22</f>
        <v>9954166.3666666672</v>
      </c>
      <c r="C23" s="27">
        <f>C21+C22</f>
        <v>119449996.40000002</v>
      </c>
      <c r="D23" s="28"/>
    </row>
    <row r="24" spans="1:4">
      <c r="A24" s="28"/>
      <c r="B24" s="27"/>
      <c r="C24" s="27"/>
      <c r="D24" s="28"/>
    </row>
    <row r="25" spans="1:4">
      <c r="A25" s="6" t="s">
        <v>24</v>
      </c>
      <c r="B25" s="8"/>
      <c r="C25" s="27">
        <f>B25*12</f>
        <v>0</v>
      </c>
      <c r="D25" s="6"/>
    </row>
  </sheetData>
  <pageMargins left="0.75" right="0.75" top="1" bottom="1" header="0.5" footer="0.5"/>
  <headerFooter alignWithMargins="0"/>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8"/>
  <sheetViews>
    <sheetView workbookViewId="0">
      <selection activeCell="A29" sqref="A29"/>
    </sheetView>
  </sheetViews>
  <sheetFormatPr defaultColWidth="8.85546875" defaultRowHeight="16.5"/>
  <cols>
    <col min="1" max="1" width="45.28515625" style="6" customWidth="1"/>
    <col min="2" max="2" width="19.5703125" style="8" bestFit="1" customWidth="1"/>
    <col min="3" max="3" width="19.42578125" style="8" bestFit="1" customWidth="1"/>
    <col min="4" max="4" width="17.5703125" style="6" customWidth="1"/>
    <col min="5" max="5" width="8.85546875" style="6" customWidth="1"/>
    <col min="6" max="6" width="21.140625" style="6" bestFit="1" customWidth="1"/>
    <col min="7" max="16384" width="8.85546875" style="6"/>
  </cols>
  <sheetData>
    <row r="1" spans="1:7">
      <c r="C1" s="8" t="s">
        <v>475</v>
      </c>
      <c r="G1" s="308" t="s">
        <v>1020</v>
      </c>
    </row>
    <row r="3" spans="1:7">
      <c r="A3" s="16" t="s">
        <v>64</v>
      </c>
      <c r="B3" s="253" t="s">
        <v>44</v>
      </c>
      <c r="C3" s="253" t="s">
        <v>45</v>
      </c>
    </row>
    <row r="4" spans="1:7">
      <c r="A4" s="69" t="s">
        <v>46</v>
      </c>
      <c r="B4" s="2685">
        <f>25*12*450000</f>
        <v>135000000</v>
      </c>
      <c r="C4" s="2685">
        <f>B4*12</f>
        <v>1620000000</v>
      </c>
    </row>
    <row r="5" spans="1:7" ht="17.25" customHeight="1">
      <c r="A5" s="21" t="s">
        <v>80</v>
      </c>
      <c r="B5" s="2685"/>
      <c r="C5" s="2685"/>
      <c r="F5" s="8">
        <f>25*245000*20</f>
        <v>122500000</v>
      </c>
    </row>
    <row r="6" spans="1:7">
      <c r="A6" s="69" t="s">
        <v>48</v>
      </c>
      <c r="B6" s="254">
        <f>SUM(B7:B14)</f>
        <v>124500000</v>
      </c>
      <c r="C6" s="254">
        <f>B6*12</f>
        <v>1494000000</v>
      </c>
    </row>
    <row r="7" spans="1:7">
      <c r="A7" s="21" t="s">
        <v>81</v>
      </c>
      <c r="B7" s="2686">
        <f>25*12*300000</f>
        <v>90000000</v>
      </c>
      <c r="C7" s="2686">
        <f>B7*12</f>
        <v>1080000000</v>
      </c>
      <c r="F7" s="6">
        <f>22*16*200000</f>
        <v>70400000</v>
      </c>
    </row>
    <row r="8" spans="1:7" ht="18.75" customHeight="1">
      <c r="A8" s="21" t="s">
        <v>82</v>
      </c>
      <c r="B8" s="2686"/>
      <c r="C8" s="2686"/>
    </row>
    <row r="9" spans="1:7">
      <c r="A9" s="21" t="s">
        <v>83</v>
      </c>
      <c r="B9" s="255">
        <v>6000000</v>
      </c>
      <c r="C9" s="255">
        <f t="shared" ref="C9:C15" si="0">B9*12</f>
        <v>72000000</v>
      </c>
    </row>
    <row r="10" spans="1:7">
      <c r="A10" s="21" t="s">
        <v>84</v>
      </c>
      <c r="B10" s="255">
        <f>B16/B19</f>
        <v>12500000</v>
      </c>
      <c r="C10" s="255">
        <f t="shared" si="0"/>
        <v>150000000</v>
      </c>
    </row>
    <row r="11" spans="1:7">
      <c r="A11" s="21" t="s">
        <v>85</v>
      </c>
      <c r="B11" s="255">
        <v>5000000</v>
      </c>
      <c r="C11" s="255">
        <f t="shared" si="0"/>
        <v>60000000</v>
      </c>
    </row>
    <row r="12" spans="1:7">
      <c r="A12" s="21" t="s">
        <v>70</v>
      </c>
      <c r="B12" s="255">
        <f>B20</f>
        <v>5000000</v>
      </c>
      <c r="C12" s="255">
        <f t="shared" si="0"/>
        <v>60000000</v>
      </c>
    </row>
    <row r="13" spans="1:7">
      <c r="A13" s="21" t="s">
        <v>71</v>
      </c>
      <c r="B13" s="255">
        <v>5000000</v>
      </c>
      <c r="C13" s="255">
        <f t="shared" si="0"/>
        <v>60000000</v>
      </c>
    </row>
    <row r="14" spans="1:7">
      <c r="A14" s="21" t="s">
        <v>86</v>
      </c>
      <c r="B14" s="255">
        <v>1000000</v>
      </c>
      <c r="C14" s="255">
        <f t="shared" si="0"/>
        <v>12000000</v>
      </c>
    </row>
    <row r="15" spans="1:7" s="110" customFormat="1" ht="17.25">
      <c r="A15" s="256" t="s">
        <v>60</v>
      </c>
      <c r="B15" s="257">
        <f>B4-B6</f>
        <v>10500000</v>
      </c>
      <c r="C15" s="257">
        <f t="shared" si="0"/>
        <v>126000000</v>
      </c>
    </row>
    <row r="16" spans="1:7">
      <c r="A16" s="232" t="s">
        <v>87</v>
      </c>
      <c r="B16" s="233">
        <v>750000000</v>
      </c>
    </row>
    <row r="17" spans="1:5">
      <c r="A17" s="232" t="s">
        <v>26</v>
      </c>
      <c r="B17" s="233">
        <f>B16-B18</f>
        <v>250000000</v>
      </c>
      <c r="C17" s="15">
        <f>B17/B16</f>
        <v>0.33333333333333331</v>
      </c>
    </row>
    <row r="18" spans="1:5">
      <c r="A18" s="232" t="s">
        <v>12</v>
      </c>
      <c r="B18" s="233">
        <v>500000000</v>
      </c>
    </row>
    <row r="19" spans="1:5">
      <c r="A19" s="234" t="s">
        <v>6</v>
      </c>
      <c r="B19" s="8">
        <v>60</v>
      </c>
    </row>
    <row r="20" spans="1:5">
      <c r="A20" s="234" t="s">
        <v>19</v>
      </c>
      <c r="B20" s="8">
        <f>B18*12%/12</f>
        <v>5000000</v>
      </c>
    </row>
    <row r="21" spans="1:5">
      <c r="A21" s="234" t="s">
        <v>88</v>
      </c>
      <c r="B21" s="8">
        <f>B15+B10</f>
        <v>23000000</v>
      </c>
      <c r="C21" s="27">
        <f>B21*12</f>
        <v>276000000</v>
      </c>
    </row>
    <row r="22" spans="1:5">
      <c r="A22" s="234" t="s">
        <v>89</v>
      </c>
      <c r="B22" s="8">
        <f>B10*D22/100</f>
        <v>12500000</v>
      </c>
      <c r="C22" s="8">
        <f>B22*12</f>
        <v>150000000</v>
      </c>
      <c r="D22" s="6">
        <v>100</v>
      </c>
      <c r="E22" s="6" t="s">
        <v>90</v>
      </c>
    </row>
    <row r="23" spans="1:5">
      <c r="A23" s="234" t="s">
        <v>24</v>
      </c>
      <c r="B23" s="8">
        <f>B15*D23/100</f>
        <v>9450000</v>
      </c>
      <c r="C23" s="8">
        <f>B23*12</f>
        <v>113400000</v>
      </c>
      <c r="D23" s="6">
        <v>90</v>
      </c>
      <c r="E23" s="6" t="s">
        <v>90</v>
      </c>
    </row>
    <row r="24" spans="1:5" s="28" customFormat="1">
      <c r="A24" s="236" t="s">
        <v>91</v>
      </c>
      <c r="B24" s="27">
        <f>B22+B23</f>
        <v>21950000</v>
      </c>
      <c r="C24" s="27">
        <f>C22+C23</f>
        <v>263400000</v>
      </c>
    </row>
    <row r="25" spans="1:5" s="28" customFormat="1">
      <c r="B25" s="27"/>
      <c r="C25" s="27"/>
    </row>
    <row r="26" spans="1:5">
      <c r="A26" s="6" t="s">
        <v>24</v>
      </c>
      <c r="B26" s="8">
        <f>C15</f>
        <v>126000000</v>
      </c>
      <c r="C26" s="27">
        <f>B26*12</f>
        <v>1512000000</v>
      </c>
    </row>
    <row r="27" spans="1:5">
      <c r="A27" s="6" t="s">
        <v>92</v>
      </c>
      <c r="B27" s="8">
        <f>C10</f>
        <v>150000000</v>
      </c>
      <c r="C27" s="27">
        <f>B27*12</f>
        <v>1800000000</v>
      </c>
    </row>
    <row r="28" spans="1:5">
      <c r="A28" s="6" t="s">
        <v>25</v>
      </c>
      <c r="C28" s="8">
        <f>C26+C27</f>
        <v>3312000000</v>
      </c>
    </row>
  </sheetData>
  <mergeCells count="4">
    <mergeCell ref="B4:B5"/>
    <mergeCell ref="C4:C5"/>
    <mergeCell ref="B7:B8"/>
    <mergeCell ref="C7:C8"/>
  </mergeCells>
  <pageMargins left="0.75" right="0.75" top="1" bottom="1" header="0.5" footer="0.5"/>
  <pageSetup orientation="portrait" horizontalDpi="300" verticalDpi="300" r:id="rId1"/>
  <headerFooter alignWithMargins="0"/>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6"/>
  <sheetViews>
    <sheetView workbookViewId="0">
      <selection activeCell="C2" sqref="C2"/>
    </sheetView>
  </sheetViews>
  <sheetFormatPr defaultRowHeight="16.5"/>
  <cols>
    <col min="1" max="1" width="40" style="6" bestFit="1" customWidth="1"/>
    <col min="2" max="2" width="15.85546875" style="6" bestFit="1" customWidth="1"/>
    <col min="3" max="3" width="16.42578125" style="6" bestFit="1" customWidth="1"/>
    <col min="4" max="4" width="15.5703125" style="6" customWidth="1"/>
    <col min="5" max="6" width="8.140625" style="6" customWidth="1"/>
    <col min="7" max="7" width="10.140625" style="6" customWidth="1"/>
    <col min="8" max="8" width="10.28515625" style="6" bestFit="1" customWidth="1"/>
    <col min="9" max="16384" width="9.140625" style="6"/>
  </cols>
  <sheetData>
    <row r="1" spans="1:7">
      <c r="C1" s="6" t="s">
        <v>477</v>
      </c>
      <c r="G1" s="308" t="s">
        <v>1020</v>
      </c>
    </row>
    <row r="3" spans="1:7">
      <c r="A3" s="16" t="s">
        <v>64</v>
      </c>
      <c r="B3" s="5" t="s">
        <v>44</v>
      </c>
      <c r="C3" s="5" t="s">
        <v>45</v>
      </c>
    </row>
    <row r="4" spans="1:7">
      <c r="A4" s="17" t="s">
        <v>46</v>
      </c>
      <c r="B4" s="2687">
        <f>20*3200000</f>
        <v>64000000</v>
      </c>
      <c r="C4" s="2687">
        <f>B4*12</f>
        <v>768000000</v>
      </c>
    </row>
    <row r="5" spans="1:7">
      <c r="A5" s="18" t="s">
        <v>65</v>
      </c>
      <c r="B5" s="2688"/>
      <c r="C5" s="2688"/>
    </row>
    <row r="6" spans="1:7">
      <c r="A6" s="17" t="s">
        <v>48</v>
      </c>
      <c r="B6" s="19">
        <f>SUM(B7:B15)</f>
        <v>55688888.888888888</v>
      </c>
      <c r="C6" s="19">
        <f>SUM(C7:C15)</f>
        <v>668266666.66666675</v>
      </c>
    </row>
    <row r="7" spans="1:7">
      <c r="A7" s="18" t="s">
        <v>49</v>
      </c>
      <c r="B7" s="2689">
        <f>20*1500000</f>
        <v>30000000</v>
      </c>
      <c r="C7" s="2689">
        <f>B7*12</f>
        <v>360000000</v>
      </c>
    </row>
    <row r="8" spans="1:7">
      <c r="A8" s="18" t="s">
        <v>66</v>
      </c>
      <c r="B8" s="2690"/>
      <c r="C8" s="2690"/>
    </row>
    <row r="9" spans="1:7">
      <c r="A9" s="18" t="s">
        <v>67</v>
      </c>
      <c r="B9" s="20">
        <v>6000000</v>
      </c>
      <c r="C9" s="20">
        <f t="shared" ref="C9:C15" si="0">B9*12</f>
        <v>72000000</v>
      </c>
    </row>
    <row r="10" spans="1:7">
      <c r="A10" s="18" t="s">
        <v>68</v>
      </c>
      <c r="B10" s="20">
        <f>B18/B19</f>
        <v>2388888.888888889</v>
      </c>
      <c r="C10" s="20">
        <f t="shared" si="0"/>
        <v>28666666.666666668</v>
      </c>
    </row>
    <row r="11" spans="1:7">
      <c r="A11" s="18" t="s">
        <v>69</v>
      </c>
      <c r="B11" s="20">
        <v>4000000</v>
      </c>
      <c r="C11" s="20">
        <f t="shared" si="0"/>
        <v>48000000</v>
      </c>
    </row>
    <row r="12" spans="1:7">
      <c r="A12" s="18" t="s">
        <v>70</v>
      </c>
      <c r="B12" s="20">
        <f>B20*B22/12</f>
        <v>2700000</v>
      </c>
      <c r="C12" s="20">
        <f t="shared" si="0"/>
        <v>32400000</v>
      </c>
    </row>
    <row r="13" spans="1:7">
      <c r="A13" s="21" t="s">
        <v>71</v>
      </c>
      <c r="B13" s="20">
        <v>10000000</v>
      </c>
      <c r="C13" s="20">
        <f t="shared" si="0"/>
        <v>120000000</v>
      </c>
    </row>
    <row r="14" spans="1:7">
      <c r="A14" s="21" t="s">
        <v>72</v>
      </c>
      <c r="B14" s="20">
        <v>500000</v>
      </c>
      <c r="C14" s="20">
        <f t="shared" si="0"/>
        <v>6000000</v>
      </c>
    </row>
    <row r="15" spans="1:7">
      <c r="A15" s="21" t="s">
        <v>73</v>
      </c>
      <c r="B15" s="20">
        <v>100000</v>
      </c>
      <c r="C15" s="20">
        <f t="shared" si="0"/>
        <v>1200000</v>
      </c>
    </row>
    <row r="16" spans="1:7">
      <c r="A16" s="22" t="s">
        <v>60</v>
      </c>
      <c r="B16" s="149">
        <f>B4-B6</f>
        <v>8311111.1111111119</v>
      </c>
      <c r="C16" s="149">
        <f>C4-C6</f>
        <v>99733333.333333254</v>
      </c>
      <c r="D16" s="56"/>
    </row>
    <row r="17" spans="1:5">
      <c r="A17" s="258"/>
      <c r="B17" s="259"/>
      <c r="C17" s="259"/>
      <c r="D17" s="56"/>
    </row>
    <row r="18" spans="1:5">
      <c r="A18" s="23" t="s">
        <v>61</v>
      </c>
      <c r="B18" s="260">
        <v>430000000</v>
      </c>
      <c r="C18" s="8"/>
    </row>
    <row r="19" spans="1:5">
      <c r="A19" s="24" t="s">
        <v>6</v>
      </c>
      <c r="B19" s="25">
        <v>180</v>
      </c>
      <c r="C19" s="26" t="s">
        <v>74</v>
      </c>
    </row>
    <row r="20" spans="1:5">
      <c r="A20" s="24" t="s">
        <v>12</v>
      </c>
      <c r="B20" s="25">
        <v>300000000</v>
      </c>
      <c r="C20" s="8"/>
    </row>
    <row r="21" spans="1:5">
      <c r="A21" s="24" t="s">
        <v>75</v>
      </c>
      <c r="B21" s="25">
        <f>B18-B20</f>
        <v>130000000</v>
      </c>
      <c r="C21" s="15">
        <f>B21/B18</f>
        <v>0.30232558139534882</v>
      </c>
    </row>
    <row r="22" spans="1:5">
      <c r="A22" s="24" t="s">
        <v>76</v>
      </c>
      <c r="B22" s="261">
        <v>0.108</v>
      </c>
      <c r="C22" s="15"/>
    </row>
    <row r="23" spans="1:5">
      <c r="B23" s="8"/>
      <c r="C23" s="8"/>
    </row>
    <row r="24" spans="1:5">
      <c r="B24" s="8"/>
      <c r="C24" s="8"/>
    </row>
    <row r="25" spans="1:5">
      <c r="B25" s="8"/>
      <c r="C25" s="8"/>
    </row>
    <row r="26" spans="1:5">
      <c r="B26" s="27"/>
      <c r="C26" s="27"/>
      <c r="D26" s="28"/>
      <c r="E26" s="28"/>
    </row>
  </sheetData>
  <mergeCells count="4">
    <mergeCell ref="B4:B5"/>
    <mergeCell ref="C4:C5"/>
    <mergeCell ref="B7:B8"/>
    <mergeCell ref="C7:C8"/>
  </mergeCells>
  <pageMargins left="0.75" right="0.75" top="1" bottom="1" header="0.5" footer="0.5"/>
  <pageSetup paperSize="9" orientation="portrait" verticalDpi="0" r:id="rId1"/>
  <headerFooter alignWithMargins="0"/>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6"/>
  <sheetViews>
    <sheetView workbookViewId="0">
      <selection activeCell="D6" sqref="D6"/>
    </sheetView>
  </sheetViews>
  <sheetFormatPr defaultRowHeight="16.5"/>
  <cols>
    <col min="1" max="1" width="51.42578125" style="6" customWidth="1"/>
    <col min="2" max="3" width="17.85546875" style="6" bestFit="1" customWidth="1"/>
    <col min="4" max="4" width="15.5703125" style="6" customWidth="1"/>
    <col min="5" max="6" width="8.140625" style="6" customWidth="1"/>
    <col min="7" max="7" width="10.140625" style="6" customWidth="1"/>
    <col min="8" max="8" width="10.28515625" style="6" bestFit="1" customWidth="1"/>
    <col min="9" max="16384" width="9.140625" style="6"/>
  </cols>
  <sheetData>
    <row r="1" spans="1:7">
      <c r="C1" s="6" t="s">
        <v>476</v>
      </c>
      <c r="G1" s="308" t="s">
        <v>1020</v>
      </c>
    </row>
    <row r="3" spans="1:7">
      <c r="A3" s="16" t="s">
        <v>64</v>
      </c>
      <c r="B3" s="5" t="s">
        <v>44</v>
      </c>
      <c r="C3" s="5" t="s">
        <v>45</v>
      </c>
    </row>
    <row r="4" spans="1:7">
      <c r="A4" s="17" t="s">
        <v>46</v>
      </c>
      <c r="B4" s="2691">
        <f>24*200000*35</f>
        <v>168000000</v>
      </c>
      <c r="C4" s="2691">
        <f>B4*12</f>
        <v>2016000000</v>
      </c>
    </row>
    <row r="5" spans="1:7">
      <c r="A5" s="18" t="s">
        <v>77</v>
      </c>
      <c r="B5" s="2691"/>
      <c r="C5" s="2691"/>
    </row>
    <row r="6" spans="1:7">
      <c r="A6" s="17" t="s">
        <v>48</v>
      </c>
      <c r="B6" s="19">
        <f>SUM(B8:B15)</f>
        <v>97908333.333333328</v>
      </c>
      <c r="C6" s="19">
        <f>SUM(C8:C15)</f>
        <v>1174900000</v>
      </c>
    </row>
    <row r="7" spans="1:7">
      <c r="A7" s="18" t="s">
        <v>49</v>
      </c>
      <c r="B7" s="18"/>
      <c r="C7" s="18"/>
    </row>
    <row r="8" spans="1:7">
      <c r="A8" s="18" t="s">
        <v>78</v>
      </c>
      <c r="B8" s="29">
        <f>24*1500000</f>
        <v>36000000</v>
      </c>
      <c r="C8" s="29">
        <f>B8*12</f>
        <v>432000000</v>
      </c>
    </row>
    <row r="9" spans="1:7">
      <c r="A9" s="18" t="s">
        <v>79</v>
      </c>
      <c r="B9" s="30">
        <v>2000000</v>
      </c>
      <c r="C9" s="29">
        <f>B9*12</f>
        <v>24000000</v>
      </c>
    </row>
    <row r="10" spans="1:7">
      <c r="A10" s="18" t="s">
        <v>67</v>
      </c>
      <c r="B10" s="20">
        <v>5000000</v>
      </c>
      <c r="C10" s="20">
        <f t="shared" ref="C10:C15" si="0">B10*12</f>
        <v>60000000</v>
      </c>
    </row>
    <row r="11" spans="1:7">
      <c r="A11" s="18" t="s">
        <v>68</v>
      </c>
      <c r="B11" s="20">
        <f>B18/B19</f>
        <v>14275000</v>
      </c>
      <c r="C11" s="20">
        <f t="shared" si="0"/>
        <v>171300000</v>
      </c>
    </row>
    <row r="12" spans="1:7">
      <c r="A12" s="18" t="s">
        <v>69</v>
      </c>
      <c r="B12" s="20">
        <v>13000000</v>
      </c>
      <c r="C12" s="20">
        <f t="shared" si="0"/>
        <v>156000000</v>
      </c>
    </row>
    <row r="13" spans="1:7">
      <c r="A13" s="18" t="s">
        <v>70</v>
      </c>
      <c r="B13" s="20">
        <f>B20*B22/12</f>
        <v>5833333.333333333</v>
      </c>
      <c r="C13" s="20">
        <f t="shared" si="0"/>
        <v>70000000</v>
      </c>
    </row>
    <row r="14" spans="1:7">
      <c r="A14" s="21" t="s">
        <v>71</v>
      </c>
      <c r="B14" s="20">
        <v>5000000</v>
      </c>
      <c r="C14" s="20">
        <f t="shared" si="0"/>
        <v>60000000</v>
      </c>
    </row>
    <row r="15" spans="1:7">
      <c r="A15" s="21" t="s">
        <v>72</v>
      </c>
      <c r="B15" s="20">
        <f>0.1*B4</f>
        <v>16800000</v>
      </c>
      <c r="C15" s="20">
        <f t="shared" si="0"/>
        <v>201600000</v>
      </c>
    </row>
    <row r="16" spans="1:7">
      <c r="A16" s="22" t="s">
        <v>60</v>
      </c>
      <c r="B16" s="149">
        <f>B4-B6</f>
        <v>70091666.666666672</v>
      </c>
      <c r="C16" s="149">
        <f>C4-C6</f>
        <v>841100000</v>
      </c>
      <c r="D16" s="56"/>
    </row>
    <row r="17" spans="1:5">
      <c r="A17" s="258"/>
      <c r="B17" s="259"/>
      <c r="C17" s="259"/>
      <c r="D17" s="56"/>
    </row>
    <row r="18" spans="1:5">
      <c r="A18" s="23" t="s">
        <v>61</v>
      </c>
      <c r="B18" s="260">
        <v>1713000000</v>
      </c>
      <c r="C18" s="8"/>
    </row>
    <row r="19" spans="1:5">
      <c r="A19" s="24" t="s">
        <v>6</v>
      </c>
      <c r="B19" s="25">
        <v>120</v>
      </c>
      <c r="C19" s="26" t="s">
        <v>74</v>
      </c>
    </row>
    <row r="20" spans="1:5">
      <c r="A20" s="24" t="s">
        <v>12</v>
      </c>
      <c r="B20" s="25">
        <v>1000000000</v>
      </c>
      <c r="C20" s="8"/>
    </row>
    <row r="21" spans="1:5">
      <c r="A21" s="24" t="s">
        <v>75</v>
      </c>
      <c r="B21" s="25">
        <f>B18-B20</f>
        <v>713000000</v>
      </c>
      <c r="C21" s="15">
        <f>B21/B18</f>
        <v>0.4162288382953882</v>
      </c>
    </row>
    <row r="22" spans="1:5">
      <c r="A22" s="24" t="s">
        <v>76</v>
      </c>
      <c r="B22" s="261">
        <v>7.0000000000000007E-2</v>
      </c>
      <c r="C22" s="15"/>
    </row>
    <row r="23" spans="1:5">
      <c r="B23" s="8"/>
      <c r="C23" s="8"/>
    </row>
    <row r="24" spans="1:5">
      <c r="B24" s="8"/>
      <c r="C24" s="8"/>
    </row>
    <row r="25" spans="1:5">
      <c r="B25" s="8"/>
      <c r="C25" s="8"/>
    </row>
    <row r="26" spans="1:5">
      <c r="B26" s="27"/>
      <c r="C26" s="27"/>
      <c r="D26" s="28"/>
      <c r="E26" s="28"/>
    </row>
  </sheetData>
  <mergeCells count="2">
    <mergeCell ref="B4:B5"/>
    <mergeCell ref="C4:C5"/>
  </mergeCells>
  <pageMargins left="0.75" right="0.75" top="1" bottom="1" header="0.5" footer="0.5"/>
  <pageSetup paperSize="9" orientation="portrait" verticalDpi="0" r:id="rId1"/>
  <headerFooter alignWithMargins="0"/>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24"/>
  <sheetViews>
    <sheetView workbookViewId="0">
      <selection activeCell="A9" sqref="A9"/>
    </sheetView>
  </sheetViews>
  <sheetFormatPr defaultRowHeight="16.5"/>
  <cols>
    <col min="1" max="1" width="54.7109375" style="6" customWidth="1"/>
    <col min="2" max="2" width="17.85546875" style="6" bestFit="1" customWidth="1"/>
    <col min="3" max="3" width="16" style="6" bestFit="1" customWidth="1"/>
    <col min="4" max="4" width="25.7109375" style="6" customWidth="1"/>
    <col min="5" max="16384" width="9.140625" style="6"/>
  </cols>
  <sheetData>
    <row r="1" spans="1:7">
      <c r="C1" s="6" t="s">
        <v>478</v>
      </c>
      <c r="G1" s="308" t="s">
        <v>1020</v>
      </c>
    </row>
    <row r="3" spans="1:7">
      <c r="A3" s="4" t="s">
        <v>43</v>
      </c>
      <c r="B3" s="5" t="s">
        <v>44</v>
      </c>
      <c r="C3" s="5" t="s">
        <v>45</v>
      </c>
    </row>
    <row r="4" spans="1:7">
      <c r="A4" s="7" t="s">
        <v>46</v>
      </c>
      <c r="B4" s="2692">
        <f>30*200000*25*2</f>
        <v>300000000</v>
      </c>
      <c r="C4" s="2692">
        <f>B4*12</f>
        <v>3600000000</v>
      </c>
      <c r="D4" s="8"/>
    </row>
    <row r="5" spans="1:7">
      <c r="A5" s="9" t="s">
        <v>47</v>
      </c>
      <c r="B5" s="2693"/>
      <c r="C5" s="2693"/>
      <c r="D5" s="8"/>
    </row>
    <row r="6" spans="1:7">
      <c r="A6" s="7" t="s">
        <v>48</v>
      </c>
      <c r="B6" s="10">
        <f>SUM(B7:B17)</f>
        <v>212502500.00000003</v>
      </c>
      <c r="C6" s="10">
        <f>SUM(C7:C17)</f>
        <v>2550030000</v>
      </c>
      <c r="D6" s="8"/>
    </row>
    <row r="7" spans="1:7">
      <c r="A7" s="11" t="s">
        <v>49</v>
      </c>
      <c r="B7" s="2694">
        <f>25*2*1400000</f>
        <v>70000000</v>
      </c>
      <c r="C7" s="2694">
        <f>B7*12</f>
        <v>840000000</v>
      </c>
      <c r="D7" s="8"/>
    </row>
    <row r="8" spans="1:7">
      <c r="A8" s="9" t="s">
        <v>50</v>
      </c>
      <c r="B8" s="2695"/>
      <c r="C8" s="2695"/>
      <c r="D8" s="8"/>
    </row>
    <row r="9" spans="1:7" ht="33">
      <c r="A9" s="11" t="s">
        <v>51</v>
      </c>
      <c r="B9" s="12">
        <f>150000*2*2*25</f>
        <v>15000000</v>
      </c>
      <c r="C9" s="12">
        <f t="shared" ref="C9:C17" si="0">B9*12</f>
        <v>180000000</v>
      </c>
      <c r="D9" s="8"/>
    </row>
    <row r="10" spans="1:7" ht="33">
      <c r="A10" s="11" t="s">
        <v>52</v>
      </c>
      <c r="B10" s="12">
        <f>4500000*2</f>
        <v>9000000</v>
      </c>
      <c r="C10" s="12">
        <f t="shared" si="0"/>
        <v>108000000</v>
      </c>
      <c r="D10" s="8"/>
    </row>
    <row r="11" spans="1:7">
      <c r="A11" s="11" t="s">
        <v>53</v>
      </c>
      <c r="B11" s="12">
        <f>B20/B23</f>
        <v>25669166.666666668</v>
      </c>
      <c r="C11" s="12">
        <f t="shared" si="0"/>
        <v>308030000</v>
      </c>
      <c r="D11" s="8"/>
    </row>
    <row r="12" spans="1:7">
      <c r="A12" s="11" t="s">
        <v>54</v>
      </c>
      <c r="B12" s="12">
        <v>30000000</v>
      </c>
      <c r="C12" s="12">
        <f t="shared" si="0"/>
        <v>360000000</v>
      </c>
      <c r="D12" s="8"/>
    </row>
    <row r="13" spans="1:7">
      <c r="A13" s="11" t="s">
        <v>55</v>
      </c>
      <c r="B13" s="12">
        <f>B21*B24/12</f>
        <v>5833333.333333333</v>
      </c>
      <c r="C13" s="12">
        <f t="shared" si="0"/>
        <v>70000000</v>
      </c>
      <c r="D13" s="8"/>
    </row>
    <row r="14" spans="1:7" ht="33">
      <c r="A14" s="11" t="s">
        <v>56</v>
      </c>
      <c r="B14" s="13">
        <f>150000*4*25</f>
        <v>15000000</v>
      </c>
      <c r="C14" s="12">
        <f t="shared" si="0"/>
        <v>180000000</v>
      </c>
      <c r="D14" s="8"/>
    </row>
    <row r="15" spans="1:7">
      <c r="A15" s="11" t="s">
        <v>57</v>
      </c>
      <c r="B15" s="12">
        <f>2000000*12</f>
        <v>24000000</v>
      </c>
      <c r="C15" s="12">
        <f t="shared" si="0"/>
        <v>288000000</v>
      </c>
      <c r="D15" s="8"/>
    </row>
    <row r="16" spans="1:7">
      <c r="A16" s="11" t="s">
        <v>58</v>
      </c>
      <c r="B16" s="12">
        <v>15000000</v>
      </c>
      <c r="C16" s="12">
        <f t="shared" si="0"/>
        <v>180000000</v>
      </c>
      <c r="D16" s="8"/>
    </row>
    <row r="17" spans="1:4">
      <c r="A17" s="11" t="s">
        <v>59</v>
      </c>
      <c r="B17" s="12">
        <v>3000000</v>
      </c>
      <c r="C17" s="12">
        <f t="shared" si="0"/>
        <v>36000000</v>
      </c>
      <c r="D17" s="8"/>
    </row>
    <row r="18" spans="1:4" ht="17.25">
      <c r="A18" s="14" t="s">
        <v>60</v>
      </c>
      <c r="B18" s="10">
        <f>B4-B6</f>
        <v>87497499.99999997</v>
      </c>
      <c r="C18" s="10">
        <f>C4-C6</f>
        <v>1049970000</v>
      </c>
      <c r="D18" s="8"/>
    </row>
    <row r="20" spans="1:4">
      <c r="A20" s="6" t="s">
        <v>61</v>
      </c>
      <c r="B20" s="8">
        <v>3080300000</v>
      </c>
    </row>
    <row r="21" spans="1:4">
      <c r="A21" s="6" t="s">
        <v>12</v>
      </c>
      <c r="B21" s="8">
        <v>1000000000</v>
      </c>
    </row>
    <row r="22" spans="1:4">
      <c r="A22" s="6" t="s">
        <v>26</v>
      </c>
      <c r="B22" s="8">
        <f>B20-B21</f>
        <v>2080300000</v>
      </c>
      <c r="C22" s="15">
        <f>B22/B20</f>
        <v>0.67535629646463002</v>
      </c>
    </row>
    <row r="23" spans="1:4">
      <c r="A23" s="6" t="s">
        <v>62</v>
      </c>
      <c r="B23" s="6">
        <v>120</v>
      </c>
    </row>
    <row r="24" spans="1:4">
      <c r="A24" s="6" t="s">
        <v>63</v>
      </c>
      <c r="B24" s="15">
        <v>7.0000000000000007E-2</v>
      </c>
    </row>
  </sheetData>
  <mergeCells count="4">
    <mergeCell ref="B4:B5"/>
    <mergeCell ref="C4:C5"/>
    <mergeCell ref="B7:B8"/>
    <mergeCell ref="C7:C8"/>
  </mergeCells>
  <pageMargins left="0.75" right="0.75" top="1" bottom="1" header="0.5" footer="0.5"/>
  <pageSetup paperSize="9" orientation="portrait" verticalDpi="0" r:id="rId1"/>
  <headerFooter alignWithMargins="0"/>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J35"/>
  <sheetViews>
    <sheetView workbookViewId="0">
      <selection activeCell="C1" sqref="C1"/>
    </sheetView>
  </sheetViews>
  <sheetFormatPr defaultRowHeight="16.5"/>
  <cols>
    <col min="1" max="1" width="4.42578125" style="381" bestFit="1" customWidth="1"/>
    <col min="2" max="2" width="39.85546875" style="381" customWidth="1"/>
    <col min="3" max="4" width="13.42578125" style="381" customWidth="1"/>
    <col min="5" max="5" width="12.85546875" style="439" bestFit="1" customWidth="1"/>
    <col min="6" max="6" width="17.42578125" style="439" bestFit="1" customWidth="1"/>
    <col min="7" max="7" width="18.5703125" style="381" bestFit="1" customWidth="1"/>
    <col min="8" max="9" width="18.42578125" style="381" bestFit="1" customWidth="1"/>
    <col min="10" max="10" width="15.85546875" style="439" bestFit="1" customWidth="1"/>
    <col min="11" max="16384" width="9.140625" style="381"/>
  </cols>
  <sheetData>
    <row r="1" spans="1:10">
      <c r="C1" s="381" t="s">
        <v>917</v>
      </c>
      <c r="G1" s="438" t="s">
        <v>1020</v>
      </c>
    </row>
    <row r="4" spans="1:10">
      <c r="A4" s="395" t="s">
        <v>0</v>
      </c>
      <c r="B4" s="395" t="s">
        <v>103</v>
      </c>
      <c r="C4" s="395" t="s">
        <v>1</v>
      </c>
      <c r="D4" s="395" t="s">
        <v>2</v>
      </c>
      <c r="E4" s="2342" t="s">
        <v>3</v>
      </c>
      <c r="F4" s="2342" t="s">
        <v>873</v>
      </c>
    </row>
    <row r="5" spans="1:10">
      <c r="A5" s="367" t="s">
        <v>109</v>
      </c>
      <c r="B5" s="365" t="s">
        <v>237</v>
      </c>
      <c r="C5" s="365"/>
      <c r="D5" s="365"/>
      <c r="E5" s="38"/>
      <c r="F5" s="39">
        <f>SUM(F6:F21)</f>
        <v>2519080000</v>
      </c>
      <c r="G5" s="396">
        <f>SUM(I13)</f>
        <v>0</v>
      </c>
      <c r="H5" s="381">
        <v>2000000000</v>
      </c>
      <c r="J5" s="8"/>
    </row>
    <row r="6" spans="1:10">
      <c r="A6" s="369">
        <v>1</v>
      </c>
      <c r="B6" s="370" t="s">
        <v>903</v>
      </c>
      <c r="C6" s="370">
        <v>2000</v>
      </c>
      <c r="D6" s="370" t="s">
        <v>248</v>
      </c>
      <c r="E6" s="42">
        <v>215000</v>
      </c>
      <c r="F6" s="43">
        <f t="shared" ref="F6:F17" si="0">C6*E6</f>
        <v>430000000</v>
      </c>
      <c r="G6" s="396">
        <f>SUM(F6:F17)</f>
        <v>2165900000</v>
      </c>
      <c r="H6" s="381">
        <v>1500000000</v>
      </c>
      <c r="I6" s="396">
        <f>G6+H6</f>
        <v>3665900000</v>
      </c>
    </row>
    <row r="7" spans="1:10">
      <c r="A7" s="369">
        <v>2</v>
      </c>
      <c r="B7" s="370" t="s">
        <v>904</v>
      </c>
      <c r="C7" s="370">
        <v>35</v>
      </c>
      <c r="D7" s="370" t="s">
        <v>244</v>
      </c>
      <c r="E7" s="42">
        <v>1850000</v>
      </c>
      <c r="F7" s="43">
        <f t="shared" si="0"/>
        <v>64750000</v>
      </c>
      <c r="G7" s="381">
        <v>700000000</v>
      </c>
      <c r="I7" s="439">
        <v>3500000000</v>
      </c>
      <c r="J7" s="439">
        <v>7.0000000000000007E-2</v>
      </c>
    </row>
    <row r="8" spans="1:10">
      <c r="A8" s="369">
        <v>3</v>
      </c>
      <c r="B8" s="370" t="s">
        <v>905</v>
      </c>
      <c r="C8" s="370">
        <v>35</v>
      </c>
      <c r="D8" s="370" t="s">
        <v>244</v>
      </c>
      <c r="E8" s="42">
        <v>2100000</v>
      </c>
      <c r="F8" s="43">
        <f t="shared" si="0"/>
        <v>73500000</v>
      </c>
      <c r="G8" s="397">
        <v>6.5000000000000002E-2</v>
      </c>
      <c r="H8" s="397">
        <v>8.5000000000000006E-2</v>
      </c>
      <c r="J8" s="439">
        <f>I7*J7</f>
        <v>245000000.00000003</v>
      </c>
    </row>
    <row r="9" spans="1:10">
      <c r="A9" s="369">
        <v>4</v>
      </c>
      <c r="B9" s="370" t="s">
        <v>906</v>
      </c>
      <c r="C9" s="370">
        <v>35</v>
      </c>
      <c r="D9" s="370" t="s">
        <v>244</v>
      </c>
      <c r="E9" s="42">
        <v>2250000</v>
      </c>
      <c r="F9" s="43">
        <f t="shared" si="0"/>
        <v>78750000</v>
      </c>
      <c r="G9" s="381">
        <f>G7*G8</f>
        <v>45500000</v>
      </c>
      <c r="H9" s="439">
        <f>(G7*G8*5+G7*H8*7)/12</f>
        <v>53666666.666666664</v>
      </c>
      <c r="J9" s="439">
        <v>80000000</v>
      </c>
    </row>
    <row r="10" spans="1:10">
      <c r="A10" s="369">
        <v>5</v>
      </c>
      <c r="B10" s="370" t="s">
        <v>907</v>
      </c>
      <c r="C10" s="370">
        <v>105</v>
      </c>
      <c r="D10" s="370" t="s">
        <v>244</v>
      </c>
      <c r="E10" s="42">
        <v>550000</v>
      </c>
      <c r="F10" s="43">
        <f t="shared" si="0"/>
        <v>57750000</v>
      </c>
      <c r="G10" s="396">
        <f>H9-G9</f>
        <v>8166666.6666666642</v>
      </c>
      <c r="J10" s="439">
        <f>J8-J9</f>
        <v>165000000.00000003</v>
      </c>
    </row>
    <row r="11" spans="1:10">
      <c r="A11" s="369">
        <v>6</v>
      </c>
      <c r="B11" s="370" t="s">
        <v>908</v>
      </c>
      <c r="C11" s="370">
        <v>2000</v>
      </c>
      <c r="D11" s="370" t="s">
        <v>909</v>
      </c>
      <c r="E11" s="42">
        <v>95000</v>
      </c>
      <c r="F11" s="43">
        <f t="shared" si="0"/>
        <v>190000000</v>
      </c>
      <c r="H11" s="396">
        <f>SUM(F6:F17)</f>
        <v>2165900000</v>
      </c>
    </row>
    <row r="12" spans="1:10">
      <c r="A12" s="369">
        <v>7</v>
      </c>
      <c r="B12" s="370" t="s">
        <v>910</v>
      </c>
      <c r="C12" s="370">
        <v>90</v>
      </c>
      <c r="D12" s="370" t="s">
        <v>244</v>
      </c>
      <c r="E12" s="42">
        <v>700000</v>
      </c>
      <c r="F12" s="43">
        <f t="shared" si="0"/>
        <v>63000000</v>
      </c>
    </row>
    <row r="13" spans="1:10">
      <c r="A13" s="369">
        <v>8</v>
      </c>
      <c r="B13" s="370" t="s">
        <v>911</v>
      </c>
      <c r="C13" s="370">
        <v>90</v>
      </c>
      <c r="D13" s="370" t="s">
        <v>244</v>
      </c>
      <c r="E13" s="42">
        <v>390000</v>
      </c>
      <c r="F13" s="43">
        <f t="shared" si="0"/>
        <v>35100000</v>
      </c>
    </row>
    <row r="14" spans="1:10">
      <c r="A14" s="369">
        <v>9</v>
      </c>
      <c r="B14" s="370" t="s">
        <v>912</v>
      </c>
      <c r="C14" s="370">
        <v>90</v>
      </c>
      <c r="D14" s="370" t="s">
        <v>244</v>
      </c>
      <c r="E14" s="42">
        <v>1145000</v>
      </c>
      <c r="F14" s="43">
        <f t="shared" si="0"/>
        <v>103050000</v>
      </c>
    </row>
    <row r="15" spans="1:10">
      <c r="A15" s="369">
        <v>10</v>
      </c>
      <c r="B15" s="370" t="s">
        <v>913</v>
      </c>
      <c r="C15" s="370">
        <v>500</v>
      </c>
      <c r="D15" s="370" t="s">
        <v>244</v>
      </c>
      <c r="E15" s="42">
        <v>1120000</v>
      </c>
      <c r="F15" s="43">
        <f t="shared" si="0"/>
        <v>560000000</v>
      </c>
    </row>
    <row r="16" spans="1:10">
      <c r="A16" s="369">
        <v>11</v>
      </c>
      <c r="B16" s="370" t="s">
        <v>914</v>
      </c>
      <c r="C16" s="370">
        <v>2000</v>
      </c>
      <c r="D16" s="370" t="s">
        <v>244</v>
      </c>
      <c r="E16" s="42">
        <v>115000</v>
      </c>
      <c r="F16" s="43">
        <f t="shared" si="0"/>
        <v>230000000</v>
      </c>
    </row>
    <row r="17" spans="1:10">
      <c r="A17" s="369">
        <v>12</v>
      </c>
      <c r="B17" s="370" t="s">
        <v>915</v>
      </c>
      <c r="C17" s="370">
        <v>350</v>
      </c>
      <c r="D17" s="370" t="s">
        <v>248</v>
      </c>
      <c r="E17" s="42">
        <v>800000</v>
      </c>
      <c r="F17" s="43">
        <f t="shared" si="0"/>
        <v>280000000</v>
      </c>
    </row>
    <row r="18" spans="1:10">
      <c r="A18" s="369">
        <v>21</v>
      </c>
      <c r="B18" s="370" t="s">
        <v>125</v>
      </c>
      <c r="C18" s="370"/>
      <c r="D18" s="370"/>
      <c r="E18" s="42"/>
      <c r="F18" s="43">
        <f>H5*10%</f>
        <v>200000000</v>
      </c>
    </row>
    <row r="19" spans="1:10">
      <c r="A19" s="369">
        <v>22</v>
      </c>
      <c r="B19" s="370" t="s">
        <v>194</v>
      </c>
      <c r="C19" s="370"/>
      <c r="D19" s="370"/>
      <c r="E19" s="42"/>
      <c r="F19" s="43">
        <v>18180000</v>
      </c>
    </row>
    <row r="20" spans="1:10">
      <c r="A20" s="369">
        <v>23</v>
      </c>
      <c r="B20" s="370" t="s">
        <v>916</v>
      </c>
      <c r="C20" s="370"/>
      <c r="D20" s="370"/>
      <c r="E20" s="42"/>
      <c r="F20" s="43">
        <v>120000000</v>
      </c>
    </row>
    <row r="21" spans="1:10">
      <c r="A21" s="369">
        <v>24</v>
      </c>
      <c r="B21" s="370" t="s">
        <v>21</v>
      </c>
      <c r="C21" s="370"/>
      <c r="D21" s="370"/>
      <c r="E21" s="42"/>
      <c r="F21" s="43">
        <v>15000000</v>
      </c>
      <c r="G21" s="396"/>
    </row>
    <row r="22" spans="1:10" s="399" customFormat="1">
      <c r="A22" s="367" t="s">
        <v>116</v>
      </c>
      <c r="B22" s="365" t="s">
        <v>110</v>
      </c>
      <c r="C22" s="365"/>
      <c r="D22" s="365"/>
      <c r="E22" s="38"/>
      <c r="F22" s="39">
        <f>SUM(F23:F34)</f>
        <v>2599080000</v>
      </c>
      <c r="H22" s="381"/>
      <c r="J22" s="27"/>
    </row>
    <row r="23" spans="1:10">
      <c r="A23" s="369">
        <v>1</v>
      </c>
      <c r="B23" s="370" t="s">
        <v>903</v>
      </c>
      <c r="C23" s="370">
        <f t="shared" ref="C23:C34" si="1">C6</f>
        <v>2000</v>
      </c>
      <c r="D23" s="370" t="s">
        <v>248</v>
      </c>
      <c r="E23" s="42">
        <f t="shared" ref="E23:E34" si="2">E6*1.2</f>
        <v>258000</v>
      </c>
      <c r="F23" s="43">
        <f t="shared" ref="F23:F34" si="3">C23*E23</f>
        <v>516000000</v>
      </c>
    </row>
    <row r="24" spans="1:10">
      <c r="A24" s="369">
        <v>2</v>
      </c>
      <c r="B24" s="370" t="s">
        <v>904</v>
      </c>
      <c r="C24" s="370">
        <f t="shared" si="1"/>
        <v>35</v>
      </c>
      <c r="D24" s="370" t="s">
        <v>244</v>
      </c>
      <c r="E24" s="42">
        <f t="shared" si="2"/>
        <v>2220000</v>
      </c>
      <c r="F24" s="43">
        <f t="shared" si="3"/>
        <v>77700000</v>
      </c>
    </row>
    <row r="25" spans="1:10">
      <c r="A25" s="369">
        <v>3</v>
      </c>
      <c r="B25" s="370" t="s">
        <v>905</v>
      </c>
      <c r="C25" s="370">
        <f t="shared" si="1"/>
        <v>35</v>
      </c>
      <c r="D25" s="370" t="s">
        <v>244</v>
      </c>
      <c r="E25" s="42">
        <f t="shared" si="2"/>
        <v>2520000</v>
      </c>
      <c r="F25" s="43">
        <f t="shared" si="3"/>
        <v>88200000</v>
      </c>
    </row>
    <row r="26" spans="1:10">
      <c r="A26" s="369">
        <v>4</v>
      </c>
      <c r="B26" s="370" t="s">
        <v>906</v>
      </c>
      <c r="C26" s="370">
        <f t="shared" si="1"/>
        <v>35</v>
      </c>
      <c r="D26" s="370" t="s">
        <v>244</v>
      </c>
      <c r="E26" s="42">
        <f t="shared" si="2"/>
        <v>2700000</v>
      </c>
      <c r="F26" s="43">
        <f t="shared" si="3"/>
        <v>94500000</v>
      </c>
    </row>
    <row r="27" spans="1:10">
      <c r="A27" s="369">
        <v>5</v>
      </c>
      <c r="B27" s="370" t="s">
        <v>907</v>
      </c>
      <c r="C27" s="370">
        <f t="shared" si="1"/>
        <v>105</v>
      </c>
      <c r="D27" s="370" t="s">
        <v>244</v>
      </c>
      <c r="E27" s="42">
        <f t="shared" si="2"/>
        <v>660000</v>
      </c>
      <c r="F27" s="43">
        <f t="shared" si="3"/>
        <v>69300000</v>
      </c>
    </row>
    <row r="28" spans="1:10">
      <c r="A28" s="369">
        <v>6</v>
      </c>
      <c r="B28" s="370" t="s">
        <v>908</v>
      </c>
      <c r="C28" s="370">
        <f t="shared" si="1"/>
        <v>2000</v>
      </c>
      <c r="D28" s="370" t="s">
        <v>909</v>
      </c>
      <c r="E28" s="42">
        <f t="shared" si="2"/>
        <v>114000</v>
      </c>
      <c r="F28" s="43">
        <f t="shared" si="3"/>
        <v>228000000</v>
      </c>
      <c r="J28" s="381"/>
    </row>
    <row r="29" spans="1:10">
      <c r="A29" s="369">
        <v>7</v>
      </c>
      <c r="B29" s="370" t="s">
        <v>910</v>
      </c>
      <c r="C29" s="370">
        <f t="shared" si="1"/>
        <v>90</v>
      </c>
      <c r="D29" s="370" t="s">
        <v>244</v>
      </c>
      <c r="E29" s="42">
        <f t="shared" si="2"/>
        <v>840000</v>
      </c>
      <c r="F29" s="43">
        <f t="shared" si="3"/>
        <v>75600000</v>
      </c>
      <c r="J29" s="381"/>
    </row>
    <row r="30" spans="1:10">
      <c r="A30" s="369">
        <v>8</v>
      </c>
      <c r="B30" s="370" t="s">
        <v>911</v>
      </c>
      <c r="C30" s="370">
        <f t="shared" si="1"/>
        <v>90</v>
      </c>
      <c r="D30" s="370" t="s">
        <v>244</v>
      </c>
      <c r="E30" s="42">
        <f t="shared" si="2"/>
        <v>468000</v>
      </c>
      <c r="F30" s="43">
        <f t="shared" si="3"/>
        <v>42120000</v>
      </c>
      <c r="J30" s="381"/>
    </row>
    <row r="31" spans="1:10">
      <c r="A31" s="369">
        <v>9</v>
      </c>
      <c r="B31" s="370" t="s">
        <v>912</v>
      </c>
      <c r="C31" s="370">
        <f t="shared" si="1"/>
        <v>90</v>
      </c>
      <c r="D31" s="370" t="s">
        <v>244</v>
      </c>
      <c r="E31" s="42">
        <f t="shared" si="2"/>
        <v>1374000</v>
      </c>
      <c r="F31" s="43">
        <f t="shared" si="3"/>
        <v>123660000</v>
      </c>
      <c r="J31" s="381"/>
    </row>
    <row r="32" spans="1:10">
      <c r="A32" s="369">
        <v>10</v>
      </c>
      <c r="B32" s="370" t="s">
        <v>913</v>
      </c>
      <c r="C32" s="370">
        <f t="shared" si="1"/>
        <v>500</v>
      </c>
      <c r="D32" s="370" t="s">
        <v>244</v>
      </c>
      <c r="E32" s="42">
        <f t="shared" si="2"/>
        <v>1344000</v>
      </c>
      <c r="F32" s="43">
        <f t="shared" si="3"/>
        <v>672000000</v>
      </c>
      <c r="J32" s="381"/>
    </row>
    <row r="33" spans="1:10">
      <c r="A33" s="369">
        <v>11</v>
      </c>
      <c r="B33" s="370" t="s">
        <v>914</v>
      </c>
      <c r="C33" s="370">
        <f t="shared" si="1"/>
        <v>2000</v>
      </c>
      <c r="D33" s="370" t="s">
        <v>244</v>
      </c>
      <c r="E33" s="42">
        <f t="shared" si="2"/>
        <v>138000</v>
      </c>
      <c r="F33" s="43">
        <f t="shared" si="3"/>
        <v>276000000</v>
      </c>
      <c r="J33" s="381"/>
    </row>
    <row r="34" spans="1:10">
      <c r="A34" s="369">
        <v>12</v>
      </c>
      <c r="B34" s="370" t="s">
        <v>915</v>
      </c>
      <c r="C34" s="370">
        <f t="shared" si="1"/>
        <v>350</v>
      </c>
      <c r="D34" s="370" t="s">
        <v>248</v>
      </c>
      <c r="E34" s="42">
        <f t="shared" si="2"/>
        <v>960000</v>
      </c>
      <c r="F34" s="43">
        <f t="shared" si="3"/>
        <v>336000000</v>
      </c>
      <c r="J34" s="381"/>
    </row>
    <row r="35" spans="1:10">
      <c r="A35" s="400" t="s">
        <v>135</v>
      </c>
      <c r="B35" s="401" t="s">
        <v>24</v>
      </c>
      <c r="C35" s="400"/>
      <c r="D35" s="400"/>
      <c r="E35" s="49"/>
      <c r="F35" s="49">
        <f>F22-F5</f>
        <v>80000000</v>
      </c>
      <c r="J35" s="381"/>
    </row>
  </sheetData>
  <pageMargins left="0.7" right="0.7" top="0.75" bottom="0.75" header="0.3" footer="0.3"/>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9"/>
  <sheetViews>
    <sheetView workbookViewId="0">
      <selection activeCell="G11" sqref="G11"/>
    </sheetView>
  </sheetViews>
  <sheetFormatPr defaultRowHeight="16.5"/>
  <cols>
    <col min="1" max="1" width="5.140625" style="6" bestFit="1" customWidth="1"/>
    <col min="2" max="2" width="35.85546875" style="6" customWidth="1"/>
    <col min="3" max="5" width="16.140625" style="6" bestFit="1" customWidth="1"/>
    <col min="6" max="6" width="4.7109375" style="6" bestFit="1" customWidth="1"/>
    <col min="7" max="7" width="15.42578125" style="6" bestFit="1" customWidth="1"/>
    <col min="8" max="16384" width="9.140625" style="6"/>
  </cols>
  <sheetData>
    <row r="1" spans="1:7">
      <c r="C1" s="6" t="s">
        <v>471</v>
      </c>
      <c r="G1" s="308" t="s">
        <v>1020</v>
      </c>
    </row>
    <row r="3" spans="1:7">
      <c r="A3" s="84" t="s">
        <v>0</v>
      </c>
      <c r="B3" s="84" t="s">
        <v>224</v>
      </c>
      <c r="C3" s="84" t="s">
        <v>1</v>
      </c>
      <c r="D3" s="84" t="s">
        <v>3</v>
      </c>
      <c r="E3" s="84" t="s">
        <v>4</v>
      </c>
      <c r="F3" s="84" t="s">
        <v>100</v>
      </c>
    </row>
    <row r="4" spans="1:7">
      <c r="A4" s="4">
        <v>1</v>
      </c>
      <c r="B4" s="34" t="s">
        <v>249</v>
      </c>
      <c r="C4" s="47">
        <v>25</v>
      </c>
      <c r="D4" s="48">
        <v>1300000</v>
      </c>
      <c r="E4" s="48">
        <f>D4*C4</f>
        <v>32500000</v>
      </c>
      <c r="F4" s="18" t="s">
        <v>139</v>
      </c>
    </row>
    <row r="5" spans="1:7">
      <c r="A5" s="4">
        <v>2</v>
      </c>
      <c r="B5" s="34" t="s">
        <v>250</v>
      </c>
      <c r="C5" s="47">
        <v>20</v>
      </c>
      <c r="D5" s="48">
        <v>3000000</v>
      </c>
      <c r="E5" s="48">
        <f>D5*C5</f>
        <v>60000000</v>
      </c>
      <c r="F5" s="18" t="s">
        <v>139</v>
      </c>
    </row>
    <row r="6" spans="1:7">
      <c r="A6" s="4">
        <v>3</v>
      </c>
      <c r="B6" s="34" t="s">
        <v>251</v>
      </c>
      <c r="C6" s="47">
        <v>35</v>
      </c>
      <c r="D6" s="48">
        <v>2000000</v>
      </c>
      <c r="E6" s="48">
        <f>D6*C6</f>
        <v>70000000</v>
      </c>
      <c r="F6" s="18" t="s">
        <v>139</v>
      </c>
    </row>
    <row r="7" spans="1:7" ht="33">
      <c r="A7" s="4">
        <v>4</v>
      </c>
      <c r="B7" s="34" t="s">
        <v>252</v>
      </c>
      <c r="C7" s="47">
        <v>3</v>
      </c>
      <c r="D7" s="48">
        <v>3000000</v>
      </c>
      <c r="E7" s="48">
        <f>D7*C7*12</f>
        <v>108000000</v>
      </c>
      <c r="F7" s="18"/>
    </row>
    <row r="8" spans="1:7" s="28" customFormat="1">
      <c r="A8" s="17"/>
      <c r="B8" s="17" t="s">
        <v>253</v>
      </c>
      <c r="C8" s="16"/>
      <c r="D8" s="49"/>
      <c r="E8" s="49">
        <f>SUM(E4:E7)</f>
        <v>270500000</v>
      </c>
      <c r="F8" s="17"/>
    </row>
    <row r="9" spans="1:7" s="28" customFormat="1">
      <c r="A9" s="50"/>
      <c r="B9" s="50"/>
      <c r="C9" s="51"/>
      <c r="D9" s="52"/>
      <c r="E9" s="52"/>
      <c r="F9" s="50"/>
    </row>
    <row r="10" spans="1:7">
      <c r="A10" s="53" t="s">
        <v>0</v>
      </c>
      <c r="B10" s="53" t="s">
        <v>103</v>
      </c>
      <c r="C10" s="53" t="s">
        <v>1</v>
      </c>
      <c r="D10" s="54" t="s">
        <v>4</v>
      </c>
    </row>
    <row r="11" spans="1:7">
      <c r="A11" s="5" t="s">
        <v>109</v>
      </c>
      <c r="B11" s="31" t="s">
        <v>237</v>
      </c>
      <c r="C11" s="31"/>
      <c r="D11" s="40">
        <f>SUM(D12:D18)</f>
        <v>291250000</v>
      </c>
    </row>
    <row r="12" spans="1:7">
      <c r="A12" s="4">
        <v>1</v>
      </c>
      <c r="B12" s="34" t="s">
        <v>249</v>
      </c>
      <c r="C12" s="34">
        <f>C4</f>
        <v>25</v>
      </c>
      <c r="D12" s="48">
        <f>E4</f>
        <v>32500000</v>
      </c>
    </row>
    <row r="13" spans="1:7">
      <c r="A13" s="4">
        <v>2</v>
      </c>
      <c r="B13" s="34" t="s">
        <v>250</v>
      </c>
      <c r="C13" s="34">
        <f>C5</f>
        <v>20</v>
      </c>
      <c r="D13" s="48">
        <f>E5</f>
        <v>60000000</v>
      </c>
    </row>
    <row r="14" spans="1:7">
      <c r="A14" s="4">
        <v>3</v>
      </c>
      <c r="B14" s="34" t="s">
        <v>254</v>
      </c>
      <c r="C14" s="34">
        <f>C6</f>
        <v>35</v>
      </c>
      <c r="D14" s="48">
        <f>E6</f>
        <v>70000000</v>
      </c>
    </row>
    <row r="15" spans="1:7">
      <c r="A15" s="4">
        <v>4</v>
      </c>
      <c r="B15" s="34" t="s">
        <v>255</v>
      </c>
      <c r="C15" s="34">
        <f>C7</f>
        <v>3</v>
      </c>
      <c r="D15" s="48">
        <f>E7</f>
        <v>108000000</v>
      </c>
    </row>
    <row r="16" spans="1:7">
      <c r="A16" s="4">
        <v>5</v>
      </c>
      <c r="B16" s="34" t="s">
        <v>125</v>
      </c>
      <c r="C16" s="34"/>
      <c r="D16" s="48">
        <f>C27*C29</f>
        <v>15750000</v>
      </c>
    </row>
    <row r="17" spans="1:4">
      <c r="A17" s="4">
        <v>6</v>
      </c>
      <c r="B17" s="34" t="s">
        <v>194</v>
      </c>
      <c r="C17" s="34"/>
      <c r="D17" s="48">
        <v>1000000</v>
      </c>
    </row>
    <row r="18" spans="1:4">
      <c r="A18" s="4">
        <v>7</v>
      </c>
      <c r="B18" s="34" t="s">
        <v>21</v>
      </c>
      <c r="C18" s="34"/>
      <c r="D18" s="48">
        <v>4000000</v>
      </c>
    </row>
    <row r="19" spans="1:4">
      <c r="A19" s="5" t="s">
        <v>116</v>
      </c>
      <c r="B19" s="31" t="s">
        <v>242</v>
      </c>
      <c r="C19" s="31"/>
      <c r="D19" s="40">
        <f>SUM(D20:D22)</f>
        <v>390000000</v>
      </c>
    </row>
    <row r="20" spans="1:4">
      <c r="A20" s="4">
        <v>1</v>
      </c>
      <c r="B20" s="34" t="s">
        <v>256</v>
      </c>
      <c r="C20" s="34"/>
      <c r="D20" s="48">
        <f>3000000*C4</f>
        <v>75000000</v>
      </c>
    </row>
    <row r="21" spans="1:4">
      <c r="A21" s="4">
        <v>2</v>
      </c>
      <c r="B21" s="34" t="s">
        <v>257</v>
      </c>
      <c r="C21" s="34"/>
      <c r="D21" s="48">
        <f>7000000*C5</f>
        <v>140000000</v>
      </c>
    </row>
    <row r="22" spans="1:4">
      <c r="A22" s="4">
        <v>3</v>
      </c>
      <c r="B22" s="34" t="s">
        <v>258</v>
      </c>
      <c r="C22" s="34"/>
      <c r="D22" s="48">
        <f>5000000*C6</f>
        <v>175000000</v>
      </c>
    </row>
    <row r="23" spans="1:4">
      <c r="A23" s="5" t="s">
        <v>135</v>
      </c>
      <c r="B23" s="31" t="s">
        <v>220</v>
      </c>
      <c r="C23" s="31"/>
      <c r="D23" s="40">
        <f>D19-D11</f>
        <v>98750000</v>
      </c>
    </row>
    <row r="24" spans="1:4" ht="33">
      <c r="A24" s="44" t="s">
        <v>221</v>
      </c>
      <c r="B24" s="9" t="s">
        <v>222</v>
      </c>
      <c r="C24" s="9"/>
      <c r="D24" s="55">
        <f>D23/D19</f>
        <v>0.25320512820512819</v>
      </c>
    </row>
    <row r="26" spans="1:4">
      <c r="B26" s="6" t="s">
        <v>26</v>
      </c>
      <c r="C26" s="8">
        <f>E8-C27</f>
        <v>120500000</v>
      </c>
      <c r="D26" s="15">
        <f>C26/E8</f>
        <v>0.44547134935304988</v>
      </c>
    </row>
    <row r="27" spans="1:4">
      <c r="B27" s="6" t="s">
        <v>27</v>
      </c>
      <c r="C27" s="57">
        <v>150000000</v>
      </c>
    </row>
    <row r="28" spans="1:4">
      <c r="B28" s="6" t="s">
        <v>6</v>
      </c>
      <c r="C28" s="57">
        <v>48</v>
      </c>
    </row>
    <row r="29" spans="1:4">
      <c r="B29" s="6" t="s">
        <v>13</v>
      </c>
      <c r="C29" s="58">
        <v>0.105</v>
      </c>
    </row>
  </sheetData>
  <pageMargins left="0.75" right="0.75" top="1" bottom="1" header="0.5" footer="0.5"/>
  <pageSetup paperSize="9" orientation="portrait" verticalDpi="0" r:id="rId1"/>
  <headerFooter alignWithMargins="0"/>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8"/>
  <dimension ref="A1:N60"/>
  <sheetViews>
    <sheetView workbookViewId="0">
      <selection activeCell="C2" sqref="C2"/>
    </sheetView>
  </sheetViews>
  <sheetFormatPr defaultRowHeight="16.5"/>
  <cols>
    <col min="1" max="1" width="5.140625" style="311" bestFit="1" customWidth="1"/>
    <col min="2" max="2" width="29" style="2062" customWidth="1"/>
    <col min="3" max="3" width="9.140625" style="311"/>
    <col min="4" max="4" width="9.5703125" style="311" bestFit="1" customWidth="1"/>
    <col min="5" max="5" width="16" style="311" customWidth="1"/>
    <col min="6" max="6" width="19.140625" style="2062" bestFit="1" customWidth="1"/>
    <col min="7" max="7" width="19.140625" style="311" bestFit="1" customWidth="1"/>
    <col min="8" max="8" width="16" style="311" bestFit="1" customWidth="1"/>
    <col min="9" max="9" width="12.7109375" style="311" customWidth="1"/>
    <col min="10" max="13" width="9.42578125" style="311" bestFit="1" customWidth="1"/>
    <col min="14" max="14" width="9.5703125" style="311" bestFit="1" customWidth="1"/>
    <col min="15" max="16384" width="9.140625" style="311"/>
  </cols>
  <sheetData>
    <row r="1" spans="1:10">
      <c r="C1" s="311" t="s">
        <v>2888</v>
      </c>
      <c r="G1" s="309" t="s">
        <v>1020</v>
      </c>
    </row>
    <row r="6" spans="1:10">
      <c r="E6" s="2698" t="s">
        <v>2887</v>
      </c>
      <c r="F6" s="2698"/>
    </row>
    <row r="7" spans="1:10" ht="33">
      <c r="A7" s="2063" t="s">
        <v>97</v>
      </c>
      <c r="B7" s="2063" t="s">
        <v>64</v>
      </c>
      <c r="C7" s="2063" t="s">
        <v>100</v>
      </c>
      <c r="D7" s="2063" t="s">
        <v>2886</v>
      </c>
      <c r="E7" s="2063" t="s">
        <v>1729</v>
      </c>
      <c r="F7" s="2063" t="s">
        <v>2885</v>
      </c>
    </row>
    <row r="8" spans="1:10">
      <c r="A8" s="2063" t="s">
        <v>109</v>
      </c>
      <c r="B8" s="2064" t="s">
        <v>2884</v>
      </c>
      <c r="C8" s="2065"/>
      <c r="D8" s="2065"/>
      <c r="E8" s="2065"/>
      <c r="F8" s="2066">
        <f>SUM(F9:F17)</f>
        <v>30502500000</v>
      </c>
      <c r="H8" s="324"/>
      <c r="I8" s="324"/>
    </row>
    <row r="9" spans="1:10">
      <c r="A9" s="2067">
        <v>1</v>
      </c>
      <c r="B9" s="1993" t="s">
        <v>2883</v>
      </c>
      <c r="C9" s="2067" t="s">
        <v>2865</v>
      </c>
      <c r="D9" s="2067">
        <v>1150</v>
      </c>
      <c r="E9" s="2068">
        <v>1050000</v>
      </c>
      <c r="F9" s="2069">
        <f t="shared" ref="F9:F17" si="0">D9*E9</f>
        <v>1207500000</v>
      </c>
      <c r="G9" s="483"/>
      <c r="H9" s="324"/>
      <c r="I9" s="324">
        <f>F22/E22</f>
        <v>7278</v>
      </c>
      <c r="J9" s="311" t="s">
        <v>2882</v>
      </c>
    </row>
    <row r="10" spans="1:10">
      <c r="A10" s="2067">
        <v>2</v>
      </c>
      <c r="B10" s="1993" t="s">
        <v>2881</v>
      </c>
      <c r="C10" s="2067" t="s">
        <v>2865</v>
      </c>
      <c r="D10" s="2068">
        <v>1250</v>
      </c>
      <c r="E10" s="2068">
        <v>1100000</v>
      </c>
      <c r="F10" s="2069">
        <f t="shared" si="0"/>
        <v>1375000000</v>
      </c>
      <c r="G10" s="483"/>
      <c r="H10" s="324"/>
      <c r="I10" s="324">
        <f>F20/E20</f>
        <v>13510</v>
      </c>
      <c r="J10" s="311" t="s">
        <v>2880</v>
      </c>
    </row>
    <row r="11" spans="1:10">
      <c r="A11" s="2067">
        <v>3</v>
      </c>
      <c r="B11" s="1993" t="s">
        <v>2879</v>
      </c>
      <c r="C11" s="2067" t="s">
        <v>2865</v>
      </c>
      <c r="D11" s="2068">
        <v>7000</v>
      </c>
      <c r="E11" s="2068">
        <v>1150000</v>
      </c>
      <c r="F11" s="2069">
        <f t="shared" si="0"/>
        <v>8050000000</v>
      </c>
      <c r="G11" s="483"/>
      <c r="H11" s="324"/>
      <c r="I11" s="324">
        <f>F21/E21</f>
        <v>18150</v>
      </c>
      <c r="J11" s="311" t="s">
        <v>2878</v>
      </c>
    </row>
    <row r="12" spans="1:10" ht="33">
      <c r="A12" s="2067">
        <v>4</v>
      </c>
      <c r="B12" s="1993" t="s">
        <v>2877</v>
      </c>
      <c r="C12" s="2067" t="s">
        <v>2865</v>
      </c>
      <c r="D12" s="2068">
        <v>2500</v>
      </c>
      <c r="E12" s="2068">
        <v>1200000</v>
      </c>
      <c r="F12" s="2069">
        <f t="shared" si="0"/>
        <v>3000000000</v>
      </c>
      <c r="G12" s="483"/>
      <c r="H12" s="324"/>
      <c r="I12" s="324">
        <f>F23/E23</f>
        <v>125000</v>
      </c>
      <c r="J12" s="311" t="s">
        <v>2876</v>
      </c>
    </row>
    <row r="13" spans="1:10">
      <c r="A13" s="2067">
        <v>5</v>
      </c>
      <c r="B13" s="1993" t="s">
        <v>2875</v>
      </c>
      <c r="C13" s="2067" t="s">
        <v>2865</v>
      </c>
      <c r="D13" s="2068">
        <v>9500</v>
      </c>
      <c r="E13" s="2068">
        <v>1200000</v>
      </c>
      <c r="F13" s="2069">
        <f t="shared" si="0"/>
        <v>11400000000</v>
      </c>
      <c r="G13" s="483"/>
      <c r="H13" s="324"/>
      <c r="I13" s="324"/>
    </row>
    <row r="14" spans="1:10" ht="33">
      <c r="A14" s="2067">
        <v>6</v>
      </c>
      <c r="B14" s="1993" t="s">
        <v>2874</v>
      </c>
      <c r="C14" s="2067" t="s">
        <v>2865</v>
      </c>
      <c r="D14" s="2068">
        <v>1200</v>
      </c>
      <c r="E14" s="2068">
        <v>1250000</v>
      </c>
      <c r="F14" s="2069">
        <f t="shared" si="0"/>
        <v>1500000000</v>
      </c>
      <c r="G14" s="483"/>
      <c r="H14" s="324"/>
      <c r="I14" s="324"/>
    </row>
    <row r="15" spans="1:10">
      <c r="A15" s="2067">
        <v>7</v>
      </c>
      <c r="B15" s="1993" t="s">
        <v>2873</v>
      </c>
      <c r="C15" s="2067" t="s">
        <v>2865</v>
      </c>
      <c r="D15" s="2068">
        <v>1600</v>
      </c>
      <c r="E15" s="2068">
        <v>1300000</v>
      </c>
      <c r="F15" s="2069">
        <f t="shared" si="0"/>
        <v>2080000000</v>
      </c>
      <c r="G15" s="483"/>
      <c r="H15" s="324">
        <f>F8*7%</f>
        <v>2135175000.0000002</v>
      </c>
      <c r="I15" s="324" t="s">
        <v>2872</v>
      </c>
    </row>
    <row r="16" spans="1:10" ht="33">
      <c r="A16" s="2067">
        <v>8</v>
      </c>
      <c r="B16" s="1993" t="s">
        <v>2871</v>
      </c>
      <c r="C16" s="2067" t="s">
        <v>2865</v>
      </c>
      <c r="D16" s="2067">
        <v>600</v>
      </c>
      <c r="E16" s="2068">
        <v>1350000</v>
      </c>
      <c r="F16" s="2069">
        <f t="shared" si="0"/>
        <v>810000000</v>
      </c>
      <c r="G16" s="483"/>
      <c r="H16" s="324">
        <f>H15*20%</f>
        <v>427035000.00000006</v>
      </c>
      <c r="I16" s="324" t="s">
        <v>2870</v>
      </c>
    </row>
    <row r="17" spans="1:9">
      <c r="A17" s="2067">
        <v>9</v>
      </c>
      <c r="B17" s="1993" t="s">
        <v>2869</v>
      </c>
      <c r="C17" s="2067" t="s">
        <v>2865</v>
      </c>
      <c r="D17" s="2068">
        <v>800</v>
      </c>
      <c r="E17" s="2068">
        <v>1350000</v>
      </c>
      <c r="F17" s="2069">
        <f t="shared" si="0"/>
        <v>1080000000</v>
      </c>
      <c r="G17" s="483"/>
      <c r="H17" s="324">
        <f>H15-H16</f>
        <v>1708140000.0000002</v>
      </c>
      <c r="I17" s="311" t="s">
        <v>2868</v>
      </c>
    </row>
    <row r="18" spans="1:9">
      <c r="A18" s="2063" t="s">
        <v>116</v>
      </c>
      <c r="B18" s="2064" t="s">
        <v>22</v>
      </c>
      <c r="C18" s="2065"/>
      <c r="D18" s="2065"/>
      <c r="E18" s="2065"/>
      <c r="F18" s="2066">
        <f>F19+F29</f>
        <v>28968844268</v>
      </c>
      <c r="G18" s="483"/>
    </row>
    <row r="19" spans="1:9" s="352" customFormat="1">
      <c r="A19" s="2063" t="s">
        <v>480</v>
      </c>
      <c r="B19" s="2064" t="s">
        <v>2867</v>
      </c>
      <c r="C19" s="2070"/>
      <c r="D19" s="2070"/>
      <c r="E19" s="2070"/>
      <c r="F19" s="2066">
        <f>F20+F21+F22+F23+F24+F25+F26+F27+F28</f>
        <v>25489844268</v>
      </c>
      <c r="G19" s="2090"/>
    </row>
    <row r="20" spans="1:9" s="309" customFormat="1">
      <c r="A20" s="286">
        <v>1</v>
      </c>
      <c r="B20" s="331" t="s">
        <v>2866</v>
      </c>
      <c r="C20" s="286" t="s">
        <v>2865</v>
      </c>
      <c r="D20" s="1306">
        <v>13510</v>
      </c>
      <c r="E20" s="1306">
        <v>350000</v>
      </c>
      <c r="F20" s="1374">
        <f t="shared" ref="F20:F26" si="1">D20*E20</f>
        <v>4728500000</v>
      </c>
      <c r="G20" s="2091"/>
    </row>
    <row r="21" spans="1:9" s="309" customFormat="1">
      <c r="A21" s="286">
        <v>2</v>
      </c>
      <c r="B21" s="331" t="s">
        <v>2864</v>
      </c>
      <c r="C21" s="286" t="s">
        <v>228</v>
      </c>
      <c r="D21" s="1306">
        <v>18150</v>
      </c>
      <c r="E21" s="1306">
        <v>245000</v>
      </c>
      <c r="F21" s="1374">
        <f t="shared" si="1"/>
        <v>4446750000</v>
      </c>
      <c r="G21" s="2091"/>
      <c r="H21" s="2092"/>
    </row>
    <row r="22" spans="1:9" s="309" customFormat="1">
      <c r="A22" s="286">
        <v>3</v>
      </c>
      <c r="B22" s="331" t="s">
        <v>2863</v>
      </c>
      <c r="C22" s="286" t="s">
        <v>1004</v>
      </c>
      <c r="D22" s="1306">
        <v>7278</v>
      </c>
      <c r="E22" s="1306">
        <v>1270000</v>
      </c>
      <c r="F22" s="1374">
        <f t="shared" si="1"/>
        <v>9243060000</v>
      </c>
      <c r="G22" s="2091"/>
    </row>
    <row r="23" spans="1:9" s="309" customFormat="1">
      <c r="A23" s="286">
        <v>4</v>
      </c>
      <c r="B23" s="331" t="s">
        <v>2862</v>
      </c>
      <c r="C23" s="286" t="s">
        <v>513</v>
      </c>
      <c r="D23" s="1306">
        <v>125000</v>
      </c>
      <c r="E23" s="1306">
        <v>17500</v>
      </c>
      <c r="F23" s="1374">
        <f t="shared" si="1"/>
        <v>2187500000</v>
      </c>
      <c r="G23" s="2091"/>
    </row>
    <row r="24" spans="1:9">
      <c r="A24" s="286">
        <v>5</v>
      </c>
      <c r="B24" s="331" t="s">
        <v>2861</v>
      </c>
      <c r="C24" s="286" t="s">
        <v>513</v>
      </c>
      <c r="D24" s="1306">
        <v>130000</v>
      </c>
      <c r="E24" s="1306">
        <v>22800</v>
      </c>
      <c r="F24" s="1374">
        <f t="shared" si="1"/>
        <v>2964000000</v>
      </c>
      <c r="G24" s="483"/>
    </row>
    <row r="25" spans="1:9" s="309" customFormat="1">
      <c r="A25" s="286">
        <v>6</v>
      </c>
      <c r="B25" s="331" t="s">
        <v>2860</v>
      </c>
      <c r="C25" s="286" t="s">
        <v>74</v>
      </c>
      <c r="D25" s="286">
        <v>12</v>
      </c>
      <c r="E25" s="1306">
        <v>100000000</v>
      </c>
      <c r="F25" s="1374">
        <f t="shared" si="1"/>
        <v>1200000000</v>
      </c>
      <c r="G25" s="2091"/>
    </row>
    <row r="26" spans="1:9" s="309" customFormat="1">
      <c r="A26" s="286">
        <v>7</v>
      </c>
      <c r="B26" s="331" t="s">
        <v>2859</v>
      </c>
      <c r="C26" s="286" t="s">
        <v>74</v>
      </c>
      <c r="D26" s="286">
        <v>24</v>
      </c>
      <c r="E26" s="1306">
        <v>20000000</v>
      </c>
      <c r="F26" s="1374">
        <f t="shared" si="1"/>
        <v>480000000</v>
      </c>
      <c r="G26" s="2091"/>
    </row>
    <row r="27" spans="1:9" s="309" customFormat="1">
      <c r="A27" s="286">
        <v>8</v>
      </c>
      <c r="B27" s="331" t="s">
        <v>814</v>
      </c>
      <c r="C27" s="286" t="s">
        <v>45</v>
      </c>
      <c r="D27" s="286"/>
      <c r="E27" s="286"/>
      <c r="F27" s="1374">
        <v>150000000</v>
      </c>
      <c r="G27" s="2091"/>
    </row>
    <row r="28" spans="1:9" s="309" customFormat="1">
      <c r="A28" s="286">
        <v>9</v>
      </c>
      <c r="B28" s="331" t="s">
        <v>815</v>
      </c>
      <c r="C28" s="286" t="s">
        <v>45</v>
      </c>
      <c r="D28" s="286"/>
      <c r="E28" s="286"/>
      <c r="F28" s="1374">
        <v>90034268</v>
      </c>
      <c r="G28" s="2093">
        <f>F28-G39</f>
        <v>90034268</v>
      </c>
    </row>
    <row r="29" spans="1:9">
      <c r="A29" s="2071" t="s">
        <v>485</v>
      </c>
      <c r="B29" s="2072" t="s">
        <v>217</v>
      </c>
      <c r="C29" s="2073"/>
      <c r="D29" s="2073"/>
      <c r="E29" s="2073"/>
      <c r="F29" s="2074">
        <f>F30+F31+F32+F33+F34+F35</f>
        <v>3479000000</v>
      </c>
      <c r="G29" s="483"/>
    </row>
    <row r="30" spans="1:9">
      <c r="A30" s="286">
        <v>1</v>
      </c>
      <c r="B30" s="331" t="s">
        <v>2400</v>
      </c>
      <c r="C30" s="286" t="s">
        <v>439</v>
      </c>
      <c r="D30" s="331">
        <v>11</v>
      </c>
      <c r="E30" s="2344">
        <v>9000000</v>
      </c>
      <c r="F30" s="1374">
        <f>D30*E30*12</f>
        <v>1188000000</v>
      </c>
      <c r="G30" s="483"/>
    </row>
    <row r="31" spans="1:9">
      <c r="A31" s="286">
        <v>2</v>
      </c>
      <c r="B31" s="331" t="s">
        <v>337</v>
      </c>
      <c r="C31" s="286"/>
      <c r="D31" s="286"/>
      <c r="E31" s="286"/>
      <c r="F31" s="1374">
        <v>374000000</v>
      </c>
    </row>
    <row r="32" spans="1:9" s="309" customFormat="1">
      <c r="A32" s="286">
        <v>3</v>
      </c>
      <c r="B32" s="331" t="s">
        <v>801</v>
      </c>
      <c r="C32" s="2699">
        <v>13000000000</v>
      </c>
      <c r="D32" s="2699"/>
      <c r="E32" s="2075">
        <v>7.0000000000000007E-2</v>
      </c>
      <c r="F32" s="1374">
        <f>C32*E32</f>
        <v>910000000.00000012</v>
      </c>
    </row>
    <row r="33" spans="1:8" ht="30.75" customHeight="1">
      <c r="A33" s="286">
        <v>4</v>
      </c>
      <c r="B33" s="331" t="s">
        <v>2858</v>
      </c>
      <c r="C33" s="331"/>
      <c r="D33" s="331"/>
      <c r="E33" s="331"/>
      <c r="F33" s="1374">
        <v>785000000</v>
      </c>
    </row>
    <row r="34" spans="1:8">
      <c r="A34" s="286">
        <v>5</v>
      </c>
      <c r="B34" s="331" t="s">
        <v>217</v>
      </c>
      <c r="C34" s="331"/>
      <c r="D34" s="331"/>
      <c r="E34" s="331"/>
      <c r="F34" s="1374">
        <v>150000000</v>
      </c>
    </row>
    <row r="35" spans="1:8" s="309" customFormat="1">
      <c r="A35" s="286">
        <v>6</v>
      </c>
      <c r="B35" s="331" t="s">
        <v>2857</v>
      </c>
      <c r="C35" s="286" t="s">
        <v>74</v>
      </c>
      <c r="D35" s="286">
        <v>12</v>
      </c>
      <c r="E35" s="1306">
        <v>6000000</v>
      </c>
      <c r="F35" s="1374">
        <f>E35*D35</f>
        <v>72000000</v>
      </c>
    </row>
    <row r="36" spans="1:8">
      <c r="A36" s="2063" t="s">
        <v>135</v>
      </c>
      <c r="B36" s="2064" t="s">
        <v>2856</v>
      </c>
      <c r="C36" s="2065"/>
      <c r="D36" s="2065"/>
      <c r="E36" s="2065"/>
      <c r="F36" s="2066">
        <f>ROUND(F8-F18,0)</f>
        <v>1533655732</v>
      </c>
      <c r="G36" s="324"/>
    </row>
    <row r="37" spans="1:8" ht="33">
      <c r="A37" s="2063" t="s">
        <v>645</v>
      </c>
      <c r="B37" s="2064" t="s">
        <v>2855</v>
      </c>
      <c r="C37" s="2065"/>
      <c r="D37" s="2065"/>
      <c r="E37" s="2065"/>
      <c r="F37" s="2066">
        <f>ROUND(F36*20%,0)</f>
        <v>306731146</v>
      </c>
    </row>
    <row r="38" spans="1:8">
      <c r="A38" s="2063" t="s">
        <v>1205</v>
      </c>
      <c r="B38" s="2064" t="s">
        <v>2854</v>
      </c>
      <c r="C38" s="2065"/>
      <c r="D38" s="2065"/>
      <c r="E38" s="2065"/>
      <c r="F38" s="2066">
        <f>F36-F37</f>
        <v>1226924586</v>
      </c>
    </row>
    <row r="39" spans="1:8" ht="33">
      <c r="A39" s="2076" t="s">
        <v>1866</v>
      </c>
      <c r="B39" s="2070" t="s">
        <v>2853</v>
      </c>
      <c r="C39" s="2077"/>
      <c r="D39" s="2078"/>
      <c r="E39" s="2078"/>
      <c r="F39" s="2079">
        <f>F18-F32-F33</f>
        <v>27273844268</v>
      </c>
      <c r="G39" s="2080">
        <f>G41*F40</f>
        <v>0</v>
      </c>
    </row>
    <row r="40" spans="1:8">
      <c r="A40" s="2076" t="s">
        <v>2852</v>
      </c>
      <c r="B40" s="2070" t="s">
        <v>557</v>
      </c>
      <c r="C40" s="2077"/>
      <c r="D40" s="2078"/>
      <c r="E40" s="2078"/>
      <c r="F40" s="2081">
        <v>1.33</v>
      </c>
    </row>
    <row r="41" spans="1:8">
      <c r="A41" s="2076" t="s">
        <v>1864</v>
      </c>
      <c r="B41" s="2070" t="s">
        <v>25</v>
      </c>
      <c r="C41" s="2077"/>
      <c r="D41" s="2078"/>
      <c r="E41" s="2078"/>
      <c r="F41" s="2082">
        <f>ROUND(F39/F40,0)</f>
        <v>20506649826</v>
      </c>
      <c r="G41" s="471">
        <f>F41-G42</f>
        <v>0</v>
      </c>
    </row>
    <row r="42" spans="1:8">
      <c r="A42" s="2076" t="s">
        <v>615</v>
      </c>
      <c r="B42" s="2070" t="s">
        <v>559</v>
      </c>
      <c r="C42" s="2077" t="s">
        <v>2847</v>
      </c>
      <c r="D42" s="2083">
        <f t="shared" ref="D42:D47" si="2">F42/$F$41</f>
        <v>0.41482396677074851</v>
      </c>
      <c r="E42" s="2084" t="s">
        <v>2480</v>
      </c>
      <c r="F42" s="2082">
        <f>F43+F45+F44</f>
        <v>8506649826</v>
      </c>
      <c r="G42" s="483">
        <f>F42+F46</f>
        <v>20506649826</v>
      </c>
      <c r="H42" s="471"/>
    </row>
    <row r="43" spans="1:8">
      <c r="A43" s="299" t="s">
        <v>615</v>
      </c>
      <c r="B43" s="477" t="s">
        <v>2851</v>
      </c>
      <c r="C43" s="298" t="s">
        <v>2847</v>
      </c>
      <c r="D43" s="2085">
        <f t="shared" si="2"/>
        <v>0.17955401556287345</v>
      </c>
      <c r="E43" s="326" t="s">
        <v>2480</v>
      </c>
      <c r="F43" s="478">
        <v>3682051322</v>
      </c>
      <c r="G43" s="1784"/>
    </row>
    <row r="44" spans="1:8" ht="33">
      <c r="A44" s="299" t="s">
        <v>615</v>
      </c>
      <c r="B44" s="477" t="s">
        <v>2850</v>
      </c>
      <c r="C44" s="298" t="s">
        <v>2847</v>
      </c>
      <c r="D44" s="2085">
        <f t="shared" si="2"/>
        <v>4.8764669435770958E-2</v>
      </c>
      <c r="E44" s="326" t="s">
        <v>2480</v>
      </c>
      <c r="F44" s="478">
        <v>1000000000</v>
      </c>
      <c r="G44" s="454">
        <f>1.33-0.76</f>
        <v>0.57000000000000006</v>
      </c>
    </row>
    <row r="45" spans="1:8">
      <c r="A45" s="299" t="s">
        <v>615</v>
      </c>
      <c r="B45" s="477" t="s">
        <v>2849</v>
      </c>
      <c r="C45" s="298" t="s">
        <v>2847</v>
      </c>
      <c r="D45" s="2085">
        <f t="shared" si="2"/>
        <v>0.18650528177210413</v>
      </c>
      <c r="E45" s="326" t="s">
        <v>2480</v>
      </c>
      <c r="F45" s="478">
        <v>3824598504</v>
      </c>
      <c r="G45" s="1564"/>
    </row>
    <row r="46" spans="1:8">
      <c r="A46" s="2076" t="s">
        <v>615</v>
      </c>
      <c r="B46" s="2070" t="s">
        <v>2408</v>
      </c>
      <c r="C46" s="2077" t="s">
        <v>2847</v>
      </c>
      <c r="D46" s="2086">
        <f t="shared" si="2"/>
        <v>0.58517603322925149</v>
      </c>
      <c r="E46" s="2084" t="s">
        <v>2480</v>
      </c>
      <c r="F46" s="2087">
        <f>F47</f>
        <v>12000000000</v>
      </c>
      <c r="G46" s="1564"/>
    </row>
    <row r="47" spans="1:8">
      <c r="A47" s="299" t="s">
        <v>615</v>
      </c>
      <c r="B47" s="477" t="s">
        <v>2848</v>
      </c>
      <c r="C47" s="298" t="s">
        <v>2847</v>
      </c>
      <c r="D47" s="2085">
        <f t="shared" si="2"/>
        <v>0.58517603322925149</v>
      </c>
      <c r="E47" s="326" t="s">
        <v>2480</v>
      </c>
      <c r="F47" s="2088">
        <v>12000000000</v>
      </c>
      <c r="G47" s="1564"/>
    </row>
    <row r="48" spans="1:8">
      <c r="A48" s="2700" t="s">
        <v>2846</v>
      </c>
      <c r="B48" s="2701"/>
      <c r="C48" s="2701"/>
      <c r="D48" s="2701"/>
      <c r="E48" s="2701"/>
      <c r="F48" s="2702"/>
      <c r="G48" s="1564"/>
    </row>
    <row r="49" spans="1:14">
      <c r="A49" s="299"/>
      <c r="G49" s="483"/>
    </row>
    <row r="50" spans="1:14">
      <c r="G50" s="483"/>
      <c r="H50" s="2094"/>
      <c r="I50" s="2094"/>
      <c r="J50" s="2094"/>
      <c r="K50" s="2062"/>
      <c r="L50" s="2703" t="s">
        <v>2845</v>
      </c>
      <c r="M50" s="2703"/>
      <c r="N50" s="2062"/>
    </row>
    <row r="51" spans="1:14">
      <c r="H51" s="2666" t="s">
        <v>64</v>
      </c>
      <c r="I51" s="2666" t="s">
        <v>2844</v>
      </c>
      <c r="J51" s="2666"/>
      <c r="K51" s="2666"/>
      <c r="L51" s="2666" t="s">
        <v>2843</v>
      </c>
      <c r="M51" s="2666"/>
      <c r="N51" s="2666"/>
    </row>
    <row r="52" spans="1:14" ht="33" customHeight="1">
      <c r="H52" s="2666"/>
      <c r="I52" s="2666" t="s">
        <v>2842</v>
      </c>
      <c r="J52" s="2666" t="s">
        <v>2841</v>
      </c>
      <c r="K52" s="2696" t="s">
        <v>2838</v>
      </c>
      <c r="L52" s="2696" t="s">
        <v>2840</v>
      </c>
      <c r="M52" s="2704" t="s">
        <v>2839</v>
      </c>
      <c r="N52" s="2696" t="s">
        <v>2838</v>
      </c>
    </row>
    <row r="53" spans="1:14" ht="33" customHeight="1">
      <c r="H53" s="2666"/>
      <c r="I53" s="2666"/>
      <c r="J53" s="2666"/>
      <c r="K53" s="2697"/>
      <c r="L53" s="2697"/>
      <c r="M53" s="2705"/>
      <c r="N53" s="2697"/>
    </row>
    <row r="54" spans="1:14">
      <c r="H54" s="1993" t="s">
        <v>1657</v>
      </c>
      <c r="I54" s="2068">
        <v>26145</v>
      </c>
      <c r="J54" s="2068">
        <v>13873</v>
      </c>
      <c r="K54" s="2089">
        <f>J54/I54</f>
        <v>0.53061770893096194</v>
      </c>
      <c r="L54" s="2068">
        <v>30502</v>
      </c>
      <c r="M54" s="2068">
        <v>24356</v>
      </c>
      <c r="N54" s="2089">
        <f>M54/L54</f>
        <v>0.7985050160645204</v>
      </c>
    </row>
    <row r="55" spans="1:14" ht="33">
      <c r="H55" s="1993" t="s">
        <v>2837</v>
      </c>
      <c r="I55" s="2068">
        <v>1830</v>
      </c>
      <c r="J55" s="2068">
        <v>198</v>
      </c>
      <c r="K55" s="2089">
        <f>J55/I55</f>
        <v>0.10819672131147541</v>
      </c>
      <c r="L55" s="2068">
        <v>1227</v>
      </c>
      <c r="M55" s="2067">
        <v>784</v>
      </c>
      <c r="N55" s="2089">
        <f>M55/L55</f>
        <v>0.63895680521597387</v>
      </c>
    </row>
    <row r="56" spans="1:14">
      <c r="H56" s="2062"/>
      <c r="I56" s="2095"/>
      <c r="J56" s="2062"/>
      <c r="K56" s="2062"/>
      <c r="L56" s="2062"/>
      <c r="M56" s="2062"/>
      <c r="N56" s="2062"/>
    </row>
    <row r="57" spans="1:14">
      <c r="H57" s="2062"/>
      <c r="I57" s="2095"/>
      <c r="J57" s="2062"/>
      <c r="K57" s="2062"/>
      <c r="L57" s="2062"/>
      <c r="M57" s="2062"/>
      <c r="N57" s="2062"/>
    </row>
    <row r="58" spans="1:14">
      <c r="H58" s="2062"/>
      <c r="I58" s="2095"/>
      <c r="J58" s="2062"/>
      <c r="K58" s="2062"/>
      <c r="L58" s="2062"/>
      <c r="M58" s="2062"/>
      <c r="N58" s="2062"/>
    </row>
    <row r="59" spans="1:14">
      <c r="H59" s="2062"/>
      <c r="I59" s="2095"/>
      <c r="J59" s="2062"/>
      <c r="K59" s="2062"/>
      <c r="L59" s="2062"/>
      <c r="M59" s="2062"/>
      <c r="N59" s="2062"/>
    </row>
    <row r="60" spans="1:14">
      <c r="H60" s="2062"/>
      <c r="I60" s="2095"/>
      <c r="J60" s="2062"/>
      <c r="K60" s="2062"/>
      <c r="L60" s="2062"/>
      <c r="M60" s="2062"/>
      <c r="N60" s="2062"/>
    </row>
  </sheetData>
  <mergeCells count="13">
    <mergeCell ref="N52:N53"/>
    <mergeCell ref="E6:F6"/>
    <mergeCell ref="C32:D32"/>
    <mergeCell ref="A48:F48"/>
    <mergeCell ref="L50:M50"/>
    <mergeCell ref="H51:H53"/>
    <mergeCell ref="I51:K51"/>
    <mergeCell ref="L51:N51"/>
    <mergeCell ref="I52:I53"/>
    <mergeCell ref="J52:J53"/>
    <mergeCell ref="K52:K53"/>
    <mergeCell ref="L52:L53"/>
    <mergeCell ref="M52:M53"/>
  </mergeCell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dimension ref="A1:L108"/>
  <sheetViews>
    <sheetView workbookViewId="0">
      <selection activeCell="C2" sqref="C2"/>
    </sheetView>
  </sheetViews>
  <sheetFormatPr defaultRowHeight="16.5"/>
  <cols>
    <col min="1" max="1" width="5.42578125" style="1546" bestFit="1" customWidth="1"/>
    <col min="2" max="2" width="30.28515625" style="1546" bestFit="1" customWidth="1"/>
    <col min="3" max="3" width="22.85546875" style="1546" bestFit="1" customWidth="1"/>
    <col min="4" max="4" width="10.5703125" style="1549" bestFit="1" customWidth="1"/>
    <col min="5" max="5" width="15.85546875" style="1548" bestFit="1" customWidth="1"/>
    <col min="6" max="6" width="20.28515625" style="1548" customWidth="1"/>
    <col min="7" max="7" width="17.7109375" style="1546" bestFit="1" customWidth="1"/>
    <col min="8" max="8" width="11.5703125" style="1547" bestFit="1" customWidth="1"/>
    <col min="9" max="9" width="19" style="1546" bestFit="1" customWidth="1"/>
    <col min="10" max="10" width="10.5703125" style="1546" bestFit="1" customWidth="1"/>
    <col min="11" max="11" width="9.140625" style="1546"/>
    <col min="12" max="12" width="17.7109375" style="1546" bestFit="1" customWidth="1"/>
    <col min="13" max="16384" width="9.140625" style="1546"/>
  </cols>
  <sheetData>
    <row r="1" spans="1:9">
      <c r="C1" s="1546" t="s">
        <v>3087</v>
      </c>
      <c r="G1" s="1573" t="s">
        <v>1020</v>
      </c>
    </row>
    <row r="5" spans="1:9">
      <c r="F5" s="2096" t="s">
        <v>3066</v>
      </c>
    </row>
    <row r="6" spans="1:9">
      <c r="A6" s="2346" t="s">
        <v>97</v>
      </c>
      <c r="B6" s="2346" t="s">
        <v>2280</v>
      </c>
      <c r="C6" s="2346" t="s">
        <v>100</v>
      </c>
      <c r="D6" s="2346" t="s">
        <v>1</v>
      </c>
      <c r="E6" s="2097" t="s">
        <v>3</v>
      </c>
      <c r="F6" s="2098" t="s">
        <v>4</v>
      </c>
    </row>
    <row r="7" spans="1:9">
      <c r="A7" s="2346">
        <v>1</v>
      </c>
      <c r="B7" s="2099" t="s">
        <v>3086</v>
      </c>
      <c r="C7" s="2346"/>
      <c r="D7" s="2100"/>
      <c r="E7" s="2100"/>
      <c r="F7" s="2100">
        <f>SUM(F8:F11)</f>
        <v>1860600000</v>
      </c>
      <c r="I7" s="1547">
        <f>F7/D8</f>
        <v>1476666.6666666667</v>
      </c>
    </row>
    <row r="8" spans="1:9">
      <c r="A8" s="2101" t="s">
        <v>615</v>
      </c>
      <c r="B8" s="2102" t="s">
        <v>3085</v>
      </c>
      <c r="C8" s="2101" t="s">
        <v>5</v>
      </c>
      <c r="D8" s="2103">
        <v>1260</v>
      </c>
      <c r="E8" s="2103">
        <v>610000</v>
      </c>
      <c r="F8" s="2103">
        <f>D8*E8</f>
        <v>768600000</v>
      </c>
      <c r="G8" s="1546" t="s">
        <v>3077</v>
      </c>
    </row>
    <row r="9" spans="1:9">
      <c r="A9" s="2101" t="s">
        <v>615</v>
      </c>
      <c r="B9" s="2102" t="s">
        <v>3084</v>
      </c>
      <c r="C9" s="2101" t="s">
        <v>829</v>
      </c>
      <c r="D9" s="2103">
        <f>D8*3.5</f>
        <v>4410</v>
      </c>
      <c r="E9" s="2103">
        <v>200000</v>
      </c>
      <c r="F9" s="2103">
        <f>D9*E9</f>
        <v>882000000</v>
      </c>
    </row>
    <row r="10" spans="1:9">
      <c r="A10" s="2101" t="s">
        <v>615</v>
      </c>
      <c r="B10" s="2102" t="s">
        <v>3083</v>
      </c>
      <c r="C10" s="2101"/>
      <c r="D10" s="2103"/>
      <c r="E10" s="2103"/>
      <c r="F10" s="2103">
        <f>D35/15*1500000</f>
        <v>126000000</v>
      </c>
    </row>
    <row r="11" spans="1:9">
      <c r="A11" s="2101" t="s">
        <v>615</v>
      </c>
      <c r="B11" s="2102" t="s">
        <v>217</v>
      </c>
      <c r="C11" s="2101"/>
      <c r="D11" s="2103"/>
      <c r="E11" s="2103"/>
      <c r="F11" s="2103">
        <f>D35/15*1000000</f>
        <v>84000000</v>
      </c>
    </row>
    <row r="12" spans="1:9">
      <c r="A12" s="2346">
        <v>2</v>
      </c>
      <c r="B12" s="2099" t="s">
        <v>3082</v>
      </c>
      <c r="C12" s="2346"/>
      <c r="D12" s="2100"/>
      <c r="E12" s="2100"/>
      <c r="F12" s="2100">
        <f>SUM(F13:F16)</f>
        <v>1755000000</v>
      </c>
      <c r="I12" s="1547">
        <f>F12/I13</f>
        <v>29250000</v>
      </c>
    </row>
    <row r="13" spans="1:9">
      <c r="A13" s="2101" t="s">
        <v>615</v>
      </c>
      <c r="B13" s="2102" t="s">
        <v>3063</v>
      </c>
      <c r="C13" s="2101" t="s">
        <v>5</v>
      </c>
      <c r="D13" s="2103">
        <v>900</v>
      </c>
      <c r="E13" s="2103">
        <v>1500000</v>
      </c>
      <c r="F13" s="2103">
        <f>D13*E13</f>
        <v>1350000000</v>
      </c>
      <c r="G13" s="1546" t="s">
        <v>3077</v>
      </c>
      <c r="I13" s="1563">
        <f>D13/15</f>
        <v>60</v>
      </c>
    </row>
    <row r="14" spans="1:9">
      <c r="A14" s="2101" t="s">
        <v>615</v>
      </c>
      <c r="B14" s="2102" t="s">
        <v>3081</v>
      </c>
      <c r="C14" s="2101" t="s">
        <v>139</v>
      </c>
      <c r="D14" s="2103">
        <f>D13/15</f>
        <v>60</v>
      </c>
      <c r="E14" s="2103">
        <v>3050000</v>
      </c>
      <c r="F14" s="2103">
        <f>D14*E14</f>
        <v>183000000</v>
      </c>
    </row>
    <row r="15" spans="1:9">
      <c r="A15" s="2101" t="s">
        <v>615</v>
      </c>
      <c r="B15" s="2102" t="s">
        <v>3080</v>
      </c>
      <c r="C15" s="2101" t="s">
        <v>139</v>
      </c>
      <c r="D15" s="2103">
        <f>D13/15</f>
        <v>60</v>
      </c>
      <c r="E15" s="2103">
        <v>1200000</v>
      </c>
      <c r="F15" s="2103">
        <f>D15*E15</f>
        <v>72000000</v>
      </c>
    </row>
    <row r="16" spans="1:9">
      <c r="A16" s="2101" t="s">
        <v>615</v>
      </c>
      <c r="B16" s="2102" t="s">
        <v>217</v>
      </c>
      <c r="C16" s="2101"/>
      <c r="D16" s="2103"/>
      <c r="E16" s="2103"/>
      <c r="F16" s="2103">
        <f>D15*2500000</f>
        <v>150000000</v>
      </c>
    </row>
    <row r="17" spans="1:12">
      <c r="A17" s="2346">
        <v>3</v>
      </c>
      <c r="B17" s="2099" t="s">
        <v>3079</v>
      </c>
      <c r="C17" s="2346"/>
      <c r="D17" s="2100"/>
      <c r="E17" s="2100"/>
      <c r="F17" s="2100">
        <f>SUM(F18:F20)</f>
        <v>1508400000</v>
      </c>
      <c r="I17" s="1547">
        <f>F17/I18</f>
        <v>18855000</v>
      </c>
    </row>
    <row r="18" spans="1:12">
      <c r="A18" s="2101" t="s">
        <v>615</v>
      </c>
      <c r="B18" s="2102" t="s">
        <v>3078</v>
      </c>
      <c r="C18" s="2101" t="s">
        <v>5</v>
      </c>
      <c r="D18" s="2103">
        <v>1200</v>
      </c>
      <c r="E18" s="2103">
        <v>833000</v>
      </c>
      <c r="F18" s="2103">
        <f>D18*E18</f>
        <v>999600000</v>
      </c>
      <c r="G18" s="1546" t="s">
        <v>3077</v>
      </c>
      <c r="I18" s="1563">
        <f>D18/15</f>
        <v>80</v>
      </c>
    </row>
    <row r="19" spans="1:12">
      <c r="A19" s="2101" t="s">
        <v>615</v>
      </c>
      <c r="B19" s="2102" t="s">
        <v>3076</v>
      </c>
      <c r="C19" s="2101" t="s">
        <v>139</v>
      </c>
      <c r="D19" s="2103">
        <f>D18/15*2</f>
        <v>160</v>
      </c>
      <c r="E19" s="2103">
        <v>1180000</v>
      </c>
      <c r="F19" s="2103">
        <f>D19*E19</f>
        <v>188800000</v>
      </c>
    </row>
    <row r="20" spans="1:12">
      <c r="A20" s="2101" t="s">
        <v>615</v>
      </c>
      <c r="B20" s="2102" t="s">
        <v>217</v>
      </c>
      <c r="C20" s="2101"/>
      <c r="D20" s="2103"/>
      <c r="E20" s="2103"/>
      <c r="F20" s="2103">
        <f>D18/15*4000000</f>
        <v>320000000</v>
      </c>
    </row>
    <row r="21" spans="1:12">
      <c r="A21" s="2346">
        <v>4</v>
      </c>
      <c r="B21" s="2099" t="s">
        <v>3075</v>
      </c>
      <c r="C21" s="2346"/>
      <c r="D21" s="2100"/>
      <c r="E21" s="2100"/>
      <c r="F21" s="2100">
        <f>SUM(F22:F23)</f>
        <v>2560000000</v>
      </c>
      <c r="I21" s="1547">
        <f>F21/I22</f>
        <v>16000000</v>
      </c>
    </row>
    <row r="22" spans="1:12">
      <c r="A22" s="2101" t="s">
        <v>615</v>
      </c>
      <c r="B22" s="2102" t="s">
        <v>3074</v>
      </c>
      <c r="C22" s="2101" t="s">
        <v>5</v>
      </c>
      <c r="D22" s="2103">
        <v>960</v>
      </c>
      <c r="E22" s="2103">
        <v>2500000</v>
      </c>
      <c r="F22" s="2103">
        <f>D22*E22</f>
        <v>2400000000</v>
      </c>
      <c r="G22" s="1546" t="s">
        <v>3073</v>
      </c>
      <c r="I22" s="1563">
        <f>D22/6</f>
        <v>160</v>
      </c>
    </row>
    <row r="23" spans="1:12">
      <c r="A23" s="2101" t="s">
        <v>615</v>
      </c>
      <c r="B23" s="2102" t="s">
        <v>217</v>
      </c>
      <c r="C23" s="2101"/>
      <c r="D23" s="2103"/>
      <c r="E23" s="2103"/>
      <c r="F23" s="2103">
        <f>D22/6*1000000</f>
        <v>160000000</v>
      </c>
    </row>
    <row r="24" spans="1:12">
      <c r="A24" s="2346">
        <v>5</v>
      </c>
      <c r="B24" s="2099" t="s">
        <v>3072</v>
      </c>
      <c r="C24" s="2101" t="s">
        <v>504</v>
      </c>
      <c r="D24" s="2104">
        <v>1</v>
      </c>
      <c r="E24" s="2100"/>
      <c r="F24" s="2100">
        <f>6000000*3*12</f>
        <v>216000000</v>
      </c>
    </row>
    <row r="25" spans="1:12">
      <c r="A25" s="2346">
        <v>6</v>
      </c>
      <c r="B25" s="2099" t="s">
        <v>3071</v>
      </c>
      <c r="C25" s="2101" t="s">
        <v>504</v>
      </c>
      <c r="D25" s="2105">
        <v>1</v>
      </c>
      <c r="E25" s="2100"/>
      <c r="F25" s="2100">
        <f>ROUND(F39*1.5%,-6)+1000000</f>
        <v>146000000</v>
      </c>
    </row>
    <row r="26" spans="1:12">
      <c r="A26" s="2346">
        <v>7</v>
      </c>
      <c r="B26" s="2099" t="s">
        <v>3070</v>
      </c>
      <c r="C26" s="2101" t="s">
        <v>504</v>
      </c>
      <c r="D26" s="2105">
        <v>1</v>
      </c>
      <c r="E26" s="2100"/>
      <c r="F26" s="2100">
        <v>100000000</v>
      </c>
    </row>
    <row r="27" spans="1:12">
      <c r="A27" s="2346">
        <v>8</v>
      </c>
      <c r="B27" s="2099" t="s">
        <v>3069</v>
      </c>
      <c r="C27" s="2101" t="s">
        <v>504</v>
      </c>
      <c r="D27" s="2105">
        <v>1</v>
      </c>
      <c r="E27" s="2100"/>
      <c r="F27" s="2100">
        <v>24600000</v>
      </c>
    </row>
    <row r="28" spans="1:12">
      <c r="A28" s="2346">
        <v>9</v>
      </c>
      <c r="B28" s="2099" t="s">
        <v>3068</v>
      </c>
      <c r="C28" s="2101" t="s">
        <v>504</v>
      </c>
      <c r="D28" s="2105">
        <v>1</v>
      </c>
      <c r="E28" s="2100"/>
      <c r="F28" s="2100">
        <f>L30</f>
        <v>38400000</v>
      </c>
    </row>
    <row r="29" spans="1:12">
      <c r="A29" s="2346">
        <v>10</v>
      </c>
      <c r="B29" s="2099" t="s">
        <v>125</v>
      </c>
      <c r="C29" s="2101" t="s">
        <v>504</v>
      </c>
      <c r="D29" s="2105">
        <v>1</v>
      </c>
      <c r="E29" s="2100"/>
      <c r="F29" s="2100">
        <f>G37*9.5%</f>
        <v>266000000</v>
      </c>
      <c r="L29" s="1563">
        <f>F21+F17+F12+F7</f>
        <v>7684000000</v>
      </c>
    </row>
    <row r="30" spans="1:12" ht="33">
      <c r="A30" s="2346">
        <v>11</v>
      </c>
      <c r="B30" s="2106" t="s">
        <v>3067</v>
      </c>
      <c r="C30" s="2101" t="s">
        <v>504</v>
      </c>
      <c r="D30" s="2105">
        <v>1</v>
      </c>
      <c r="E30" s="2100"/>
      <c r="F30" s="2100">
        <v>100000000</v>
      </c>
      <c r="L30" s="1562">
        <f>L29*0.5/100-20000</f>
        <v>38400000</v>
      </c>
    </row>
    <row r="31" spans="1:12">
      <c r="A31" s="2706" t="s">
        <v>22</v>
      </c>
      <c r="B31" s="2706"/>
      <c r="C31" s="2706"/>
      <c r="D31" s="2706"/>
      <c r="E31" s="2706"/>
      <c r="F31" s="2100">
        <f>F7+F12+F17+F21+F24+F25+F26+F27++F28+F29+F30</f>
        <v>8575000000</v>
      </c>
      <c r="G31" s="1559">
        <f>F31-F29-F27-F26-F25-F28</f>
        <v>8000000000</v>
      </c>
    </row>
    <row r="32" spans="1:12">
      <c r="A32" s="1561"/>
      <c r="B32" s="1561"/>
      <c r="C32" s="1561"/>
      <c r="D32" s="1561"/>
      <c r="E32" s="1561"/>
      <c r="F32" s="1560"/>
      <c r="G32" s="1559"/>
    </row>
    <row r="33" spans="1:9">
      <c r="A33" s="1561"/>
      <c r="B33" s="1561"/>
      <c r="C33" s="1561"/>
      <c r="D33" s="1561"/>
      <c r="E33" s="1561"/>
      <c r="F33" s="2107" t="s">
        <v>3066</v>
      </c>
      <c r="G33" s="1559"/>
    </row>
    <row r="34" spans="1:9">
      <c r="A34" s="2346" t="s">
        <v>97</v>
      </c>
      <c r="B34" s="2346" t="s">
        <v>2280</v>
      </c>
      <c r="C34" s="2346" t="s">
        <v>100</v>
      </c>
      <c r="D34" s="2346" t="s">
        <v>1</v>
      </c>
      <c r="E34" s="2097" t="s">
        <v>3</v>
      </c>
      <c r="F34" s="2098" t="s">
        <v>4</v>
      </c>
      <c r="G34" s="1549">
        <v>2</v>
      </c>
      <c r="H34" s="1547" t="s">
        <v>3065</v>
      </c>
    </row>
    <row r="35" spans="1:9">
      <c r="A35" s="2101">
        <v>1</v>
      </c>
      <c r="B35" s="2102" t="s">
        <v>3064</v>
      </c>
      <c r="C35" s="2101" t="s">
        <v>5</v>
      </c>
      <c r="D35" s="2103">
        <f>D8</f>
        <v>1260</v>
      </c>
      <c r="E35" s="2103">
        <v>2300000</v>
      </c>
      <c r="F35" s="2103">
        <f>D35*E35</f>
        <v>2898000000</v>
      </c>
      <c r="G35" s="1557">
        <f>G31/G34</f>
        <v>4000000000</v>
      </c>
      <c r="I35" s="1558"/>
    </row>
    <row r="36" spans="1:9">
      <c r="A36" s="2101">
        <v>2</v>
      </c>
      <c r="B36" s="2102" t="s">
        <v>3063</v>
      </c>
      <c r="C36" s="2101" t="s">
        <v>139</v>
      </c>
      <c r="D36" s="2103">
        <f>D13/15</f>
        <v>60</v>
      </c>
      <c r="E36" s="2103">
        <v>33000000</v>
      </c>
      <c r="F36" s="2103">
        <f>D36*E36</f>
        <v>1980000000</v>
      </c>
      <c r="G36" s="1557">
        <f>G35-G37</f>
        <v>1200000000</v>
      </c>
      <c r="H36" s="1556">
        <f>G36/G35</f>
        <v>0.3</v>
      </c>
    </row>
    <row r="37" spans="1:9">
      <c r="A37" s="2101">
        <v>3</v>
      </c>
      <c r="B37" s="2102" t="s">
        <v>3062</v>
      </c>
      <c r="C37" s="2101" t="s">
        <v>139</v>
      </c>
      <c r="D37" s="2103">
        <f>D18/15</f>
        <v>80</v>
      </c>
      <c r="E37" s="2103">
        <v>24000000</v>
      </c>
      <c r="F37" s="2103">
        <f>D37*E37</f>
        <v>1920000000</v>
      </c>
      <c r="G37" s="1548">
        <v>2800000000</v>
      </c>
    </row>
    <row r="38" spans="1:9">
      <c r="A38" s="2101">
        <v>4</v>
      </c>
      <c r="B38" s="2102" t="s">
        <v>3061</v>
      </c>
      <c r="C38" s="2101" t="s">
        <v>139</v>
      </c>
      <c r="D38" s="2103">
        <f>D22/6</f>
        <v>160</v>
      </c>
      <c r="E38" s="2103">
        <v>18000000</v>
      </c>
      <c r="F38" s="2103">
        <f>D38*E38</f>
        <v>2880000000</v>
      </c>
    </row>
    <row r="39" spans="1:9">
      <c r="A39" s="2706" t="s">
        <v>23</v>
      </c>
      <c r="B39" s="2706"/>
      <c r="C39" s="2706"/>
      <c r="D39" s="2706"/>
      <c r="E39" s="2706"/>
      <c r="F39" s="2100">
        <f>SUM(F35:F38)</f>
        <v>9678000000</v>
      </c>
    </row>
    <row r="40" spans="1:9">
      <c r="F40" s="1555">
        <f>F39-F31</f>
        <v>1103000000</v>
      </c>
      <c r="I40" s="1554">
        <f>F40/12</f>
        <v>91916666.666666672</v>
      </c>
    </row>
    <row r="41" spans="1:9">
      <c r="F41" s="1553">
        <f>F40/G36/2</f>
        <v>0.45958333333333334</v>
      </c>
    </row>
    <row r="42" spans="1:9">
      <c r="F42" s="1552">
        <f>F40/F39</f>
        <v>0.11396982847695805</v>
      </c>
    </row>
    <row r="44" spans="1:9">
      <c r="A44" s="2108" t="s">
        <v>3060</v>
      </c>
      <c r="B44" s="2109"/>
      <c r="C44" s="2110"/>
      <c r="D44" s="2111"/>
      <c r="E44" s="2111"/>
      <c r="F44" s="2111"/>
      <c r="G44" s="2111"/>
      <c r="H44" s="2111"/>
      <c r="I44" s="2125"/>
    </row>
    <row r="45" spans="1:9">
      <c r="A45" s="2108" t="s">
        <v>3059</v>
      </c>
      <c r="B45" s="2109"/>
      <c r="C45" s="2110"/>
      <c r="D45" s="2111"/>
      <c r="E45" s="2111"/>
      <c r="F45" s="2111"/>
      <c r="G45" s="2111"/>
      <c r="H45" s="2111"/>
      <c r="I45" s="2125"/>
    </row>
    <row r="46" spans="1:9">
      <c r="A46" s="2112" t="s">
        <v>1025</v>
      </c>
      <c r="B46" s="2113">
        <v>8000000000</v>
      </c>
      <c r="C46" s="2109" t="s">
        <v>1025</v>
      </c>
      <c r="D46" s="2707">
        <f>B46/B47</f>
        <v>4000000000</v>
      </c>
      <c r="E46" s="2707"/>
      <c r="F46" s="2114" t="s">
        <v>202</v>
      </c>
      <c r="G46" s="2114"/>
      <c r="H46" s="2114"/>
      <c r="I46" s="2125"/>
    </row>
    <row r="47" spans="1:9">
      <c r="A47" s="2108"/>
      <c r="B47" s="2109">
        <v>2</v>
      </c>
      <c r="C47" s="2109"/>
      <c r="D47" s="2114"/>
      <c r="E47" s="2114"/>
      <c r="F47" s="2114"/>
      <c r="G47" s="2114"/>
      <c r="H47" s="2114"/>
      <c r="I47" s="2125"/>
    </row>
    <row r="48" spans="1:9">
      <c r="A48" s="2115" t="s">
        <v>3058</v>
      </c>
      <c r="B48" s="2116"/>
      <c r="C48" s="2116"/>
      <c r="D48" s="2347"/>
      <c r="E48" s="2347"/>
      <c r="F48" s="2347"/>
      <c r="G48" s="2347"/>
      <c r="H48" s="2347"/>
      <c r="I48" s="2125"/>
    </row>
    <row r="49" spans="1:9" ht="17.25">
      <c r="A49" s="2117"/>
      <c r="B49" s="2118" t="s">
        <v>3057</v>
      </c>
      <c r="C49" s="2116" t="s">
        <v>3056</v>
      </c>
      <c r="D49" s="2347"/>
      <c r="E49" s="2347"/>
      <c r="F49" s="2347"/>
      <c r="G49" s="2708"/>
      <c r="H49" s="2708"/>
      <c r="I49" s="2125"/>
    </row>
    <row r="50" spans="1:9" ht="17.25">
      <c r="A50" s="2117"/>
      <c r="B50" s="2118" t="s">
        <v>1025</v>
      </c>
      <c r="C50" s="2709">
        <f>9678000000-8575000000</f>
        <v>1103000000</v>
      </c>
      <c r="D50" s="2709"/>
      <c r="E50" s="2347" t="s">
        <v>202</v>
      </c>
      <c r="F50" s="2347"/>
      <c r="G50" s="2347"/>
      <c r="H50" s="2347"/>
      <c r="I50" s="2125"/>
    </row>
    <row r="51" spans="1:9">
      <c r="A51" s="2115" t="s">
        <v>3055</v>
      </c>
      <c r="B51" s="2118"/>
      <c r="C51" s="2348"/>
      <c r="D51" s="2347"/>
      <c r="E51" s="2347"/>
      <c r="F51" s="2347"/>
      <c r="G51" s="2347"/>
      <c r="H51" s="2347"/>
      <c r="I51" s="2125"/>
    </row>
    <row r="52" spans="1:9" ht="17.25">
      <c r="A52" s="2119"/>
      <c r="B52" s="2120" t="s">
        <v>3054</v>
      </c>
      <c r="C52" s="2109"/>
      <c r="D52" s="2121">
        <f>C50/1200000000/2</f>
        <v>0.45958333333333334</v>
      </c>
      <c r="E52" s="2122"/>
      <c r="F52" s="2347"/>
      <c r="G52" s="2347"/>
      <c r="H52" s="2347"/>
      <c r="I52" s="2125"/>
    </row>
    <row r="53" spans="1:9" ht="17.25">
      <c r="A53" s="2119"/>
      <c r="B53" s="2120" t="s">
        <v>3053</v>
      </c>
      <c r="C53" s="2109"/>
      <c r="D53" s="2121">
        <f>C50/9678000000</f>
        <v>0.11396982847695805</v>
      </c>
      <c r="E53" s="2347"/>
      <c r="F53" s="2347"/>
      <c r="G53" s="2347"/>
      <c r="H53" s="2347"/>
      <c r="I53" s="2125"/>
    </row>
    <row r="54" spans="1:9">
      <c r="A54" s="2108" t="s">
        <v>3225</v>
      </c>
      <c r="B54" s="2123"/>
      <c r="C54" s="2109"/>
      <c r="D54" s="2347"/>
      <c r="E54" s="2124"/>
      <c r="F54" s="2347"/>
      <c r="G54" s="2347"/>
      <c r="H54" s="2347"/>
      <c r="I54" s="2125"/>
    </row>
    <row r="107" spans="5:10">
      <c r="E107" s="1549"/>
      <c r="F107" s="1549"/>
      <c r="J107" s="1551"/>
    </row>
    <row r="108" spans="5:10">
      <c r="E108" s="1549"/>
      <c r="F108" s="1549"/>
      <c r="J108" s="1550"/>
    </row>
  </sheetData>
  <mergeCells count="5">
    <mergeCell ref="A31:E31"/>
    <mergeCell ref="A39:E39"/>
    <mergeCell ref="D46:E46"/>
    <mergeCell ref="G49:H49"/>
    <mergeCell ref="C50:D50"/>
  </mergeCells>
  <pageMargins left="0.75" right="0.75" top="1" bottom="1" header="0.5" footer="0.5"/>
  <pageSetup orientation="portrait" r:id="rId1"/>
  <headerFooter alignWithMargins="0"/>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G23"/>
  <sheetViews>
    <sheetView workbookViewId="0">
      <selection activeCell="C2" sqref="C2"/>
    </sheetView>
  </sheetViews>
  <sheetFormatPr defaultColWidth="9" defaultRowHeight="16.5"/>
  <cols>
    <col min="1" max="1" width="41.28515625" style="6" bestFit="1" customWidth="1"/>
    <col min="2" max="2" width="14.140625" style="6" bestFit="1" customWidth="1"/>
    <col min="3" max="3" width="16" style="6" bestFit="1" customWidth="1"/>
    <col min="4" max="16384" width="9" style="6"/>
  </cols>
  <sheetData>
    <row r="1" spans="1:7">
      <c r="C1" s="6" t="s">
        <v>469</v>
      </c>
      <c r="G1" s="308" t="s">
        <v>1020</v>
      </c>
    </row>
    <row r="3" spans="1:7">
      <c r="A3" s="84" t="s">
        <v>64</v>
      </c>
      <c r="B3" s="84" t="s">
        <v>368</v>
      </c>
      <c r="C3" s="84" t="s">
        <v>45</v>
      </c>
    </row>
    <row r="4" spans="1:7">
      <c r="A4" s="18" t="s">
        <v>46</v>
      </c>
      <c r="B4" s="2627">
        <f>2000*1700*25*3</f>
        <v>255000000</v>
      </c>
      <c r="C4" s="2627">
        <f>B4*4</f>
        <v>1020000000</v>
      </c>
    </row>
    <row r="5" spans="1:7">
      <c r="A5" s="18" t="s">
        <v>369</v>
      </c>
      <c r="B5" s="2628"/>
      <c r="C5" s="2628"/>
    </row>
    <row r="6" spans="1:7">
      <c r="A6" s="18" t="s">
        <v>48</v>
      </c>
      <c r="B6" s="85">
        <f>SUM(B7:B15)</f>
        <v>218260416.66666666</v>
      </c>
      <c r="C6" s="85">
        <f>SUM(C7:C15)</f>
        <v>873041666.66666663</v>
      </c>
    </row>
    <row r="7" spans="1:7">
      <c r="A7" s="18" t="s">
        <v>370</v>
      </c>
      <c r="B7" s="2627">
        <f>2000*1000*25*3</f>
        <v>150000000</v>
      </c>
      <c r="C7" s="2627">
        <f>B7*4</f>
        <v>600000000</v>
      </c>
    </row>
    <row r="8" spans="1:7">
      <c r="A8" s="18" t="s">
        <v>371</v>
      </c>
      <c r="B8" s="2628"/>
      <c r="C8" s="2628"/>
    </row>
    <row r="9" spans="1:7">
      <c r="A9" s="18" t="s">
        <v>372</v>
      </c>
      <c r="B9" s="85">
        <f>16000000*3</f>
        <v>48000000</v>
      </c>
      <c r="C9" s="85">
        <f t="shared" ref="C9:C15" si="0">B9*4</f>
        <v>192000000</v>
      </c>
    </row>
    <row r="10" spans="1:7">
      <c r="A10" s="18" t="s">
        <v>53</v>
      </c>
      <c r="B10" s="85">
        <f>B18/B20</f>
        <v>4166666.6666666665</v>
      </c>
      <c r="C10" s="85">
        <f t="shared" si="0"/>
        <v>16666666.666666666</v>
      </c>
    </row>
    <row r="11" spans="1:7">
      <c r="A11" s="18" t="s">
        <v>373</v>
      </c>
      <c r="B11" s="85">
        <v>3000000</v>
      </c>
      <c r="C11" s="85">
        <f t="shared" si="0"/>
        <v>12000000</v>
      </c>
    </row>
    <row r="12" spans="1:7">
      <c r="A12" s="18" t="s">
        <v>55</v>
      </c>
      <c r="B12" s="85">
        <f>B21*C21/4</f>
        <v>2493750</v>
      </c>
      <c r="C12" s="85">
        <f t="shared" si="0"/>
        <v>9975000</v>
      </c>
    </row>
    <row r="13" spans="1:7">
      <c r="A13" s="18" t="s">
        <v>374</v>
      </c>
      <c r="B13" s="85">
        <v>9000000</v>
      </c>
      <c r="C13" s="85">
        <f t="shared" si="0"/>
        <v>36000000</v>
      </c>
    </row>
    <row r="14" spans="1:7">
      <c r="A14" s="18" t="s">
        <v>375</v>
      </c>
      <c r="B14" s="85">
        <v>1000000</v>
      </c>
      <c r="C14" s="85">
        <f t="shared" si="0"/>
        <v>4000000</v>
      </c>
    </row>
    <row r="15" spans="1:7">
      <c r="A15" s="18" t="s">
        <v>376</v>
      </c>
      <c r="B15" s="85">
        <v>600000</v>
      </c>
      <c r="C15" s="85">
        <f t="shared" si="0"/>
        <v>2400000</v>
      </c>
    </row>
    <row r="16" spans="1:7">
      <c r="A16" s="18" t="s">
        <v>60</v>
      </c>
      <c r="B16" s="85">
        <f>B4-B6</f>
        <v>36739583.333333343</v>
      </c>
      <c r="C16" s="85">
        <f>C4-C6</f>
        <v>146958333.33333337</v>
      </c>
    </row>
    <row r="17" spans="1:3">
      <c r="A17" s="86"/>
      <c r="B17" s="87"/>
      <c r="C17" s="87"/>
    </row>
    <row r="18" spans="1:3">
      <c r="A18" s="6" t="s">
        <v>377</v>
      </c>
      <c r="B18" s="77">
        <v>100000000</v>
      </c>
      <c r="C18" s="77">
        <v>670000000</v>
      </c>
    </row>
    <row r="19" spans="1:3">
      <c r="A19" s="6" t="s">
        <v>378</v>
      </c>
      <c r="B19" s="77">
        <v>50000000</v>
      </c>
      <c r="C19" s="77"/>
    </row>
    <row r="20" spans="1:3">
      <c r="A20" s="6" t="s">
        <v>6</v>
      </c>
      <c r="B20" s="6">
        <v>24</v>
      </c>
    </row>
    <row r="21" spans="1:3">
      <c r="A21" s="6" t="s">
        <v>12</v>
      </c>
      <c r="B21" s="77">
        <v>95000000</v>
      </c>
      <c r="C21" s="61">
        <v>0.105</v>
      </c>
    </row>
    <row r="22" spans="1:3">
      <c r="A22" s="6" t="s">
        <v>26</v>
      </c>
      <c r="B22" s="77">
        <f>B18+B19-B21</f>
        <v>55000000</v>
      </c>
    </row>
    <row r="23" spans="1:3">
      <c r="A23" s="6" t="s">
        <v>379</v>
      </c>
      <c r="B23" s="61">
        <f>B22/(B18+B19)</f>
        <v>0.36666666666666664</v>
      </c>
      <c r="C23" s="6" t="s">
        <v>90</v>
      </c>
    </row>
  </sheetData>
  <mergeCells count="4">
    <mergeCell ref="B4:B5"/>
    <mergeCell ref="C4:C5"/>
    <mergeCell ref="B7:B8"/>
    <mergeCell ref="C7:C8"/>
  </mergeCells>
  <pageMargins left="0.7" right="0.7" top="0.75" bottom="0.75" header="0.3" footer="0.3"/>
  <pageSetup paperSize="9" orientation="portrait" verticalDpi="0"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3"/>
  <sheetViews>
    <sheetView workbookViewId="0">
      <selection activeCell="B15" sqref="B15"/>
    </sheetView>
  </sheetViews>
  <sheetFormatPr defaultRowHeight="16.5"/>
  <cols>
    <col min="1" max="1" width="4.140625" style="6" bestFit="1" customWidth="1"/>
    <col min="2" max="2" width="34.7109375" style="6" bestFit="1" customWidth="1"/>
    <col min="3" max="3" width="15.85546875" style="6" bestFit="1" customWidth="1"/>
    <col min="4" max="4" width="10.5703125" style="6" bestFit="1" customWidth="1"/>
    <col min="5" max="5" width="17" style="6" bestFit="1" customWidth="1"/>
    <col min="6" max="6" width="19.42578125" style="6" customWidth="1"/>
    <col min="7" max="16384" width="9.140625" style="6"/>
  </cols>
  <sheetData>
    <row r="1" spans="1:7">
      <c r="C1" s="6" t="s">
        <v>472</v>
      </c>
      <c r="G1" s="308" t="s">
        <v>1020</v>
      </c>
    </row>
    <row r="3" spans="1:7">
      <c r="A3" s="17" t="s">
        <v>0</v>
      </c>
      <c r="B3" s="17" t="s">
        <v>224</v>
      </c>
      <c r="C3" s="17" t="s">
        <v>2</v>
      </c>
      <c r="D3" s="17" t="s">
        <v>1</v>
      </c>
      <c r="E3" s="17" t="s">
        <v>225</v>
      </c>
      <c r="F3" s="17" t="s">
        <v>226</v>
      </c>
    </row>
    <row r="4" spans="1:7">
      <c r="A4" s="18">
        <v>1</v>
      </c>
      <c r="B4" s="18" t="s">
        <v>227</v>
      </c>
      <c r="C4" s="18" t="s">
        <v>228</v>
      </c>
      <c r="D4" s="47">
        <v>20</v>
      </c>
      <c r="E4" s="48">
        <v>16000000</v>
      </c>
      <c r="F4" s="48">
        <f t="shared" ref="F4:F9" si="0">E4*D4</f>
        <v>320000000</v>
      </c>
    </row>
    <row r="5" spans="1:7">
      <c r="A5" s="18">
        <v>2</v>
      </c>
      <c r="B5" s="18" t="s">
        <v>229</v>
      </c>
      <c r="C5" s="18" t="s">
        <v>139</v>
      </c>
      <c r="D5" s="47">
        <v>1</v>
      </c>
      <c r="E5" s="48">
        <v>80000000</v>
      </c>
      <c r="F5" s="48">
        <f t="shared" si="0"/>
        <v>80000000</v>
      </c>
    </row>
    <row r="6" spans="1:7">
      <c r="A6" s="18">
        <v>3</v>
      </c>
      <c r="B6" s="18" t="s">
        <v>230</v>
      </c>
      <c r="C6" s="18" t="s">
        <v>108</v>
      </c>
      <c r="D6" s="47">
        <v>3</v>
      </c>
      <c r="E6" s="48">
        <v>10000000</v>
      </c>
      <c r="F6" s="48">
        <f t="shared" si="0"/>
        <v>30000000</v>
      </c>
    </row>
    <row r="7" spans="1:7">
      <c r="A7" s="18">
        <v>4</v>
      </c>
      <c r="B7" s="18" t="s">
        <v>231</v>
      </c>
      <c r="C7" s="18" t="s">
        <v>108</v>
      </c>
      <c r="D7" s="47">
        <v>2</v>
      </c>
      <c r="E7" s="48">
        <v>20000000</v>
      </c>
      <c r="F7" s="48">
        <f t="shared" si="0"/>
        <v>40000000</v>
      </c>
    </row>
    <row r="8" spans="1:7">
      <c r="A8" s="18">
        <v>5</v>
      </c>
      <c r="B8" s="18" t="s">
        <v>232</v>
      </c>
      <c r="C8" s="18" t="s">
        <v>108</v>
      </c>
      <c r="D8" s="47">
        <v>2</v>
      </c>
      <c r="E8" s="48">
        <v>15000000</v>
      </c>
      <c r="F8" s="48">
        <f t="shared" si="0"/>
        <v>30000000</v>
      </c>
    </row>
    <row r="9" spans="1:7">
      <c r="A9" s="18">
        <v>6</v>
      </c>
      <c r="B9" s="18" t="s">
        <v>233</v>
      </c>
      <c r="C9" s="18" t="s">
        <v>108</v>
      </c>
      <c r="D9" s="47">
        <v>2</v>
      </c>
      <c r="E9" s="48">
        <v>10000000</v>
      </c>
      <c r="F9" s="48">
        <f t="shared" si="0"/>
        <v>20000000</v>
      </c>
    </row>
    <row r="10" spans="1:7" s="28" customFormat="1">
      <c r="A10" s="17"/>
      <c r="B10" s="17" t="s">
        <v>234</v>
      </c>
      <c r="C10" s="17"/>
      <c r="D10" s="16"/>
      <c r="E10" s="49"/>
      <c r="F10" s="49">
        <f>SUM(F4:F9)</f>
        <v>520000000</v>
      </c>
    </row>
    <row r="11" spans="1:7" s="50" customFormat="1">
      <c r="C11" s="51"/>
      <c r="D11" s="52"/>
      <c r="E11" s="52"/>
    </row>
    <row r="12" spans="1:7" ht="33">
      <c r="A12" s="53" t="s">
        <v>0</v>
      </c>
      <c r="B12" s="53" t="s">
        <v>103</v>
      </c>
      <c r="C12" s="53" t="s">
        <v>235</v>
      </c>
      <c r="D12" s="53" t="s">
        <v>1</v>
      </c>
      <c r="E12" s="53" t="s">
        <v>3</v>
      </c>
      <c r="F12" s="54" t="s">
        <v>236</v>
      </c>
    </row>
    <row r="13" spans="1:7">
      <c r="A13" s="5" t="s">
        <v>109</v>
      </c>
      <c r="B13" s="31" t="s">
        <v>237</v>
      </c>
      <c r="C13" s="31"/>
      <c r="D13" s="31"/>
      <c r="E13" s="31"/>
      <c r="F13" s="39">
        <f>SUM(F14:F20)</f>
        <v>508000000</v>
      </c>
    </row>
    <row r="14" spans="1:7">
      <c r="A14" s="4">
        <v>1</v>
      </c>
      <c r="B14" s="18" t="s">
        <v>227</v>
      </c>
      <c r="C14" s="18" t="s">
        <v>228</v>
      </c>
      <c r="D14" s="18">
        <f>D4</f>
        <v>20</v>
      </c>
      <c r="E14" s="36">
        <f>E4</f>
        <v>16000000</v>
      </c>
      <c r="F14" s="48">
        <f>E14*D14</f>
        <v>320000000</v>
      </c>
    </row>
    <row r="15" spans="1:7">
      <c r="A15" s="4">
        <v>2</v>
      </c>
      <c r="B15" s="34" t="s">
        <v>238</v>
      </c>
      <c r="C15" s="34"/>
      <c r="D15" s="34"/>
      <c r="E15" s="34"/>
      <c r="F15" s="48">
        <f>(F10-F4)/C32*12</f>
        <v>40000000</v>
      </c>
    </row>
    <row r="16" spans="1:7">
      <c r="A16" s="4">
        <v>3</v>
      </c>
      <c r="B16" s="34" t="s">
        <v>239</v>
      </c>
      <c r="C16" s="34" t="s">
        <v>10</v>
      </c>
      <c r="D16" s="34">
        <v>4</v>
      </c>
      <c r="E16" s="42">
        <v>15000000</v>
      </c>
      <c r="F16" s="48">
        <f>E16*D16</f>
        <v>60000000</v>
      </c>
    </row>
    <row r="17" spans="1:6">
      <c r="A17" s="4">
        <v>4</v>
      </c>
      <c r="B17" s="34" t="s">
        <v>240</v>
      </c>
      <c r="C17" s="34" t="s">
        <v>10</v>
      </c>
      <c r="D17" s="34">
        <v>4</v>
      </c>
      <c r="E17" s="42">
        <v>4000000</v>
      </c>
      <c r="F17" s="48">
        <f>E17*D17</f>
        <v>16000000</v>
      </c>
    </row>
    <row r="18" spans="1:6">
      <c r="A18" s="4">
        <v>5</v>
      </c>
      <c r="B18" s="34" t="s">
        <v>125</v>
      </c>
      <c r="C18" s="34"/>
      <c r="D18" s="34"/>
      <c r="E18" s="42"/>
      <c r="F18" s="48">
        <f>C31*C33</f>
        <v>20000000</v>
      </c>
    </row>
    <row r="19" spans="1:6">
      <c r="A19" s="4">
        <v>6</v>
      </c>
      <c r="B19" s="34" t="s">
        <v>194</v>
      </c>
      <c r="C19" s="34"/>
      <c r="D19" s="34"/>
      <c r="E19" s="42">
        <v>1000000</v>
      </c>
      <c r="F19" s="48">
        <v>12000000</v>
      </c>
    </row>
    <row r="20" spans="1:6">
      <c r="A20" s="4">
        <v>7</v>
      </c>
      <c r="B20" s="34" t="s">
        <v>241</v>
      </c>
      <c r="C20" s="34"/>
      <c r="D20" s="34"/>
      <c r="E20" s="42"/>
      <c r="F20" s="48">
        <v>40000000</v>
      </c>
    </row>
    <row r="21" spans="1:6">
      <c r="A21" s="5" t="s">
        <v>116</v>
      </c>
      <c r="B21" s="31" t="s">
        <v>242</v>
      </c>
      <c r="C21" s="31"/>
      <c r="D21" s="31"/>
      <c r="E21" s="31"/>
      <c r="F21" s="39">
        <f>SUM(F22:F25)</f>
        <v>603000000</v>
      </c>
    </row>
    <row r="22" spans="1:6">
      <c r="A22" s="4">
        <v>1</v>
      </c>
      <c r="B22" s="34" t="s">
        <v>243</v>
      </c>
      <c r="C22" s="34" t="s">
        <v>244</v>
      </c>
      <c r="D22" s="34">
        <v>14</v>
      </c>
      <c r="E22" s="41">
        <v>12000000</v>
      </c>
      <c r="F22" s="43">
        <f>E22*D22</f>
        <v>168000000</v>
      </c>
    </row>
    <row r="23" spans="1:6">
      <c r="A23" s="4">
        <v>2</v>
      </c>
      <c r="B23" s="34" t="s">
        <v>245</v>
      </c>
      <c r="C23" s="34" t="s">
        <v>244</v>
      </c>
      <c r="D23" s="34">
        <v>15</v>
      </c>
      <c r="E23" s="41">
        <v>11000000</v>
      </c>
      <c r="F23" s="43">
        <f>E23*D23</f>
        <v>165000000</v>
      </c>
    </row>
    <row r="24" spans="1:6">
      <c r="A24" s="4">
        <v>3</v>
      </c>
      <c r="B24" s="34" t="s">
        <v>246</v>
      </c>
      <c r="C24" s="34" t="s">
        <v>244</v>
      </c>
      <c r="D24" s="34">
        <v>15</v>
      </c>
      <c r="E24" s="41">
        <v>6000000</v>
      </c>
      <c r="F24" s="43">
        <f>E24*D24</f>
        <v>90000000</v>
      </c>
    </row>
    <row r="25" spans="1:6">
      <c r="A25" s="4">
        <v>4</v>
      </c>
      <c r="B25" s="34" t="s">
        <v>247</v>
      </c>
      <c r="C25" s="34" t="s">
        <v>248</v>
      </c>
      <c r="D25" s="34">
        <v>4</v>
      </c>
      <c r="E25" s="48">
        <v>45000000</v>
      </c>
      <c r="F25" s="43">
        <f>E25*D25</f>
        <v>180000000</v>
      </c>
    </row>
    <row r="26" spans="1:6" s="28" customFormat="1">
      <c r="A26" s="5" t="s">
        <v>135</v>
      </c>
      <c r="B26" s="31" t="s">
        <v>220</v>
      </c>
      <c r="C26" s="31"/>
      <c r="D26" s="31"/>
      <c r="E26" s="31"/>
      <c r="F26" s="40">
        <f>F21-F13</f>
        <v>95000000</v>
      </c>
    </row>
    <row r="27" spans="1:6" ht="17.25">
      <c r="A27" s="44" t="s">
        <v>221</v>
      </c>
      <c r="B27" s="2579" t="s">
        <v>222</v>
      </c>
      <c r="C27" s="2710"/>
      <c r="D27" s="9"/>
      <c r="E27" s="9"/>
      <c r="F27" s="55">
        <f>F26/F21</f>
        <v>0.15754560530679934</v>
      </c>
    </row>
    <row r="29" spans="1:6">
      <c r="B29" s="6" t="s">
        <v>25</v>
      </c>
      <c r="C29" s="56">
        <f>F10</f>
        <v>520000000</v>
      </c>
    </row>
    <row r="30" spans="1:6">
      <c r="B30" s="6" t="s">
        <v>26</v>
      </c>
      <c r="C30" s="8">
        <f>F10-C31</f>
        <v>320000000</v>
      </c>
      <c r="D30" s="15">
        <f>C30/F10</f>
        <v>0.61538461538461542</v>
      </c>
    </row>
    <row r="31" spans="1:6">
      <c r="B31" s="6" t="s">
        <v>27</v>
      </c>
      <c r="C31" s="57">
        <v>200000000</v>
      </c>
    </row>
    <row r="32" spans="1:6">
      <c r="B32" s="6" t="s">
        <v>6</v>
      </c>
      <c r="C32" s="57">
        <v>60</v>
      </c>
    </row>
    <row r="33" spans="2:3">
      <c r="B33" s="6" t="s">
        <v>13</v>
      </c>
      <c r="C33" s="58">
        <v>0.1</v>
      </c>
    </row>
  </sheetData>
  <mergeCells count="1">
    <mergeCell ref="B27:C27"/>
  </mergeCells>
  <pageMargins left="0.75" right="0.75" top="1" bottom="1" header="0.5" footer="0.5"/>
  <pageSetup paperSize="9" orientation="portrait" verticalDpi="0" r:id="rId1"/>
  <headerFooter alignWithMargins="0"/>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G42"/>
  <sheetViews>
    <sheetView workbookViewId="0">
      <selection activeCell="C2" sqref="C2"/>
    </sheetView>
  </sheetViews>
  <sheetFormatPr defaultRowHeight="16.5"/>
  <cols>
    <col min="1" max="1" width="9.42578125" style="151" customWidth="1"/>
    <col min="2" max="2" width="40.5703125" style="163" customWidth="1"/>
    <col min="3" max="3" width="17.85546875" style="163" bestFit="1" customWidth="1"/>
    <col min="4" max="4" width="17.140625" style="163" bestFit="1" customWidth="1"/>
    <col min="5" max="5" width="14" style="163" customWidth="1"/>
    <col min="6" max="6" width="17.85546875" style="163" bestFit="1" customWidth="1"/>
    <col min="7" max="255" width="9.140625" style="151"/>
    <col min="256" max="256" width="6.7109375" style="151" customWidth="1"/>
    <col min="257" max="257" width="11.140625" style="151" customWidth="1"/>
    <col min="258" max="258" width="17.42578125" style="151" customWidth="1"/>
    <col min="259" max="259" width="16.7109375" style="151" customWidth="1"/>
    <col min="260" max="260" width="16.85546875" style="151" customWidth="1"/>
    <col min="261" max="261" width="14.28515625" style="151" bestFit="1" customWidth="1"/>
    <col min="262" max="262" width="18.140625" style="151" customWidth="1"/>
    <col min="263" max="511" width="9.140625" style="151"/>
    <col min="512" max="512" width="6.7109375" style="151" customWidth="1"/>
    <col min="513" max="513" width="11.140625" style="151" customWidth="1"/>
    <col min="514" max="514" width="17.42578125" style="151" customWidth="1"/>
    <col min="515" max="515" width="16.7109375" style="151" customWidth="1"/>
    <col min="516" max="516" width="16.85546875" style="151" customWidth="1"/>
    <col min="517" max="517" width="14.28515625" style="151" bestFit="1" customWidth="1"/>
    <col min="518" max="518" width="18.140625" style="151" customWidth="1"/>
    <col min="519" max="767" width="9.140625" style="151"/>
    <col min="768" max="768" width="6.7109375" style="151" customWidth="1"/>
    <col min="769" max="769" width="11.140625" style="151" customWidth="1"/>
    <col min="770" max="770" width="17.42578125" style="151" customWidth="1"/>
    <col min="771" max="771" width="16.7109375" style="151" customWidth="1"/>
    <col min="772" max="772" width="16.85546875" style="151" customWidth="1"/>
    <col min="773" max="773" width="14.28515625" style="151" bestFit="1" customWidth="1"/>
    <col min="774" max="774" width="18.140625" style="151" customWidth="1"/>
    <col min="775" max="1023" width="9.140625" style="151"/>
    <col min="1024" max="1024" width="6.7109375" style="151" customWidth="1"/>
    <col min="1025" max="1025" width="11.140625" style="151" customWidth="1"/>
    <col min="1026" max="1026" width="17.42578125" style="151" customWidth="1"/>
    <col min="1027" max="1027" width="16.7109375" style="151" customWidth="1"/>
    <col min="1028" max="1028" width="16.85546875" style="151" customWidth="1"/>
    <col min="1029" max="1029" width="14.28515625" style="151" bestFit="1" customWidth="1"/>
    <col min="1030" max="1030" width="18.140625" style="151" customWidth="1"/>
    <col min="1031" max="1279" width="9.140625" style="151"/>
    <col min="1280" max="1280" width="6.7109375" style="151" customWidth="1"/>
    <col min="1281" max="1281" width="11.140625" style="151" customWidth="1"/>
    <col min="1282" max="1282" width="17.42578125" style="151" customWidth="1"/>
    <col min="1283" max="1283" width="16.7109375" style="151" customWidth="1"/>
    <col min="1284" max="1284" width="16.85546875" style="151" customWidth="1"/>
    <col min="1285" max="1285" width="14.28515625" style="151" bestFit="1" customWidth="1"/>
    <col min="1286" max="1286" width="18.140625" style="151" customWidth="1"/>
    <col min="1287" max="1535" width="9.140625" style="151"/>
    <col min="1536" max="1536" width="6.7109375" style="151" customWidth="1"/>
    <col min="1537" max="1537" width="11.140625" style="151" customWidth="1"/>
    <col min="1538" max="1538" width="17.42578125" style="151" customWidth="1"/>
    <col min="1539" max="1539" width="16.7109375" style="151" customWidth="1"/>
    <col min="1540" max="1540" width="16.85546875" style="151" customWidth="1"/>
    <col min="1541" max="1541" width="14.28515625" style="151" bestFit="1" customWidth="1"/>
    <col min="1542" max="1542" width="18.140625" style="151" customWidth="1"/>
    <col min="1543" max="1791" width="9.140625" style="151"/>
    <col min="1792" max="1792" width="6.7109375" style="151" customWidth="1"/>
    <col min="1793" max="1793" width="11.140625" style="151" customWidth="1"/>
    <col min="1794" max="1794" width="17.42578125" style="151" customWidth="1"/>
    <col min="1795" max="1795" width="16.7109375" style="151" customWidth="1"/>
    <col min="1796" max="1796" width="16.85546875" style="151" customWidth="1"/>
    <col min="1797" max="1797" width="14.28515625" style="151" bestFit="1" customWidth="1"/>
    <col min="1798" max="1798" width="18.140625" style="151" customWidth="1"/>
    <col min="1799" max="2047" width="9.140625" style="151"/>
    <col min="2048" max="2048" width="6.7109375" style="151" customWidth="1"/>
    <col min="2049" max="2049" width="11.140625" style="151" customWidth="1"/>
    <col min="2050" max="2050" width="17.42578125" style="151" customWidth="1"/>
    <col min="2051" max="2051" width="16.7109375" style="151" customWidth="1"/>
    <col min="2052" max="2052" width="16.85546875" style="151" customWidth="1"/>
    <col min="2053" max="2053" width="14.28515625" style="151" bestFit="1" customWidth="1"/>
    <col min="2054" max="2054" width="18.140625" style="151" customWidth="1"/>
    <col min="2055" max="2303" width="9.140625" style="151"/>
    <col min="2304" max="2304" width="6.7109375" style="151" customWidth="1"/>
    <col min="2305" max="2305" width="11.140625" style="151" customWidth="1"/>
    <col min="2306" max="2306" width="17.42578125" style="151" customWidth="1"/>
    <col min="2307" max="2307" width="16.7109375" style="151" customWidth="1"/>
    <col min="2308" max="2308" width="16.85546875" style="151" customWidth="1"/>
    <col min="2309" max="2309" width="14.28515625" style="151" bestFit="1" customWidth="1"/>
    <col min="2310" max="2310" width="18.140625" style="151" customWidth="1"/>
    <col min="2311" max="2559" width="9.140625" style="151"/>
    <col min="2560" max="2560" width="6.7109375" style="151" customWidth="1"/>
    <col min="2561" max="2561" width="11.140625" style="151" customWidth="1"/>
    <col min="2562" max="2562" width="17.42578125" style="151" customWidth="1"/>
    <col min="2563" max="2563" width="16.7109375" style="151" customWidth="1"/>
    <col min="2564" max="2564" width="16.85546875" style="151" customWidth="1"/>
    <col min="2565" max="2565" width="14.28515625" style="151" bestFit="1" customWidth="1"/>
    <col min="2566" max="2566" width="18.140625" style="151" customWidth="1"/>
    <col min="2567" max="2815" width="9.140625" style="151"/>
    <col min="2816" max="2816" width="6.7109375" style="151" customWidth="1"/>
    <col min="2817" max="2817" width="11.140625" style="151" customWidth="1"/>
    <col min="2818" max="2818" width="17.42578125" style="151" customWidth="1"/>
    <col min="2819" max="2819" width="16.7109375" style="151" customWidth="1"/>
    <col min="2820" max="2820" width="16.85546875" style="151" customWidth="1"/>
    <col min="2821" max="2821" width="14.28515625" style="151" bestFit="1" customWidth="1"/>
    <col min="2822" max="2822" width="18.140625" style="151" customWidth="1"/>
    <col min="2823" max="3071" width="9.140625" style="151"/>
    <col min="3072" max="3072" width="6.7109375" style="151" customWidth="1"/>
    <col min="3073" max="3073" width="11.140625" style="151" customWidth="1"/>
    <col min="3074" max="3074" width="17.42578125" style="151" customWidth="1"/>
    <col min="3075" max="3075" width="16.7109375" style="151" customWidth="1"/>
    <col min="3076" max="3076" width="16.85546875" style="151" customWidth="1"/>
    <col min="3077" max="3077" width="14.28515625" style="151" bestFit="1" customWidth="1"/>
    <col min="3078" max="3078" width="18.140625" style="151" customWidth="1"/>
    <col min="3079" max="3327" width="9.140625" style="151"/>
    <col min="3328" max="3328" width="6.7109375" style="151" customWidth="1"/>
    <col min="3329" max="3329" width="11.140625" style="151" customWidth="1"/>
    <col min="3330" max="3330" width="17.42578125" style="151" customWidth="1"/>
    <col min="3331" max="3331" width="16.7109375" style="151" customWidth="1"/>
    <col min="3332" max="3332" width="16.85546875" style="151" customWidth="1"/>
    <col min="3333" max="3333" width="14.28515625" style="151" bestFit="1" customWidth="1"/>
    <col min="3334" max="3334" width="18.140625" style="151" customWidth="1"/>
    <col min="3335" max="3583" width="9.140625" style="151"/>
    <col min="3584" max="3584" width="6.7109375" style="151" customWidth="1"/>
    <col min="3585" max="3585" width="11.140625" style="151" customWidth="1"/>
    <col min="3586" max="3586" width="17.42578125" style="151" customWidth="1"/>
    <col min="3587" max="3587" width="16.7109375" style="151" customWidth="1"/>
    <col min="3588" max="3588" width="16.85546875" style="151" customWidth="1"/>
    <col min="3589" max="3589" width="14.28515625" style="151" bestFit="1" customWidth="1"/>
    <col min="3590" max="3590" width="18.140625" style="151" customWidth="1"/>
    <col min="3591" max="3839" width="9.140625" style="151"/>
    <col min="3840" max="3840" width="6.7109375" style="151" customWidth="1"/>
    <col min="3841" max="3841" width="11.140625" style="151" customWidth="1"/>
    <col min="3842" max="3842" width="17.42578125" style="151" customWidth="1"/>
    <col min="3843" max="3843" width="16.7109375" style="151" customWidth="1"/>
    <col min="3844" max="3844" width="16.85546875" style="151" customWidth="1"/>
    <col min="3845" max="3845" width="14.28515625" style="151" bestFit="1" customWidth="1"/>
    <col min="3846" max="3846" width="18.140625" style="151" customWidth="1"/>
    <col min="3847" max="4095" width="9.140625" style="151"/>
    <col min="4096" max="4096" width="6.7109375" style="151" customWidth="1"/>
    <col min="4097" max="4097" width="11.140625" style="151" customWidth="1"/>
    <col min="4098" max="4098" width="17.42578125" style="151" customWidth="1"/>
    <col min="4099" max="4099" width="16.7109375" style="151" customWidth="1"/>
    <col min="4100" max="4100" width="16.85546875" style="151" customWidth="1"/>
    <col min="4101" max="4101" width="14.28515625" style="151" bestFit="1" customWidth="1"/>
    <col min="4102" max="4102" width="18.140625" style="151" customWidth="1"/>
    <col min="4103" max="4351" width="9.140625" style="151"/>
    <col min="4352" max="4352" width="6.7109375" style="151" customWidth="1"/>
    <col min="4353" max="4353" width="11.140625" style="151" customWidth="1"/>
    <col min="4354" max="4354" width="17.42578125" style="151" customWidth="1"/>
    <col min="4355" max="4355" width="16.7109375" style="151" customWidth="1"/>
    <col min="4356" max="4356" width="16.85546875" style="151" customWidth="1"/>
    <col min="4357" max="4357" width="14.28515625" style="151" bestFit="1" customWidth="1"/>
    <col min="4358" max="4358" width="18.140625" style="151" customWidth="1"/>
    <col min="4359" max="4607" width="9.140625" style="151"/>
    <col min="4608" max="4608" width="6.7109375" style="151" customWidth="1"/>
    <col min="4609" max="4609" width="11.140625" style="151" customWidth="1"/>
    <col min="4610" max="4610" width="17.42578125" style="151" customWidth="1"/>
    <col min="4611" max="4611" width="16.7109375" style="151" customWidth="1"/>
    <col min="4612" max="4612" width="16.85546875" style="151" customWidth="1"/>
    <col min="4613" max="4613" width="14.28515625" style="151" bestFit="1" customWidth="1"/>
    <col min="4614" max="4614" width="18.140625" style="151" customWidth="1"/>
    <col min="4615" max="4863" width="9.140625" style="151"/>
    <col min="4864" max="4864" width="6.7109375" style="151" customWidth="1"/>
    <col min="4865" max="4865" width="11.140625" style="151" customWidth="1"/>
    <col min="4866" max="4866" width="17.42578125" style="151" customWidth="1"/>
    <col min="4867" max="4867" width="16.7109375" style="151" customWidth="1"/>
    <col min="4868" max="4868" width="16.85546875" style="151" customWidth="1"/>
    <col min="4869" max="4869" width="14.28515625" style="151" bestFit="1" customWidth="1"/>
    <col min="4870" max="4870" width="18.140625" style="151" customWidth="1"/>
    <col min="4871" max="5119" width="9.140625" style="151"/>
    <col min="5120" max="5120" width="6.7109375" style="151" customWidth="1"/>
    <col min="5121" max="5121" width="11.140625" style="151" customWidth="1"/>
    <col min="5122" max="5122" width="17.42578125" style="151" customWidth="1"/>
    <col min="5123" max="5123" width="16.7109375" style="151" customWidth="1"/>
    <col min="5124" max="5124" width="16.85546875" style="151" customWidth="1"/>
    <col min="5125" max="5125" width="14.28515625" style="151" bestFit="1" customWidth="1"/>
    <col min="5126" max="5126" width="18.140625" style="151" customWidth="1"/>
    <col min="5127" max="5375" width="9.140625" style="151"/>
    <col min="5376" max="5376" width="6.7109375" style="151" customWidth="1"/>
    <col min="5377" max="5377" width="11.140625" style="151" customWidth="1"/>
    <col min="5378" max="5378" width="17.42578125" style="151" customWidth="1"/>
    <col min="5379" max="5379" width="16.7109375" style="151" customWidth="1"/>
    <col min="5380" max="5380" width="16.85546875" style="151" customWidth="1"/>
    <col min="5381" max="5381" width="14.28515625" style="151" bestFit="1" customWidth="1"/>
    <col min="5382" max="5382" width="18.140625" style="151" customWidth="1"/>
    <col min="5383" max="5631" width="9.140625" style="151"/>
    <col min="5632" max="5632" width="6.7109375" style="151" customWidth="1"/>
    <col min="5633" max="5633" width="11.140625" style="151" customWidth="1"/>
    <col min="5634" max="5634" width="17.42578125" style="151" customWidth="1"/>
    <col min="5635" max="5635" width="16.7109375" style="151" customWidth="1"/>
    <col min="5636" max="5636" width="16.85546875" style="151" customWidth="1"/>
    <col min="5637" max="5637" width="14.28515625" style="151" bestFit="1" customWidth="1"/>
    <col min="5638" max="5638" width="18.140625" style="151" customWidth="1"/>
    <col min="5639" max="5887" width="9.140625" style="151"/>
    <col min="5888" max="5888" width="6.7109375" style="151" customWidth="1"/>
    <col min="5889" max="5889" width="11.140625" style="151" customWidth="1"/>
    <col min="5890" max="5890" width="17.42578125" style="151" customWidth="1"/>
    <col min="5891" max="5891" width="16.7109375" style="151" customWidth="1"/>
    <col min="5892" max="5892" width="16.85546875" style="151" customWidth="1"/>
    <col min="5893" max="5893" width="14.28515625" style="151" bestFit="1" customWidth="1"/>
    <col min="5894" max="5894" width="18.140625" style="151" customWidth="1"/>
    <col min="5895" max="6143" width="9.140625" style="151"/>
    <col min="6144" max="6144" width="6.7109375" style="151" customWidth="1"/>
    <col min="6145" max="6145" width="11.140625" style="151" customWidth="1"/>
    <col min="6146" max="6146" width="17.42578125" style="151" customWidth="1"/>
    <col min="6147" max="6147" width="16.7109375" style="151" customWidth="1"/>
    <col min="6148" max="6148" width="16.85546875" style="151" customWidth="1"/>
    <col min="6149" max="6149" width="14.28515625" style="151" bestFit="1" customWidth="1"/>
    <col min="6150" max="6150" width="18.140625" style="151" customWidth="1"/>
    <col min="6151" max="6399" width="9.140625" style="151"/>
    <col min="6400" max="6400" width="6.7109375" style="151" customWidth="1"/>
    <col min="6401" max="6401" width="11.140625" style="151" customWidth="1"/>
    <col min="6402" max="6402" width="17.42578125" style="151" customWidth="1"/>
    <col min="6403" max="6403" width="16.7109375" style="151" customWidth="1"/>
    <col min="6404" max="6404" width="16.85546875" style="151" customWidth="1"/>
    <col min="6405" max="6405" width="14.28515625" style="151" bestFit="1" customWidth="1"/>
    <col min="6406" max="6406" width="18.140625" style="151" customWidth="1"/>
    <col min="6407" max="6655" width="9.140625" style="151"/>
    <col min="6656" max="6656" width="6.7109375" style="151" customWidth="1"/>
    <col min="6657" max="6657" width="11.140625" style="151" customWidth="1"/>
    <col min="6658" max="6658" width="17.42578125" style="151" customWidth="1"/>
    <col min="6659" max="6659" width="16.7109375" style="151" customWidth="1"/>
    <col min="6660" max="6660" width="16.85546875" style="151" customWidth="1"/>
    <col min="6661" max="6661" width="14.28515625" style="151" bestFit="1" customWidth="1"/>
    <col min="6662" max="6662" width="18.140625" style="151" customWidth="1"/>
    <col min="6663" max="6911" width="9.140625" style="151"/>
    <col min="6912" max="6912" width="6.7109375" style="151" customWidth="1"/>
    <col min="6913" max="6913" width="11.140625" style="151" customWidth="1"/>
    <col min="6914" max="6914" width="17.42578125" style="151" customWidth="1"/>
    <col min="6915" max="6915" width="16.7109375" style="151" customWidth="1"/>
    <col min="6916" max="6916" width="16.85546875" style="151" customWidth="1"/>
    <col min="6917" max="6917" width="14.28515625" style="151" bestFit="1" customWidth="1"/>
    <col min="6918" max="6918" width="18.140625" style="151" customWidth="1"/>
    <col min="6919" max="7167" width="9.140625" style="151"/>
    <col min="7168" max="7168" width="6.7109375" style="151" customWidth="1"/>
    <col min="7169" max="7169" width="11.140625" style="151" customWidth="1"/>
    <col min="7170" max="7170" width="17.42578125" style="151" customWidth="1"/>
    <col min="7171" max="7171" width="16.7109375" style="151" customWidth="1"/>
    <col min="7172" max="7172" width="16.85546875" style="151" customWidth="1"/>
    <col min="7173" max="7173" width="14.28515625" style="151" bestFit="1" customWidth="1"/>
    <col min="7174" max="7174" width="18.140625" style="151" customWidth="1"/>
    <col min="7175" max="7423" width="9.140625" style="151"/>
    <col min="7424" max="7424" width="6.7109375" style="151" customWidth="1"/>
    <col min="7425" max="7425" width="11.140625" style="151" customWidth="1"/>
    <col min="7426" max="7426" width="17.42578125" style="151" customWidth="1"/>
    <col min="7427" max="7427" width="16.7109375" style="151" customWidth="1"/>
    <col min="7428" max="7428" width="16.85546875" style="151" customWidth="1"/>
    <col min="7429" max="7429" width="14.28515625" style="151" bestFit="1" customWidth="1"/>
    <col min="7430" max="7430" width="18.140625" style="151" customWidth="1"/>
    <col min="7431" max="7679" width="9.140625" style="151"/>
    <col min="7680" max="7680" width="6.7109375" style="151" customWidth="1"/>
    <col min="7681" max="7681" width="11.140625" style="151" customWidth="1"/>
    <col min="7682" max="7682" width="17.42578125" style="151" customWidth="1"/>
    <col min="7683" max="7683" width="16.7109375" style="151" customWidth="1"/>
    <col min="7684" max="7684" width="16.85546875" style="151" customWidth="1"/>
    <col min="7685" max="7685" width="14.28515625" style="151" bestFit="1" customWidth="1"/>
    <col min="7686" max="7686" width="18.140625" style="151" customWidth="1"/>
    <col min="7687" max="7935" width="9.140625" style="151"/>
    <col min="7936" max="7936" width="6.7109375" style="151" customWidth="1"/>
    <col min="7937" max="7937" width="11.140625" style="151" customWidth="1"/>
    <col min="7938" max="7938" width="17.42578125" style="151" customWidth="1"/>
    <col min="7939" max="7939" width="16.7109375" style="151" customWidth="1"/>
    <col min="7940" max="7940" width="16.85546875" style="151" customWidth="1"/>
    <col min="7941" max="7941" width="14.28515625" style="151" bestFit="1" customWidth="1"/>
    <col min="7942" max="7942" width="18.140625" style="151" customWidth="1"/>
    <col min="7943" max="8191" width="9.140625" style="151"/>
    <col min="8192" max="8192" width="6.7109375" style="151" customWidth="1"/>
    <col min="8193" max="8193" width="11.140625" style="151" customWidth="1"/>
    <col min="8194" max="8194" width="17.42578125" style="151" customWidth="1"/>
    <col min="8195" max="8195" width="16.7109375" style="151" customWidth="1"/>
    <col min="8196" max="8196" width="16.85546875" style="151" customWidth="1"/>
    <col min="8197" max="8197" width="14.28515625" style="151" bestFit="1" customWidth="1"/>
    <col min="8198" max="8198" width="18.140625" style="151" customWidth="1"/>
    <col min="8199" max="8447" width="9.140625" style="151"/>
    <col min="8448" max="8448" width="6.7109375" style="151" customWidth="1"/>
    <col min="8449" max="8449" width="11.140625" style="151" customWidth="1"/>
    <col min="8450" max="8450" width="17.42578125" style="151" customWidth="1"/>
    <col min="8451" max="8451" width="16.7109375" style="151" customWidth="1"/>
    <col min="8452" max="8452" width="16.85546875" style="151" customWidth="1"/>
    <col min="8453" max="8453" width="14.28515625" style="151" bestFit="1" customWidth="1"/>
    <col min="8454" max="8454" width="18.140625" style="151" customWidth="1"/>
    <col min="8455" max="8703" width="9.140625" style="151"/>
    <col min="8704" max="8704" width="6.7109375" style="151" customWidth="1"/>
    <col min="8705" max="8705" width="11.140625" style="151" customWidth="1"/>
    <col min="8706" max="8706" width="17.42578125" style="151" customWidth="1"/>
    <col min="8707" max="8707" width="16.7109375" style="151" customWidth="1"/>
    <col min="8708" max="8708" width="16.85546875" style="151" customWidth="1"/>
    <col min="8709" max="8709" width="14.28515625" style="151" bestFit="1" customWidth="1"/>
    <col min="8710" max="8710" width="18.140625" style="151" customWidth="1"/>
    <col min="8711" max="8959" width="9.140625" style="151"/>
    <col min="8960" max="8960" width="6.7109375" style="151" customWidth="1"/>
    <col min="8961" max="8961" width="11.140625" style="151" customWidth="1"/>
    <col min="8962" max="8962" width="17.42578125" style="151" customWidth="1"/>
    <col min="8963" max="8963" width="16.7109375" style="151" customWidth="1"/>
    <col min="8964" max="8964" width="16.85546875" style="151" customWidth="1"/>
    <col min="8965" max="8965" width="14.28515625" style="151" bestFit="1" customWidth="1"/>
    <col min="8966" max="8966" width="18.140625" style="151" customWidth="1"/>
    <col min="8967" max="9215" width="9.140625" style="151"/>
    <col min="9216" max="9216" width="6.7109375" style="151" customWidth="1"/>
    <col min="9217" max="9217" width="11.140625" style="151" customWidth="1"/>
    <col min="9218" max="9218" width="17.42578125" style="151" customWidth="1"/>
    <col min="9219" max="9219" width="16.7109375" style="151" customWidth="1"/>
    <col min="9220" max="9220" width="16.85546875" style="151" customWidth="1"/>
    <col min="9221" max="9221" width="14.28515625" style="151" bestFit="1" customWidth="1"/>
    <col min="9222" max="9222" width="18.140625" style="151" customWidth="1"/>
    <col min="9223" max="9471" width="9.140625" style="151"/>
    <col min="9472" max="9472" width="6.7109375" style="151" customWidth="1"/>
    <col min="9473" max="9473" width="11.140625" style="151" customWidth="1"/>
    <col min="9474" max="9474" width="17.42578125" style="151" customWidth="1"/>
    <col min="9475" max="9475" width="16.7109375" style="151" customWidth="1"/>
    <col min="9476" max="9476" width="16.85546875" style="151" customWidth="1"/>
    <col min="9477" max="9477" width="14.28515625" style="151" bestFit="1" customWidth="1"/>
    <col min="9478" max="9478" width="18.140625" style="151" customWidth="1"/>
    <col min="9479" max="9727" width="9.140625" style="151"/>
    <col min="9728" max="9728" width="6.7109375" style="151" customWidth="1"/>
    <col min="9729" max="9729" width="11.140625" style="151" customWidth="1"/>
    <col min="9730" max="9730" width="17.42578125" style="151" customWidth="1"/>
    <col min="9731" max="9731" width="16.7109375" style="151" customWidth="1"/>
    <col min="9732" max="9732" width="16.85546875" style="151" customWidth="1"/>
    <col min="9733" max="9733" width="14.28515625" style="151" bestFit="1" customWidth="1"/>
    <col min="9734" max="9734" width="18.140625" style="151" customWidth="1"/>
    <col min="9735" max="9983" width="9.140625" style="151"/>
    <col min="9984" max="9984" width="6.7109375" style="151" customWidth="1"/>
    <col min="9985" max="9985" width="11.140625" style="151" customWidth="1"/>
    <col min="9986" max="9986" width="17.42578125" style="151" customWidth="1"/>
    <col min="9987" max="9987" width="16.7109375" style="151" customWidth="1"/>
    <col min="9988" max="9988" width="16.85546875" style="151" customWidth="1"/>
    <col min="9989" max="9989" width="14.28515625" style="151" bestFit="1" customWidth="1"/>
    <col min="9990" max="9990" width="18.140625" style="151" customWidth="1"/>
    <col min="9991" max="10239" width="9.140625" style="151"/>
    <col min="10240" max="10240" width="6.7109375" style="151" customWidth="1"/>
    <col min="10241" max="10241" width="11.140625" style="151" customWidth="1"/>
    <col min="10242" max="10242" width="17.42578125" style="151" customWidth="1"/>
    <col min="10243" max="10243" width="16.7109375" style="151" customWidth="1"/>
    <col min="10244" max="10244" width="16.85546875" style="151" customWidth="1"/>
    <col min="10245" max="10245" width="14.28515625" style="151" bestFit="1" customWidth="1"/>
    <col min="10246" max="10246" width="18.140625" style="151" customWidth="1"/>
    <col min="10247" max="10495" width="9.140625" style="151"/>
    <col min="10496" max="10496" width="6.7109375" style="151" customWidth="1"/>
    <col min="10497" max="10497" width="11.140625" style="151" customWidth="1"/>
    <col min="10498" max="10498" width="17.42578125" style="151" customWidth="1"/>
    <col min="10499" max="10499" width="16.7109375" style="151" customWidth="1"/>
    <col min="10500" max="10500" width="16.85546875" style="151" customWidth="1"/>
    <col min="10501" max="10501" width="14.28515625" style="151" bestFit="1" customWidth="1"/>
    <col min="10502" max="10502" width="18.140625" style="151" customWidth="1"/>
    <col min="10503" max="10751" width="9.140625" style="151"/>
    <col min="10752" max="10752" width="6.7109375" style="151" customWidth="1"/>
    <col min="10753" max="10753" width="11.140625" style="151" customWidth="1"/>
    <col min="10754" max="10754" width="17.42578125" style="151" customWidth="1"/>
    <col min="10755" max="10755" width="16.7109375" style="151" customWidth="1"/>
    <col min="10756" max="10756" width="16.85546875" style="151" customWidth="1"/>
    <col min="10757" max="10757" width="14.28515625" style="151" bestFit="1" customWidth="1"/>
    <col min="10758" max="10758" width="18.140625" style="151" customWidth="1"/>
    <col min="10759" max="11007" width="9.140625" style="151"/>
    <col min="11008" max="11008" width="6.7109375" style="151" customWidth="1"/>
    <col min="11009" max="11009" width="11.140625" style="151" customWidth="1"/>
    <col min="11010" max="11010" width="17.42578125" style="151" customWidth="1"/>
    <col min="11011" max="11011" width="16.7109375" style="151" customWidth="1"/>
    <col min="11012" max="11012" width="16.85546875" style="151" customWidth="1"/>
    <col min="11013" max="11013" width="14.28515625" style="151" bestFit="1" customWidth="1"/>
    <col min="11014" max="11014" width="18.140625" style="151" customWidth="1"/>
    <col min="11015" max="11263" width="9.140625" style="151"/>
    <col min="11264" max="11264" width="6.7109375" style="151" customWidth="1"/>
    <col min="11265" max="11265" width="11.140625" style="151" customWidth="1"/>
    <col min="11266" max="11266" width="17.42578125" style="151" customWidth="1"/>
    <col min="11267" max="11267" width="16.7109375" style="151" customWidth="1"/>
    <col min="11268" max="11268" width="16.85546875" style="151" customWidth="1"/>
    <col min="11269" max="11269" width="14.28515625" style="151" bestFit="1" customWidth="1"/>
    <col min="11270" max="11270" width="18.140625" style="151" customWidth="1"/>
    <col min="11271" max="11519" width="9.140625" style="151"/>
    <col min="11520" max="11520" width="6.7109375" style="151" customWidth="1"/>
    <col min="11521" max="11521" width="11.140625" style="151" customWidth="1"/>
    <col min="11522" max="11522" width="17.42578125" style="151" customWidth="1"/>
    <col min="11523" max="11523" width="16.7109375" style="151" customWidth="1"/>
    <col min="11524" max="11524" width="16.85546875" style="151" customWidth="1"/>
    <col min="11525" max="11525" width="14.28515625" style="151" bestFit="1" customWidth="1"/>
    <col min="11526" max="11526" width="18.140625" style="151" customWidth="1"/>
    <col min="11527" max="11775" width="9.140625" style="151"/>
    <col min="11776" max="11776" width="6.7109375" style="151" customWidth="1"/>
    <col min="11777" max="11777" width="11.140625" style="151" customWidth="1"/>
    <col min="11778" max="11778" width="17.42578125" style="151" customWidth="1"/>
    <col min="11779" max="11779" width="16.7109375" style="151" customWidth="1"/>
    <col min="11780" max="11780" width="16.85546875" style="151" customWidth="1"/>
    <col min="11781" max="11781" width="14.28515625" style="151" bestFit="1" customWidth="1"/>
    <col min="11782" max="11782" width="18.140625" style="151" customWidth="1"/>
    <col min="11783" max="12031" width="9.140625" style="151"/>
    <col min="12032" max="12032" width="6.7109375" style="151" customWidth="1"/>
    <col min="12033" max="12033" width="11.140625" style="151" customWidth="1"/>
    <col min="12034" max="12034" width="17.42578125" style="151" customWidth="1"/>
    <col min="12035" max="12035" width="16.7109375" style="151" customWidth="1"/>
    <col min="12036" max="12036" width="16.85546875" style="151" customWidth="1"/>
    <col min="12037" max="12037" width="14.28515625" style="151" bestFit="1" customWidth="1"/>
    <col min="12038" max="12038" width="18.140625" style="151" customWidth="1"/>
    <col min="12039" max="12287" width="9.140625" style="151"/>
    <col min="12288" max="12288" width="6.7109375" style="151" customWidth="1"/>
    <col min="12289" max="12289" width="11.140625" style="151" customWidth="1"/>
    <col min="12290" max="12290" width="17.42578125" style="151" customWidth="1"/>
    <col min="12291" max="12291" width="16.7109375" style="151" customWidth="1"/>
    <col min="12292" max="12292" width="16.85546875" style="151" customWidth="1"/>
    <col min="12293" max="12293" width="14.28515625" style="151" bestFit="1" customWidth="1"/>
    <col min="12294" max="12294" width="18.140625" style="151" customWidth="1"/>
    <col min="12295" max="12543" width="9.140625" style="151"/>
    <col min="12544" max="12544" width="6.7109375" style="151" customWidth="1"/>
    <col min="12545" max="12545" width="11.140625" style="151" customWidth="1"/>
    <col min="12546" max="12546" width="17.42578125" style="151" customWidth="1"/>
    <col min="12547" max="12547" width="16.7109375" style="151" customWidth="1"/>
    <col min="12548" max="12548" width="16.85546875" style="151" customWidth="1"/>
    <col min="12549" max="12549" width="14.28515625" style="151" bestFit="1" customWidth="1"/>
    <col min="12550" max="12550" width="18.140625" style="151" customWidth="1"/>
    <col min="12551" max="12799" width="9.140625" style="151"/>
    <col min="12800" max="12800" width="6.7109375" style="151" customWidth="1"/>
    <col min="12801" max="12801" width="11.140625" style="151" customWidth="1"/>
    <col min="12802" max="12802" width="17.42578125" style="151" customWidth="1"/>
    <col min="12803" max="12803" width="16.7109375" style="151" customWidth="1"/>
    <col min="12804" max="12804" width="16.85546875" style="151" customWidth="1"/>
    <col min="12805" max="12805" width="14.28515625" style="151" bestFit="1" customWidth="1"/>
    <col min="12806" max="12806" width="18.140625" style="151" customWidth="1"/>
    <col min="12807" max="13055" width="9.140625" style="151"/>
    <col min="13056" max="13056" width="6.7109375" style="151" customWidth="1"/>
    <col min="13057" max="13057" width="11.140625" style="151" customWidth="1"/>
    <col min="13058" max="13058" width="17.42578125" style="151" customWidth="1"/>
    <col min="13059" max="13059" width="16.7109375" style="151" customWidth="1"/>
    <col min="13060" max="13060" width="16.85546875" style="151" customWidth="1"/>
    <col min="13061" max="13061" width="14.28515625" style="151" bestFit="1" customWidth="1"/>
    <col min="13062" max="13062" width="18.140625" style="151" customWidth="1"/>
    <col min="13063" max="13311" width="9.140625" style="151"/>
    <col min="13312" max="13312" width="6.7109375" style="151" customWidth="1"/>
    <col min="13313" max="13313" width="11.140625" style="151" customWidth="1"/>
    <col min="13314" max="13314" width="17.42578125" style="151" customWidth="1"/>
    <col min="13315" max="13315" width="16.7109375" style="151" customWidth="1"/>
    <col min="13316" max="13316" width="16.85546875" style="151" customWidth="1"/>
    <col min="13317" max="13317" width="14.28515625" style="151" bestFit="1" customWidth="1"/>
    <col min="13318" max="13318" width="18.140625" style="151" customWidth="1"/>
    <col min="13319" max="13567" width="9.140625" style="151"/>
    <col min="13568" max="13568" width="6.7109375" style="151" customWidth="1"/>
    <col min="13569" max="13569" width="11.140625" style="151" customWidth="1"/>
    <col min="13570" max="13570" width="17.42578125" style="151" customWidth="1"/>
    <col min="13571" max="13571" width="16.7109375" style="151" customWidth="1"/>
    <col min="13572" max="13572" width="16.85546875" style="151" customWidth="1"/>
    <col min="13573" max="13573" width="14.28515625" style="151" bestFit="1" customWidth="1"/>
    <col min="13574" max="13574" width="18.140625" style="151" customWidth="1"/>
    <col min="13575" max="13823" width="9.140625" style="151"/>
    <col min="13824" max="13824" width="6.7109375" style="151" customWidth="1"/>
    <col min="13825" max="13825" width="11.140625" style="151" customWidth="1"/>
    <col min="13826" max="13826" width="17.42578125" style="151" customWidth="1"/>
    <col min="13827" max="13827" width="16.7109375" style="151" customWidth="1"/>
    <col min="13828" max="13828" width="16.85546875" style="151" customWidth="1"/>
    <col min="13829" max="13829" width="14.28515625" style="151" bestFit="1" customWidth="1"/>
    <col min="13830" max="13830" width="18.140625" style="151" customWidth="1"/>
    <col min="13831" max="14079" width="9.140625" style="151"/>
    <col min="14080" max="14080" width="6.7109375" style="151" customWidth="1"/>
    <col min="14081" max="14081" width="11.140625" style="151" customWidth="1"/>
    <col min="14082" max="14082" width="17.42578125" style="151" customWidth="1"/>
    <col min="14083" max="14083" width="16.7109375" style="151" customWidth="1"/>
    <col min="14084" max="14084" width="16.85546875" style="151" customWidth="1"/>
    <col min="14085" max="14085" width="14.28515625" style="151" bestFit="1" customWidth="1"/>
    <col min="14086" max="14086" width="18.140625" style="151" customWidth="1"/>
    <col min="14087" max="14335" width="9.140625" style="151"/>
    <col min="14336" max="14336" width="6.7109375" style="151" customWidth="1"/>
    <col min="14337" max="14337" width="11.140625" style="151" customWidth="1"/>
    <col min="14338" max="14338" width="17.42578125" style="151" customWidth="1"/>
    <col min="14339" max="14339" width="16.7109375" style="151" customWidth="1"/>
    <col min="14340" max="14340" width="16.85546875" style="151" customWidth="1"/>
    <col min="14341" max="14341" width="14.28515625" style="151" bestFit="1" customWidth="1"/>
    <col min="14342" max="14342" width="18.140625" style="151" customWidth="1"/>
    <col min="14343" max="14591" width="9.140625" style="151"/>
    <col min="14592" max="14592" width="6.7109375" style="151" customWidth="1"/>
    <col min="14593" max="14593" width="11.140625" style="151" customWidth="1"/>
    <col min="14594" max="14594" width="17.42578125" style="151" customWidth="1"/>
    <col min="14595" max="14595" width="16.7109375" style="151" customWidth="1"/>
    <col min="14596" max="14596" width="16.85546875" style="151" customWidth="1"/>
    <col min="14597" max="14597" width="14.28515625" style="151" bestFit="1" customWidth="1"/>
    <col min="14598" max="14598" width="18.140625" style="151" customWidth="1"/>
    <col min="14599" max="14847" width="9.140625" style="151"/>
    <col min="14848" max="14848" width="6.7109375" style="151" customWidth="1"/>
    <col min="14849" max="14849" width="11.140625" style="151" customWidth="1"/>
    <col min="14850" max="14850" width="17.42578125" style="151" customWidth="1"/>
    <col min="14851" max="14851" width="16.7109375" style="151" customWidth="1"/>
    <col min="14852" max="14852" width="16.85546875" style="151" customWidth="1"/>
    <col min="14853" max="14853" width="14.28515625" style="151" bestFit="1" customWidth="1"/>
    <col min="14854" max="14854" width="18.140625" style="151" customWidth="1"/>
    <col min="14855" max="15103" width="9.140625" style="151"/>
    <col min="15104" max="15104" width="6.7109375" style="151" customWidth="1"/>
    <col min="15105" max="15105" width="11.140625" style="151" customWidth="1"/>
    <col min="15106" max="15106" width="17.42578125" style="151" customWidth="1"/>
    <col min="15107" max="15107" width="16.7109375" style="151" customWidth="1"/>
    <col min="15108" max="15108" width="16.85546875" style="151" customWidth="1"/>
    <col min="15109" max="15109" width="14.28515625" style="151" bestFit="1" customWidth="1"/>
    <col min="15110" max="15110" width="18.140625" style="151" customWidth="1"/>
    <col min="15111" max="15359" width="9.140625" style="151"/>
    <col min="15360" max="15360" width="6.7109375" style="151" customWidth="1"/>
    <col min="15361" max="15361" width="11.140625" style="151" customWidth="1"/>
    <col min="15362" max="15362" width="17.42578125" style="151" customWidth="1"/>
    <col min="15363" max="15363" width="16.7109375" style="151" customWidth="1"/>
    <col min="15364" max="15364" width="16.85546875" style="151" customWidth="1"/>
    <col min="15365" max="15365" width="14.28515625" style="151" bestFit="1" customWidth="1"/>
    <col min="15366" max="15366" width="18.140625" style="151" customWidth="1"/>
    <col min="15367" max="15615" width="9.140625" style="151"/>
    <col min="15616" max="15616" width="6.7109375" style="151" customWidth="1"/>
    <col min="15617" max="15617" width="11.140625" style="151" customWidth="1"/>
    <col min="15618" max="15618" width="17.42578125" style="151" customWidth="1"/>
    <col min="15619" max="15619" width="16.7109375" style="151" customWidth="1"/>
    <col min="15620" max="15620" width="16.85546875" style="151" customWidth="1"/>
    <col min="15621" max="15621" width="14.28515625" style="151" bestFit="1" customWidth="1"/>
    <col min="15622" max="15622" width="18.140625" style="151" customWidth="1"/>
    <col min="15623" max="15871" width="9.140625" style="151"/>
    <col min="15872" max="15872" width="6.7109375" style="151" customWidth="1"/>
    <col min="15873" max="15873" width="11.140625" style="151" customWidth="1"/>
    <col min="15874" max="15874" width="17.42578125" style="151" customWidth="1"/>
    <col min="15875" max="15875" width="16.7109375" style="151" customWidth="1"/>
    <col min="15876" max="15876" width="16.85546875" style="151" customWidth="1"/>
    <col min="15877" max="15877" width="14.28515625" style="151" bestFit="1" customWidth="1"/>
    <col min="15878" max="15878" width="18.140625" style="151" customWidth="1"/>
    <col min="15879" max="16127" width="9.140625" style="151"/>
    <col min="16128" max="16128" width="6.7109375" style="151" customWidth="1"/>
    <col min="16129" max="16129" width="11.140625" style="151" customWidth="1"/>
    <col min="16130" max="16130" width="17.42578125" style="151" customWidth="1"/>
    <col min="16131" max="16131" width="16.7109375" style="151" customWidth="1"/>
    <col min="16132" max="16132" width="16.85546875" style="151" customWidth="1"/>
    <col min="16133" max="16133" width="14.28515625" style="151" bestFit="1" customWidth="1"/>
    <col min="16134" max="16134" width="18.140625" style="151" customWidth="1"/>
    <col min="16135" max="16384" width="9.140625" style="151"/>
  </cols>
  <sheetData>
    <row r="1" spans="1:7">
      <c r="C1" s="163" t="s">
        <v>2798</v>
      </c>
      <c r="G1" s="309" t="s">
        <v>1020</v>
      </c>
    </row>
    <row r="6" spans="1:7">
      <c r="A6" s="2712" t="s">
        <v>2671</v>
      </c>
      <c r="B6" s="2712"/>
      <c r="C6" s="2712"/>
      <c r="D6" s="2712"/>
      <c r="E6" s="2712"/>
      <c r="F6" s="2712"/>
    </row>
    <row r="7" spans="1:7">
      <c r="A7" s="2312" t="s">
        <v>0</v>
      </c>
      <c r="B7" s="2312" t="s">
        <v>1963</v>
      </c>
      <c r="C7" s="2312" t="s">
        <v>2666</v>
      </c>
      <c r="D7" s="2312" t="s">
        <v>1</v>
      </c>
      <c r="E7" s="1538" t="s">
        <v>2665</v>
      </c>
      <c r="F7" s="1042" t="s">
        <v>4</v>
      </c>
    </row>
    <row r="8" spans="1:7">
      <c r="A8" s="286">
        <v>1</v>
      </c>
      <c r="B8" s="2349" t="s">
        <v>2797</v>
      </c>
      <c r="C8" s="286" t="s">
        <v>1136</v>
      </c>
      <c r="D8" s="286">
        <v>300</v>
      </c>
      <c r="E8" s="289">
        <v>1200000</v>
      </c>
      <c r="F8" s="1374">
        <f>E8*D8</f>
        <v>360000000</v>
      </c>
    </row>
    <row r="9" spans="1:7" ht="33">
      <c r="A9" s="286">
        <v>2</v>
      </c>
      <c r="B9" s="2349" t="s">
        <v>2796</v>
      </c>
      <c r="C9" s="286" t="s">
        <v>1136</v>
      </c>
      <c r="D9" s="286">
        <v>250</v>
      </c>
      <c r="E9" s="289">
        <v>1400000</v>
      </c>
      <c r="F9" s="1374">
        <f>E9*D9</f>
        <v>350000000</v>
      </c>
    </row>
    <row r="10" spans="1:7" ht="33">
      <c r="A10" s="286">
        <v>3</v>
      </c>
      <c r="B10" s="2349" t="s">
        <v>2795</v>
      </c>
      <c r="C10" s="286" t="s">
        <v>1136</v>
      </c>
      <c r="D10" s="286">
        <v>200</v>
      </c>
      <c r="E10" s="289">
        <v>1700000</v>
      </c>
      <c r="F10" s="1374">
        <f>E10*D10</f>
        <v>340000000</v>
      </c>
    </row>
    <row r="11" spans="1:7" ht="33">
      <c r="A11" s="286">
        <v>4</v>
      </c>
      <c r="B11" s="2349" t="s">
        <v>2794</v>
      </c>
      <c r="C11" s="286" t="s">
        <v>1136</v>
      </c>
      <c r="D11" s="286">
        <v>200</v>
      </c>
      <c r="E11" s="289">
        <v>2400000</v>
      </c>
      <c r="F11" s="1374">
        <f>E11*D11</f>
        <v>480000000</v>
      </c>
    </row>
    <row r="12" spans="1:7" ht="33">
      <c r="A12" s="286">
        <v>5</v>
      </c>
      <c r="B12" s="2349" t="s">
        <v>2793</v>
      </c>
      <c r="C12" s="286" t="s">
        <v>1136</v>
      </c>
      <c r="D12" s="286">
        <v>200</v>
      </c>
      <c r="E12" s="289">
        <v>2700000</v>
      </c>
      <c r="F12" s="1374">
        <f>E12*D12</f>
        <v>540000000</v>
      </c>
    </row>
    <row r="13" spans="1:7">
      <c r="A13" s="286">
        <v>6</v>
      </c>
      <c r="B13" s="2349" t="s">
        <v>868</v>
      </c>
      <c r="C13" s="286"/>
      <c r="D13" s="286"/>
      <c r="E13" s="289"/>
      <c r="F13" s="1374">
        <v>100000000</v>
      </c>
    </row>
    <row r="14" spans="1:7">
      <c r="A14" s="2493" t="s">
        <v>288</v>
      </c>
      <c r="B14" s="2493"/>
      <c r="C14" s="2493"/>
      <c r="D14" s="2493"/>
      <c r="E14" s="2493"/>
      <c r="F14" s="1371">
        <f>SUM(F8:F13)</f>
        <v>2170000000</v>
      </c>
    </row>
    <row r="15" spans="1:7">
      <c r="A15" s="2712" t="s">
        <v>2667</v>
      </c>
      <c r="B15" s="2712"/>
      <c r="C15" s="2712"/>
      <c r="D15" s="2712"/>
      <c r="E15" s="2712"/>
      <c r="F15" s="2712"/>
    </row>
    <row r="16" spans="1:7">
      <c r="A16" s="2312" t="s">
        <v>0</v>
      </c>
      <c r="B16" s="2312" t="s">
        <v>1963</v>
      </c>
      <c r="C16" s="2312" t="s">
        <v>2666</v>
      </c>
      <c r="D16" s="2312" t="s">
        <v>1</v>
      </c>
      <c r="E16" s="1538" t="s">
        <v>2665</v>
      </c>
      <c r="F16" s="1042" t="s">
        <v>4</v>
      </c>
    </row>
    <row r="17" spans="1:6" ht="33">
      <c r="A17" s="286">
        <v>1</v>
      </c>
      <c r="B17" s="2349" t="s">
        <v>2792</v>
      </c>
      <c r="C17" s="286" t="s">
        <v>1136</v>
      </c>
      <c r="D17" s="286">
        <f>D8/2</f>
        <v>150</v>
      </c>
      <c r="E17" s="289">
        <v>1900000</v>
      </c>
      <c r="F17" s="1374">
        <f>E17*D17</f>
        <v>285000000</v>
      </c>
    </row>
    <row r="18" spans="1:6" ht="33">
      <c r="A18" s="286">
        <v>2</v>
      </c>
      <c r="B18" s="2349" t="s">
        <v>2791</v>
      </c>
      <c r="C18" s="286" t="s">
        <v>1136</v>
      </c>
      <c r="D18" s="286">
        <f>D9/2</f>
        <v>125</v>
      </c>
      <c r="E18" s="289">
        <v>2100000</v>
      </c>
      <c r="F18" s="1374">
        <f>E18*D18</f>
        <v>262500000</v>
      </c>
    </row>
    <row r="19" spans="1:6" ht="33">
      <c r="A19" s="286">
        <v>3</v>
      </c>
      <c r="B19" s="2349" t="s">
        <v>2790</v>
      </c>
      <c r="C19" s="286" t="s">
        <v>1136</v>
      </c>
      <c r="D19" s="286">
        <f>D10/2</f>
        <v>100</v>
      </c>
      <c r="E19" s="289">
        <v>2400000</v>
      </c>
      <c r="F19" s="1374">
        <f t="shared" ref="F19:F24" si="0">D19*E19</f>
        <v>240000000</v>
      </c>
    </row>
    <row r="20" spans="1:6" ht="49.5">
      <c r="A20" s="286">
        <v>4</v>
      </c>
      <c r="B20" s="2349" t="s">
        <v>2789</v>
      </c>
      <c r="C20" s="286" t="s">
        <v>1136</v>
      </c>
      <c r="D20" s="286">
        <f>D11</f>
        <v>200</v>
      </c>
      <c r="E20" s="289">
        <v>3100000</v>
      </c>
      <c r="F20" s="1374">
        <f t="shared" si="0"/>
        <v>620000000</v>
      </c>
    </row>
    <row r="21" spans="1:6" ht="33">
      <c r="A21" s="286">
        <v>5</v>
      </c>
      <c r="B21" s="2349" t="s">
        <v>2788</v>
      </c>
      <c r="C21" s="286" t="s">
        <v>1136</v>
      </c>
      <c r="D21" s="286">
        <f>D12</f>
        <v>200</v>
      </c>
      <c r="E21" s="289">
        <v>3400000</v>
      </c>
      <c r="F21" s="1374">
        <f t="shared" si="0"/>
        <v>680000000</v>
      </c>
    </row>
    <row r="22" spans="1:6" ht="33">
      <c r="A22" s="286">
        <v>6</v>
      </c>
      <c r="B22" s="2349" t="s">
        <v>2787</v>
      </c>
      <c r="C22" s="286" t="s">
        <v>1136</v>
      </c>
      <c r="D22" s="286">
        <f>D8/2</f>
        <v>150</v>
      </c>
      <c r="E22" s="289">
        <v>1000000</v>
      </c>
      <c r="F22" s="1374">
        <f t="shared" si="0"/>
        <v>150000000</v>
      </c>
    </row>
    <row r="23" spans="1:6" ht="33">
      <c r="A23" s="286">
        <v>7</v>
      </c>
      <c r="B23" s="2349" t="s">
        <v>2786</v>
      </c>
      <c r="C23" s="286" t="s">
        <v>1136</v>
      </c>
      <c r="D23" s="286">
        <f>D9/2</f>
        <v>125</v>
      </c>
      <c r="E23" s="289">
        <v>1300000</v>
      </c>
      <c r="F23" s="1374">
        <f t="shared" si="0"/>
        <v>162500000</v>
      </c>
    </row>
    <row r="24" spans="1:6" ht="33">
      <c r="A24" s="286">
        <v>8</v>
      </c>
      <c r="B24" s="2349" t="s">
        <v>2785</v>
      </c>
      <c r="C24" s="286" t="s">
        <v>1136</v>
      </c>
      <c r="D24" s="286">
        <f>D10/2</f>
        <v>100</v>
      </c>
      <c r="E24" s="289">
        <v>1600000</v>
      </c>
      <c r="F24" s="1374">
        <f t="shared" si="0"/>
        <v>160000000</v>
      </c>
    </row>
    <row r="25" spans="1:6">
      <c r="A25" s="286">
        <v>9</v>
      </c>
      <c r="B25" s="2349" t="s">
        <v>868</v>
      </c>
      <c r="C25" s="286"/>
      <c r="D25" s="286"/>
      <c r="E25" s="289"/>
      <c r="F25" s="1374">
        <v>115000000</v>
      </c>
    </row>
    <row r="26" spans="1:6">
      <c r="A26" s="2493" t="s">
        <v>288</v>
      </c>
      <c r="B26" s="2493"/>
      <c r="C26" s="2493"/>
      <c r="D26" s="2493"/>
      <c r="E26" s="2493"/>
      <c r="F26" s="1371">
        <f>SUM(F17:F25)</f>
        <v>2675000000</v>
      </c>
    </row>
    <row r="27" spans="1:6" ht="17.100000000000001" customHeight="1">
      <c r="A27" s="2713" t="s">
        <v>2770</v>
      </c>
      <c r="B27" s="2713"/>
      <c r="C27" s="2713"/>
      <c r="D27" s="2713"/>
      <c r="E27" s="2713"/>
      <c r="F27" s="2713"/>
    </row>
    <row r="28" spans="1:6" ht="17.100000000000001" customHeight="1">
      <c r="A28" s="2711" t="s">
        <v>2663</v>
      </c>
      <c r="B28" s="2711"/>
      <c r="C28" s="2711"/>
      <c r="D28" s="2711"/>
      <c r="E28" s="2711"/>
      <c r="F28" s="1537">
        <v>20000000</v>
      </c>
    </row>
    <row r="29" spans="1:6" ht="17.100000000000001" customHeight="1">
      <c r="A29" s="2711" t="s">
        <v>2784</v>
      </c>
      <c r="B29" s="2711"/>
      <c r="C29" s="2711"/>
      <c r="D29" s="2711"/>
      <c r="E29" s="2711"/>
      <c r="F29" s="1537">
        <f>5000000*3*12</f>
        <v>180000000</v>
      </c>
    </row>
    <row r="30" spans="1:6" ht="17.100000000000001" customHeight="1">
      <c r="A30" s="2711" t="s">
        <v>2783</v>
      </c>
      <c r="B30" s="2711"/>
      <c r="C30" s="2711"/>
      <c r="D30" s="2711"/>
      <c r="E30" s="2711"/>
      <c r="F30" s="1537">
        <f>C41*9/100</f>
        <v>162000000</v>
      </c>
    </row>
    <row r="31" spans="1:6" ht="17.100000000000001" customHeight="1">
      <c r="A31" s="2711" t="s">
        <v>2662</v>
      </c>
      <c r="B31" s="2711"/>
      <c r="C31" s="2711"/>
      <c r="D31" s="2711"/>
      <c r="E31" s="2711"/>
      <c r="F31" s="1537">
        <v>5000000</v>
      </c>
    </row>
    <row r="32" spans="1:6" s="1036" customFormat="1" ht="17.100000000000001" customHeight="1">
      <c r="A32" s="2711" t="s">
        <v>2661</v>
      </c>
      <c r="B32" s="2711"/>
      <c r="C32" s="2711"/>
      <c r="D32" s="2711"/>
      <c r="E32" s="2711"/>
      <c r="F32" s="1537">
        <v>20000000</v>
      </c>
    </row>
    <row r="33" spans="1:6" s="1498" customFormat="1" ht="17.100000000000001" customHeight="1">
      <c r="A33" s="2493" t="s">
        <v>288</v>
      </c>
      <c r="B33" s="2493"/>
      <c r="C33" s="2493"/>
      <c r="D33" s="2493"/>
      <c r="E33" s="2493"/>
      <c r="F33" s="1531">
        <f>SUM(F28:F32)</f>
        <v>387000000</v>
      </c>
    </row>
    <row r="34" spans="1:6" s="1498" customFormat="1" ht="17.100000000000001" customHeight="1">
      <c r="A34" s="1536" t="s">
        <v>2660</v>
      </c>
      <c r="B34" s="1535">
        <f>F14</f>
        <v>2170000000</v>
      </c>
      <c r="C34" s="1534" t="s">
        <v>2659</v>
      </c>
      <c r="D34" s="1533">
        <f>F33</f>
        <v>387000000</v>
      </c>
      <c r="E34" s="1534"/>
      <c r="F34" s="1537">
        <f>B34+D34</f>
        <v>2557000000</v>
      </c>
    </row>
    <row r="35" spans="1:6" s="1498" customFormat="1" ht="17.100000000000001" customHeight="1">
      <c r="A35" s="1536" t="s">
        <v>2658</v>
      </c>
      <c r="B35" s="1535">
        <f>F26</f>
        <v>2675000000</v>
      </c>
      <c r="C35" s="1534" t="s">
        <v>615</v>
      </c>
      <c r="D35" s="1533">
        <f>F34</f>
        <v>2557000000</v>
      </c>
      <c r="E35" s="1532"/>
      <c r="F35" s="1531">
        <f>B35-D35</f>
        <v>118000000</v>
      </c>
    </row>
    <row r="36" spans="1:6" ht="17.100000000000001" customHeight="1">
      <c r="A36" s="2315" t="s">
        <v>2598</v>
      </c>
      <c r="B36" s="1519"/>
      <c r="C36" s="1519"/>
      <c r="D36" s="1519"/>
    </row>
    <row r="37" spans="1:6" ht="17.100000000000001" customHeight="1">
      <c r="A37" s="1497" t="s">
        <v>2597</v>
      </c>
      <c r="C37" s="163">
        <f>F34-F28-F30</f>
        <v>2375000000</v>
      </c>
      <c r="D37" s="1518" t="s">
        <v>1270</v>
      </c>
    </row>
    <row r="38" spans="1:6" ht="17.100000000000001" customHeight="1">
      <c r="A38" s="1497" t="s">
        <v>2596</v>
      </c>
      <c r="C38" s="1517">
        <v>1.2</v>
      </c>
      <c r="D38" s="163" t="s">
        <v>2411</v>
      </c>
    </row>
    <row r="39" spans="1:6" ht="17.100000000000001" customHeight="1">
      <c r="A39" s="1497" t="s">
        <v>2595</v>
      </c>
      <c r="C39" s="163">
        <f>ROUND(C37/C38,-3)</f>
        <v>1979167000</v>
      </c>
      <c r="D39" s="163" t="s">
        <v>1270</v>
      </c>
      <c r="F39" s="1516"/>
    </row>
    <row r="40" spans="1:6" ht="17.100000000000001" customHeight="1">
      <c r="A40" s="1497" t="s">
        <v>2594</v>
      </c>
      <c r="C40" s="163">
        <f>C39-C41</f>
        <v>179167000</v>
      </c>
      <c r="D40" s="163" t="s">
        <v>1270</v>
      </c>
      <c r="E40" s="1530"/>
    </row>
    <row r="41" spans="1:6" ht="17.100000000000001" customHeight="1">
      <c r="A41" s="1497" t="s">
        <v>2593</v>
      </c>
      <c r="C41" s="163">
        <v>1800000000</v>
      </c>
      <c r="D41" s="163" t="s">
        <v>1270</v>
      </c>
      <c r="E41" s="1529">
        <f>C40/C39*100</f>
        <v>9.0526468963963111</v>
      </c>
    </row>
    <row r="42" spans="1:6" ht="17.100000000000001" customHeight="1">
      <c r="A42" s="1497" t="s">
        <v>2592</v>
      </c>
      <c r="C42" s="163">
        <v>12</v>
      </c>
      <c r="D42" s="163" t="s">
        <v>74</v>
      </c>
    </row>
  </sheetData>
  <mergeCells count="11">
    <mergeCell ref="A28:E28"/>
    <mergeCell ref="A6:F6"/>
    <mergeCell ref="A14:E14"/>
    <mergeCell ref="A15:F15"/>
    <mergeCell ref="A26:E26"/>
    <mergeCell ref="A27:F27"/>
    <mergeCell ref="A29:E29"/>
    <mergeCell ref="A30:E30"/>
    <mergeCell ref="A31:E31"/>
    <mergeCell ref="A32:E32"/>
    <mergeCell ref="A33:E33"/>
  </mergeCells>
  <pageMargins left="0.7" right="0.7" top="0.75" bottom="0.75" header="0.3" footer="0.3"/>
  <pageSetup paperSize="9" orientation="portrait" verticalDpi="0"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G36"/>
  <sheetViews>
    <sheetView workbookViewId="0">
      <selection activeCell="B25" sqref="B25"/>
    </sheetView>
  </sheetViews>
  <sheetFormatPr defaultRowHeight="16.5"/>
  <cols>
    <col min="1" max="1" width="3.85546875" style="311" bestFit="1" customWidth="1"/>
    <col min="2" max="2" width="54.28515625" style="311" bestFit="1" customWidth="1"/>
    <col min="3" max="3" width="6.28515625" style="311" bestFit="1" customWidth="1"/>
    <col min="4" max="4" width="8.7109375" style="483" bestFit="1" customWidth="1"/>
    <col min="5" max="5" width="14.5703125" style="483" bestFit="1" customWidth="1"/>
    <col min="6" max="6" width="19.85546875" style="483" bestFit="1" customWidth="1"/>
    <col min="7" max="16384" width="9.140625" style="311"/>
  </cols>
  <sheetData>
    <row r="1" spans="1:7">
      <c r="C1" s="311" t="s">
        <v>647</v>
      </c>
      <c r="G1" s="309" t="s">
        <v>1020</v>
      </c>
    </row>
    <row r="4" spans="1:7" s="2353" customFormat="1" ht="33">
      <c r="A4" s="2355" t="s">
        <v>0</v>
      </c>
      <c r="B4" s="295" t="s">
        <v>279</v>
      </c>
      <c r="C4" s="2355" t="s">
        <v>100</v>
      </c>
      <c r="D4" s="325" t="s">
        <v>1</v>
      </c>
      <c r="E4" s="325" t="s">
        <v>3</v>
      </c>
      <c r="F4" s="472" t="s">
        <v>613</v>
      </c>
    </row>
    <row r="5" spans="1:7" ht="15" customHeight="1">
      <c r="A5" s="2352" t="s">
        <v>109</v>
      </c>
      <c r="B5" s="473" t="s">
        <v>359</v>
      </c>
      <c r="C5" s="474"/>
      <c r="D5" s="475"/>
      <c r="E5" s="475"/>
      <c r="F5" s="475">
        <f>F6+F18+C26+C28+C29+C30</f>
        <v>34502400000</v>
      </c>
    </row>
    <row r="6" spans="1:7">
      <c r="A6" s="2352" t="s">
        <v>480</v>
      </c>
      <c r="B6" s="473" t="s">
        <v>614</v>
      </c>
      <c r="C6" s="2352"/>
      <c r="D6" s="476"/>
      <c r="E6" s="476"/>
      <c r="F6" s="476">
        <f>SUM(F8:F10)</f>
        <v>31360000000</v>
      </c>
    </row>
    <row r="7" spans="1:7">
      <c r="A7" s="298">
        <v>1</v>
      </c>
      <c r="B7" s="477" t="s">
        <v>7</v>
      </c>
      <c r="C7" s="298"/>
      <c r="D7" s="478">
        <f>D8+D9+D10</f>
        <v>2220</v>
      </c>
      <c r="E7" s="478"/>
      <c r="F7" s="478"/>
    </row>
    <row r="8" spans="1:7">
      <c r="A8" s="298" t="s">
        <v>615</v>
      </c>
      <c r="B8" s="477" t="s">
        <v>616</v>
      </c>
      <c r="C8" s="298" t="s">
        <v>8</v>
      </c>
      <c r="D8" s="478">
        <v>720</v>
      </c>
      <c r="E8" s="478">
        <v>10500000</v>
      </c>
      <c r="F8" s="478">
        <f>D8*E8</f>
        <v>7560000000</v>
      </c>
    </row>
    <row r="9" spans="1:7">
      <c r="A9" s="298" t="s">
        <v>615</v>
      </c>
      <c r="B9" s="477" t="s">
        <v>617</v>
      </c>
      <c r="C9" s="298" t="s">
        <v>8</v>
      </c>
      <c r="D9" s="478">
        <v>700</v>
      </c>
      <c r="E9" s="478">
        <v>14000000</v>
      </c>
      <c r="F9" s="478">
        <f>D9*E9</f>
        <v>9800000000</v>
      </c>
    </row>
    <row r="10" spans="1:7">
      <c r="A10" s="298" t="s">
        <v>615</v>
      </c>
      <c r="B10" s="477" t="s">
        <v>618</v>
      </c>
      <c r="C10" s="298" t="s">
        <v>8</v>
      </c>
      <c r="D10" s="478">
        <v>800</v>
      </c>
      <c r="E10" s="478">
        <v>17500000</v>
      </c>
      <c r="F10" s="478">
        <f>D10*E10</f>
        <v>14000000000</v>
      </c>
    </row>
    <row r="11" spans="1:7">
      <c r="A11" s="298">
        <v>2</v>
      </c>
      <c r="B11" s="298" t="s">
        <v>619</v>
      </c>
      <c r="C11" s="298" t="s">
        <v>8</v>
      </c>
      <c r="D11" s="478">
        <f>D7</f>
        <v>2220</v>
      </c>
      <c r="E11" s="479" t="s">
        <v>620</v>
      </c>
      <c r="F11" s="478">
        <f>D11*70000*360</f>
        <v>55944000000</v>
      </c>
    </row>
    <row r="12" spans="1:7">
      <c r="A12" s="298">
        <v>3</v>
      </c>
      <c r="B12" s="298" t="s">
        <v>621</v>
      </c>
      <c r="C12" s="298" t="s">
        <v>8</v>
      </c>
      <c r="D12" s="478">
        <f>D7</f>
        <v>2220</v>
      </c>
      <c r="E12" s="479" t="s">
        <v>622</v>
      </c>
      <c r="F12" s="478">
        <f>D12*3000*360</f>
        <v>2397600000</v>
      </c>
    </row>
    <row r="13" spans="1:7">
      <c r="A13" s="298">
        <v>4</v>
      </c>
      <c r="B13" s="298" t="s">
        <v>623</v>
      </c>
      <c r="C13" s="298" t="s">
        <v>8</v>
      </c>
      <c r="D13" s="478">
        <f>D7</f>
        <v>2220</v>
      </c>
      <c r="E13" s="479" t="s">
        <v>622</v>
      </c>
      <c r="F13" s="478">
        <f>D13*3000*360</f>
        <v>2397600000</v>
      </c>
    </row>
    <row r="14" spans="1:7">
      <c r="A14" s="298">
        <v>5</v>
      </c>
      <c r="B14" s="298" t="s">
        <v>624</v>
      </c>
      <c r="C14" s="298" t="s">
        <v>358</v>
      </c>
      <c r="D14" s="478">
        <v>12</v>
      </c>
      <c r="E14" s="478">
        <v>15000000</v>
      </c>
      <c r="F14" s="478">
        <f>D14*E14</f>
        <v>180000000</v>
      </c>
    </row>
    <row r="15" spans="1:7">
      <c r="A15" s="298">
        <v>6</v>
      </c>
      <c r="B15" s="298" t="s">
        <v>625</v>
      </c>
      <c r="C15" s="298" t="s">
        <v>626</v>
      </c>
      <c r="D15" s="478">
        <v>22</v>
      </c>
      <c r="E15" s="478">
        <v>10000000</v>
      </c>
      <c r="F15" s="478">
        <f>D15*E15</f>
        <v>220000000</v>
      </c>
    </row>
    <row r="16" spans="1:7">
      <c r="A16" s="298">
        <v>7</v>
      </c>
      <c r="B16" s="298" t="s">
        <v>627</v>
      </c>
      <c r="C16" s="298"/>
      <c r="D16" s="478">
        <f>D7</f>
        <v>2220</v>
      </c>
      <c r="E16" s="478">
        <v>38000</v>
      </c>
      <c r="F16" s="478">
        <f>D16*E16</f>
        <v>84360000</v>
      </c>
    </row>
    <row r="17" spans="1:6" ht="33">
      <c r="A17" s="298">
        <v>8</v>
      </c>
      <c r="B17" s="477" t="s">
        <v>628</v>
      </c>
      <c r="C17" s="477" t="s">
        <v>358</v>
      </c>
      <c r="D17" s="480">
        <v>12</v>
      </c>
      <c r="E17" s="480">
        <v>20000000</v>
      </c>
      <c r="F17" s="478">
        <f>D17*E17</f>
        <v>240000000</v>
      </c>
    </row>
    <row r="18" spans="1:6">
      <c r="A18" s="2352" t="s">
        <v>485</v>
      </c>
      <c r="B18" s="2352" t="s">
        <v>629</v>
      </c>
      <c r="C18" s="298"/>
      <c r="D18" s="478"/>
      <c r="E18" s="478"/>
      <c r="F18" s="476">
        <f>SUM(F19:F25)</f>
        <v>660000000</v>
      </c>
    </row>
    <row r="19" spans="1:6">
      <c r="A19" s="298">
        <v>1</v>
      </c>
      <c r="B19" s="298" t="s">
        <v>630</v>
      </c>
      <c r="C19" s="298" t="s">
        <v>358</v>
      </c>
      <c r="D19" s="478">
        <v>12</v>
      </c>
      <c r="E19" s="478">
        <v>3000000</v>
      </c>
      <c r="F19" s="478">
        <f>D19*E19</f>
        <v>36000000</v>
      </c>
    </row>
    <row r="20" spans="1:6">
      <c r="A20" s="298">
        <v>2</v>
      </c>
      <c r="B20" s="298" t="s">
        <v>631</v>
      </c>
      <c r="C20" s="298" t="s">
        <v>358</v>
      </c>
      <c r="D20" s="478">
        <v>12</v>
      </c>
      <c r="E20" s="478">
        <v>10000000</v>
      </c>
      <c r="F20" s="478">
        <f t="shared" ref="F20:F25" si="0">D20*E20</f>
        <v>120000000</v>
      </c>
    </row>
    <row r="21" spans="1:6">
      <c r="A21" s="298">
        <v>3</v>
      </c>
      <c r="B21" s="298" t="s">
        <v>632</v>
      </c>
      <c r="C21" s="298" t="s">
        <v>358</v>
      </c>
      <c r="D21" s="478">
        <v>12</v>
      </c>
      <c r="E21" s="478">
        <v>6000000</v>
      </c>
      <c r="F21" s="478">
        <f t="shared" si="0"/>
        <v>72000000</v>
      </c>
    </row>
    <row r="22" spans="1:6">
      <c r="A22" s="298">
        <v>4</v>
      </c>
      <c r="B22" s="477" t="s">
        <v>633</v>
      </c>
      <c r="C22" s="298" t="s">
        <v>358</v>
      </c>
      <c r="D22" s="478">
        <v>12</v>
      </c>
      <c r="E22" s="478">
        <v>4000000</v>
      </c>
      <c r="F22" s="478">
        <f t="shared" si="0"/>
        <v>48000000</v>
      </c>
    </row>
    <row r="23" spans="1:6">
      <c r="A23" s="298">
        <v>5</v>
      </c>
      <c r="B23" s="298" t="s">
        <v>634</v>
      </c>
      <c r="C23" s="298" t="s">
        <v>358</v>
      </c>
      <c r="D23" s="478">
        <v>12</v>
      </c>
      <c r="E23" s="478">
        <v>7000000</v>
      </c>
      <c r="F23" s="478">
        <f t="shared" si="0"/>
        <v>84000000</v>
      </c>
    </row>
    <row r="24" spans="1:6">
      <c r="A24" s="298">
        <v>6</v>
      </c>
      <c r="B24" s="298" t="s">
        <v>635</v>
      </c>
      <c r="C24" s="298" t="s">
        <v>358</v>
      </c>
      <c r="D24" s="478">
        <v>12</v>
      </c>
      <c r="E24" s="478">
        <v>5000000</v>
      </c>
      <c r="F24" s="478">
        <f t="shared" si="0"/>
        <v>60000000</v>
      </c>
    </row>
    <row r="25" spans="1:6" ht="33">
      <c r="A25" s="298">
        <v>7</v>
      </c>
      <c r="B25" s="477" t="s">
        <v>636</v>
      </c>
      <c r="C25" s="477" t="s">
        <v>358</v>
      </c>
      <c r="D25" s="480">
        <v>12</v>
      </c>
      <c r="E25" s="480">
        <v>20000000</v>
      </c>
      <c r="F25" s="478">
        <f t="shared" si="0"/>
        <v>240000000</v>
      </c>
    </row>
    <row r="26" spans="1:6">
      <c r="A26" s="2716" t="s">
        <v>489</v>
      </c>
      <c r="B26" s="473" t="s">
        <v>637</v>
      </c>
      <c r="C26" s="2717">
        <f>20000000000*6.5/100</f>
        <v>1300000000</v>
      </c>
      <c r="D26" s="2718"/>
      <c r="E26" s="2718"/>
      <c r="F26" s="2719"/>
    </row>
    <row r="27" spans="1:6" ht="33">
      <c r="A27" s="2716"/>
      <c r="B27" s="473" t="s">
        <v>638</v>
      </c>
      <c r="C27" s="2720"/>
      <c r="D27" s="2721"/>
      <c r="E27" s="2721"/>
      <c r="F27" s="2722"/>
    </row>
    <row r="28" spans="1:6">
      <c r="A28" s="2352" t="s">
        <v>547</v>
      </c>
      <c r="B28" s="473" t="s">
        <v>639</v>
      </c>
      <c r="C28" s="2714">
        <f>0.03*D7*200*70000</f>
        <v>932399999.99999988</v>
      </c>
      <c r="D28" s="2714"/>
      <c r="E28" s="2714"/>
      <c r="F28" s="2714"/>
    </row>
    <row r="29" spans="1:6">
      <c r="A29" s="2352" t="s">
        <v>582</v>
      </c>
      <c r="B29" s="2352" t="s">
        <v>217</v>
      </c>
      <c r="C29" s="2723">
        <v>100000000</v>
      </c>
      <c r="D29" s="2723"/>
      <c r="E29" s="2723"/>
      <c r="F29" s="2723"/>
    </row>
    <row r="30" spans="1:6">
      <c r="A30" s="2352" t="s">
        <v>640</v>
      </c>
      <c r="B30" s="2352" t="s">
        <v>641</v>
      </c>
      <c r="C30" s="2723">
        <v>150000000</v>
      </c>
      <c r="D30" s="2723"/>
      <c r="E30" s="2723"/>
      <c r="F30" s="2723"/>
    </row>
    <row r="31" spans="1:6">
      <c r="A31" s="2352" t="s">
        <v>116</v>
      </c>
      <c r="B31" s="473" t="s">
        <v>642</v>
      </c>
      <c r="C31" s="2714">
        <f>SUM(F32:F34)</f>
        <v>37784000000</v>
      </c>
      <c r="D31" s="2715"/>
      <c r="E31" s="2715"/>
      <c r="F31" s="2715"/>
    </row>
    <row r="32" spans="1:6">
      <c r="A32" s="2352"/>
      <c r="B32" s="477" t="s">
        <v>617</v>
      </c>
      <c r="C32" s="298" t="s">
        <v>523</v>
      </c>
      <c r="D32" s="481">
        <f>D8</f>
        <v>720</v>
      </c>
      <c r="E32" s="482">
        <f>E8*1.4</f>
        <v>14699999.999999998</v>
      </c>
      <c r="F32" s="478">
        <f>D32*E32</f>
        <v>10583999999.999998</v>
      </c>
    </row>
    <row r="33" spans="1:6">
      <c r="A33" s="2352"/>
      <c r="B33" s="477" t="s">
        <v>618</v>
      </c>
      <c r="C33" s="298" t="s">
        <v>523</v>
      </c>
      <c r="D33" s="481">
        <f>D9</f>
        <v>700</v>
      </c>
      <c r="E33" s="482">
        <v>16000000</v>
      </c>
      <c r="F33" s="478">
        <f>D33*E33</f>
        <v>11200000000</v>
      </c>
    </row>
    <row r="34" spans="1:6">
      <c r="A34" s="298">
        <v>1</v>
      </c>
      <c r="B34" s="477" t="s">
        <v>643</v>
      </c>
      <c r="C34" s="298" t="s">
        <v>523</v>
      </c>
      <c r="D34" s="481">
        <f>D10</f>
        <v>800</v>
      </c>
      <c r="E34" s="482">
        <v>20000000</v>
      </c>
      <c r="F34" s="478">
        <f>D34*E34</f>
        <v>16000000000</v>
      </c>
    </row>
    <row r="35" spans="1:6">
      <c r="A35" s="2352" t="s">
        <v>135</v>
      </c>
      <c r="B35" s="473" t="s">
        <v>644</v>
      </c>
      <c r="C35" s="2714">
        <f>C31-F5</f>
        <v>3281600000</v>
      </c>
      <c r="D35" s="2715"/>
      <c r="E35" s="2715"/>
      <c r="F35" s="2715"/>
    </row>
    <row r="36" spans="1:6">
      <c r="A36" s="2352" t="s">
        <v>645</v>
      </c>
      <c r="B36" s="473" t="s">
        <v>646</v>
      </c>
      <c r="C36" s="2714">
        <f>C35</f>
        <v>3281600000</v>
      </c>
      <c r="D36" s="2715"/>
      <c r="E36" s="2715"/>
      <c r="F36" s="2715"/>
    </row>
  </sheetData>
  <mergeCells count="8">
    <mergeCell ref="C35:F35"/>
    <mergeCell ref="C36:F36"/>
    <mergeCell ref="A26:A27"/>
    <mergeCell ref="C26:F27"/>
    <mergeCell ref="C28:F28"/>
    <mergeCell ref="C29:F29"/>
    <mergeCell ref="C30:F30"/>
    <mergeCell ref="C31:F31"/>
  </mergeCell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52"/>
  <sheetViews>
    <sheetView workbookViewId="0">
      <selection activeCell="B15" sqref="B15"/>
    </sheetView>
  </sheetViews>
  <sheetFormatPr defaultRowHeight="16.5"/>
  <cols>
    <col min="1" max="1" width="4.28515625" style="311" bestFit="1" customWidth="1"/>
    <col min="2" max="2" width="32.7109375" style="311" customWidth="1"/>
    <col min="3" max="3" width="11" style="2353" customWidth="1"/>
    <col min="4" max="4" width="7.7109375" style="311" bestFit="1" customWidth="1"/>
    <col min="5" max="5" width="16.28515625" style="311" customWidth="1"/>
    <col min="6" max="6" width="24.28515625" style="311" customWidth="1"/>
    <col min="7" max="7" width="9.140625" style="311"/>
    <col min="8" max="8" width="18.85546875" style="311" customWidth="1"/>
    <col min="9" max="16384" width="9.140625" style="311"/>
  </cols>
  <sheetData>
    <row r="1" spans="1:7">
      <c r="C1" s="2319" t="s">
        <v>609</v>
      </c>
      <c r="G1" s="309" t="s">
        <v>1020</v>
      </c>
    </row>
    <row r="4" spans="1:7" ht="16.5" customHeight="1">
      <c r="A4" s="2729" t="s">
        <v>0</v>
      </c>
      <c r="B4" s="2729" t="s">
        <v>14</v>
      </c>
      <c r="C4" s="2729" t="s">
        <v>100</v>
      </c>
      <c r="D4" s="2729" t="s">
        <v>1</v>
      </c>
      <c r="E4" s="2729" t="s">
        <v>15</v>
      </c>
      <c r="F4" s="2729" t="s">
        <v>562</v>
      </c>
    </row>
    <row r="5" spans="1:7" ht="15" customHeight="1">
      <c r="A5" s="2729"/>
      <c r="B5" s="2729"/>
      <c r="C5" s="2729"/>
      <c r="D5" s="2729"/>
      <c r="E5" s="2729"/>
      <c r="F5" s="2729"/>
    </row>
    <row r="6" spans="1:7" ht="15.75" customHeight="1">
      <c r="A6" s="2729"/>
      <c r="B6" s="2729"/>
      <c r="C6" s="2729"/>
      <c r="D6" s="2729"/>
      <c r="E6" s="2729"/>
      <c r="F6" s="2729"/>
    </row>
    <row r="7" spans="1:7">
      <c r="A7" s="2355" t="s">
        <v>109</v>
      </c>
      <c r="B7" s="2352" t="s">
        <v>22</v>
      </c>
      <c r="C7" s="2355"/>
      <c r="D7" s="295"/>
      <c r="E7" s="295"/>
      <c r="F7" s="296">
        <f>F8+F15+F21+F25+F29</f>
        <v>1642600000</v>
      </c>
    </row>
    <row r="8" spans="1:7">
      <c r="A8" s="2355" t="s">
        <v>480</v>
      </c>
      <c r="B8" s="2352" t="s">
        <v>16</v>
      </c>
      <c r="C8" s="2355"/>
      <c r="D8" s="295"/>
      <c r="E8" s="295"/>
      <c r="F8" s="2351">
        <f>SUM(F9:F14)</f>
        <v>809000000</v>
      </c>
    </row>
    <row r="9" spans="1:7">
      <c r="A9" s="297">
        <v>1</v>
      </c>
      <c r="B9" s="298" t="s">
        <v>563</v>
      </c>
      <c r="C9" s="297" t="s">
        <v>8</v>
      </c>
      <c r="D9" s="299">
        <v>8</v>
      </c>
      <c r="E9" s="300">
        <v>7000000</v>
      </c>
      <c r="F9" s="264">
        <f t="shared" ref="F9:F14" si="0">D9*E9</f>
        <v>56000000</v>
      </c>
    </row>
    <row r="10" spans="1:7">
      <c r="A10" s="297">
        <v>2</v>
      </c>
      <c r="B10" s="298" t="s">
        <v>564</v>
      </c>
      <c r="C10" s="297" t="s">
        <v>8</v>
      </c>
      <c r="D10" s="299">
        <v>400</v>
      </c>
      <c r="E10" s="300">
        <v>1600000</v>
      </c>
      <c r="F10" s="264">
        <f t="shared" si="0"/>
        <v>640000000</v>
      </c>
    </row>
    <row r="11" spans="1:7">
      <c r="A11" s="297">
        <v>3</v>
      </c>
      <c r="B11" s="298" t="s">
        <v>565</v>
      </c>
      <c r="C11" s="297" t="s">
        <v>8</v>
      </c>
      <c r="D11" s="299">
        <v>20000</v>
      </c>
      <c r="E11" s="300">
        <v>3100</v>
      </c>
      <c r="F11" s="264">
        <f t="shared" si="0"/>
        <v>62000000</v>
      </c>
    </row>
    <row r="12" spans="1:7">
      <c r="A12" s="297">
        <v>4</v>
      </c>
      <c r="B12" s="298" t="s">
        <v>566</v>
      </c>
      <c r="C12" s="297" t="s">
        <v>11</v>
      </c>
      <c r="D12" s="299">
        <v>300</v>
      </c>
      <c r="E12" s="300">
        <v>70000</v>
      </c>
      <c r="F12" s="264">
        <f t="shared" si="0"/>
        <v>21000000</v>
      </c>
    </row>
    <row r="13" spans="1:7">
      <c r="A13" s="297">
        <v>5</v>
      </c>
      <c r="B13" s="298" t="s">
        <v>567</v>
      </c>
      <c r="C13" s="297" t="s">
        <v>8</v>
      </c>
      <c r="D13" s="299">
        <v>300</v>
      </c>
      <c r="E13" s="300">
        <v>50000</v>
      </c>
      <c r="F13" s="264">
        <f t="shared" si="0"/>
        <v>15000000</v>
      </c>
    </row>
    <row r="14" spans="1:7">
      <c r="A14" s="297">
        <v>6</v>
      </c>
      <c r="B14" s="298" t="s">
        <v>568</v>
      </c>
      <c r="C14" s="297" t="s">
        <v>8</v>
      </c>
      <c r="D14" s="299">
        <v>300</v>
      </c>
      <c r="E14" s="300">
        <v>50000</v>
      </c>
      <c r="F14" s="264">
        <f t="shared" si="0"/>
        <v>15000000</v>
      </c>
    </row>
    <row r="15" spans="1:7">
      <c r="A15" s="2355" t="s">
        <v>485</v>
      </c>
      <c r="B15" s="2352" t="s">
        <v>569</v>
      </c>
      <c r="C15" s="2355"/>
      <c r="D15" s="295"/>
      <c r="E15" s="295"/>
      <c r="F15" s="296">
        <f>SUM(F16:F20)</f>
        <v>610800000</v>
      </c>
    </row>
    <row r="16" spans="1:7">
      <c r="A16" s="297">
        <v>1</v>
      </c>
      <c r="B16" s="298" t="s">
        <v>570</v>
      </c>
      <c r="C16" s="297" t="s">
        <v>523</v>
      </c>
      <c r="D16" s="299">
        <v>8</v>
      </c>
      <c r="E16" s="300">
        <f>F16/D16</f>
        <v>10800000</v>
      </c>
      <c r="F16" s="264">
        <v>86400000</v>
      </c>
    </row>
    <row r="17" spans="1:10">
      <c r="A17" s="297">
        <v>2</v>
      </c>
      <c r="B17" s="298" t="s">
        <v>571</v>
      </c>
      <c r="C17" s="297" t="s">
        <v>523</v>
      </c>
      <c r="D17" s="299">
        <v>96</v>
      </c>
      <c r="E17" s="300">
        <f>F17/D17</f>
        <v>300000</v>
      </c>
      <c r="F17" s="264">
        <v>28800000</v>
      </c>
    </row>
    <row r="18" spans="1:10">
      <c r="A18" s="297">
        <v>3</v>
      </c>
      <c r="B18" s="298" t="s">
        <v>572</v>
      </c>
      <c r="C18" s="297" t="s">
        <v>523</v>
      </c>
      <c r="D18" s="299">
        <v>400</v>
      </c>
      <c r="E18" s="300">
        <f>F18/D18</f>
        <v>1050000</v>
      </c>
      <c r="F18" s="264">
        <v>420000000</v>
      </c>
    </row>
    <row r="19" spans="1:10">
      <c r="A19" s="297">
        <v>4</v>
      </c>
      <c r="B19" s="298" t="s">
        <v>573</v>
      </c>
      <c r="C19" s="297" t="s">
        <v>523</v>
      </c>
      <c r="D19" s="299">
        <v>300</v>
      </c>
      <c r="E19" s="300">
        <f>F19/D19</f>
        <v>144000</v>
      </c>
      <c r="F19" s="264">
        <v>43200000</v>
      </c>
    </row>
    <row r="20" spans="1:10">
      <c r="A20" s="297">
        <v>5</v>
      </c>
      <c r="B20" s="298" t="s">
        <v>574</v>
      </c>
      <c r="C20" s="297" t="s">
        <v>523</v>
      </c>
      <c r="D20" s="299">
        <v>300</v>
      </c>
      <c r="E20" s="300">
        <f>F20/D20</f>
        <v>108000</v>
      </c>
      <c r="F20" s="264">
        <v>32400000</v>
      </c>
    </row>
    <row r="21" spans="1:10">
      <c r="A21" s="2355" t="s">
        <v>489</v>
      </c>
      <c r="B21" s="2352" t="s">
        <v>575</v>
      </c>
      <c r="C21" s="297"/>
      <c r="D21" s="299"/>
      <c r="E21" s="300"/>
      <c r="F21" s="296">
        <v>35300000</v>
      </c>
    </row>
    <row r="22" spans="1:10">
      <c r="A22" s="297">
        <v>6</v>
      </c>
      <c r="B22" s="298" t="s">
        <v>576</v>
      </c>
      <c r="C22" s="297" t="s">
        <v>523</v>
      </c>
      <c r="D22" s="299">
        <v>496</v>
      </c>
      <c r="E22" s="300">
        <f>F22/D22</f>
        <v>50000</v>
      </c>
      <c r="F22" s="264">
        <v>24800000</v>
      </c>
      <c r="H22" s="324">
        <f>F7-F28</f>
        <v>1623100000</v>
      </c>
    </row>
    <row r="23" spans="1:10">
      <c r="A23" s="297">
        <v>7</v>
      </c>
      <c r="B23" s="298" t="s">
        <v>577</v>
      </c>
      <c r="C23" s="297" t="s">
        <v>523</v>
      </c>
      <c r="D23" s="299">
        <v>300</v>
      </c>
      <c r="E23" s="300">
        <f>F23/D23</f>
        <v>20000</v>
      </c>
      <c r="F23" s="264">
        <v>6000000</v>
      </c>
    </row>
    <row r="24" spans="1:10">
      <c r="A24" s="297">
        <v>8</v>
      </c>
      <c r="B24" s="298" t="s">
        <v>578</v>
      </c>
      <c r="C24" s="297" t="s">
        <v>523</v>
      </c>
      <c r="D24" s="299">
        <v>300</v>
      </c>
      <c r="E24" s="300">
        <f>F24/D24</f>
        <v>15000</v>
      </c>
      <c r="F24" s="264">
        <v>4500000</v>
      </c>
      <c r="H24" s="324">
        <f>H22-300000000</f>
        <v>1323100000</v>
      </c>
    </row>
    <row r="25" spans="1:10">
      <c r="A25" s="2355" t="s">
        <v>547</v>
      </c>
      <c r="B25" s="2352" t="s">
        <v>217</v>
      </c>
      <c r="C25" s="2355"/>
      <c r="D25" s="295"/>
      <c r="E25" s="301"/>
      <c r="F25" s="296">
        <f>F26+F27</f>
        <v>168000000</v>
      </c>
      <c r="H25" s="311">
        <f>H24/H22</f>
        <v>0.81516850471320312</v>
      </c>
    </row>
    <row r="26" spans="1:10">
      <c r="A26" s="297"/>
      <c r="B26" s="298" t="s">
        <v>579</v>
      </c>
      <c r="C26" s="297" t="s">
        <v>580</v>
      </c>
      <c r="D26" s="299">
        <v>12</v>
      </c>
      <c r="E26" s="300">
        <v>12000000</v>
      </c>
      <c r="F26" s="264">
        <f>D26*E26</f>
        <v>144000000</v>
      </c>
    </row>
    <row r="27" spans="1:10">
      <c r="A27" s="297"/>
      <c r="B27" s="298" t="s">
        <v>581</v>
      </c>
      <c r="C27" s="297" t="s">
        <v>74</v>
      </c>
      <c r="D27" s="299">
        <v>12</v>
      </c>
      <c r="E27" s="300">
        <v>2000000</v>
      </c>
      <c r="F27" s="264">
        <f>D27*E27</f>
        <v>24000000</v>
      </c>
    </row>
    <row r="28" spans="1:10">
      <c r="A28" s="2355" t="s">
        <v>582</v>
      </c>
      <c r="B28" s="2352" t="s">
        <v>291</v>
      </c>
      <c r="C28" s="2355"/>
      <c r="D28" s="295"/>
      <c r="E28" s="301"/>
      <c r="F28" s="296">
        <f>F29</f>
        <v>19500000</v>
      </c>
    </row>
    <row r="29" spans="1:10">
      <c r="A29" s="297"/>
      <c r="B29" s="298" t="s">
        <v>583</v>
      </c>
      <c r="C29" s="297"/>
      <c r="D29" s="302">
        <v>6.5000000000000002E-2</v>
      </c>
      <c r="E29" s="300">
        <v>300000000</v>
      </c>
      <c r="F29" s="264">
        <f>D29*E29</f>
        <v>19500000</v>
      </c>
    </row>
    <row r="30" spans="1:10">
      <c r="A30" s="2355" t="s">
        <v>116</v>
      </c>
      <c r="B30" s="2352" t="s">
        <v>584</v>
      </c>
      <c r="C30" s="2355"/>
      <c r="D30" s="295"/>
      <c r="E30" s="301"/>
      <c r="F30" s="296">
        <f>SUM(F31:F36)</f>
        <v>1907000000</v>
      </c>
    </row>
    <row r="31" spans="1:10">
      <c r="A31" s="297"/>
      <c r="B31" s="298" t="s">
        <v>585</v>
      </c>
      <c r="C31" s="297" t="s">
        <v>8</v>
      </c>
      <c r="D31" s="299">
        <v>96</v>
      </c>
      <c r="E31" s="300">
        <v>1500000</v>
      </c>
      <c r="F31" s="264">
        <f>D31*E31</f>
        <v>144000000</v>
      </c>
    </row>
    <row r="32" spans="1:10" ht="32.25" customHeight="1">
      <c r="A32" s="297"/>
      <c r="B32" s="303" t="s">
        <v>586</v>
      </c>
      <c r="C32" s="297" t="s">
        <v>8</v>
      </c>
      <c r="D32" s="299">
        <v>400</v>
      </c>
      <c r="E32" s="300">
        <v>40000</v>
      </c>
      <c r="F32" s="264">
        <f>D32*E32*100</f>
        <v>1600000000</v>
      </c>
      <c r="J32" s="2319"/>
    </row>
    <row r="33" spans="1:7">
      <c r="A33" s="297"/>
      <c r="B33" s="298" t="s">
        <v>587</v>
      </c>
      <c r="C33" s="297" t="s">
        <v>8</v>
      </c>
      <c r="D33" s="299">
        <v>300</v>
      </c>
      <c r="E33" s="300">
        <v>150000</v>
      </c>
      <c r="F33" s="264">
        <f>D33*E33</f>
        <v>45000000</v>
      </c>
    </row>
    <row r="34" spans="1:7">
      <c r="A34" s="297"/>
      <c r="B34" s="298" t="s">
        <v>588</v>
      </c>
      <c r="C34" s="297" t="s">
        <v>8</v>
      </c>
      <c r="D34" s="299">
        <v>300</v>
      </c>
      <c r="E34" s="300">
        <v>120000</v>
      </c>
      <c r="F34" s="264">
        <f>D34*E34</f>
        <v>36000000</v>
      </c>
    </row>
    <row r="35" spans="1:7">
      <c r="A35" s="297"/>
      <c r="B35" s="298" t="s">
        <v>589</v>
      </c>
      <c r="C35" s="297" t="s">
        <v>8</v>
      </c>
      <c r="D35" s="299">
        <v>1500</v>
      </c>
      <c r="E35" s="300">
        <v>12000</v>
      </c>
      <c r="F35" s="264">
        <f>D35*E35</f>
        <v>18000000</v>
      </c>
    </row>
    <row r="36" spans="1:7">
      <c r="A36" s="297"/>
      <c r="B36" s="298" t="s">
        <v>590</v>
      </c>
      <c r="C36" s="297" t="s">
        <v>11</v>
      </c>
      <c r="D36" s="299">
        <v>800</v>
      </c>
      <c r="E36" s="300">
        <v>80000</v>
      </c>
      <c r="F36" s="264">
        <f>D36*E36</f>
        <v>64000000</v>
      </c>
    </row>
    <row r="37" spans="1:7">
      <c r="A37" s="297" t="s">
        <v>135</v>
      </c>
      <c r="B37" s="298" t="s">
        <v>591</v>
      </c>
      <c r="C37" s="297"/>
      <c r="D37" s="299"/>
      <c r="E37" s="299"/>
      <c r="F37" s="264">
        <f>F30-F7</f>
        <v>264400000</v>
      </c>
    </row>
    <row r="39" spans="1:7">
      <c r="A39" s="156" t="s">
        <v>592</v>
      </c>
      <c r="B39" s="151"/>
      <c r="C39" s="151"/>
      <c r="D39" s="151"/>
      <c r="E39" s="151"/>
      <c r="F39" s="151"/>
      <c r="G39" s="151"/>
    </row>
    <row r="40" spans="1:7">
      <c r="A40" s="156" t="s">
        <v>593</v>
      </c>
      <c r="B40" s="151"/>
      <c r="C40" s="151"/>
      <c r="D40" s="151"/>
      <c r="E40" s="151"/>
      <c r="F40" s="151"/>
      <c r="G40" s="151"/>
    </row>
    <row r="41" spans="1:7">
      <c r="A41" s="151" t="s">
        <v>594</v>
      </c>
      <c r="B41" s="151"/>
      <c r="C41" s="151"/>
      <c r="D41" s="2727">
        <f>H22</f>
        <v>1623100000</v>
      </c>
      <c r="E41" s="2727"/>
      <c r="F41" s="151" t="s">
        <v>202</v>
      </c>
      <c r="G41" s="151"/>
    </row>
    <row r="42" spans="1:7">
      <c r="A42" s="151" t="s">
        <v>595</v>
      </c>
      <c r="B42" s="151"/>
      <c r="C42" s="151"/>
      <c r="D42" s="2727">
        <f>D41-D43</f>
        <v>1323100000</v>
      </c>
      <c r="E42" s="2727"/>
      <c r="F42" s="151" t="s">
        <v>202</v>
      </c>
      <c r="G42" s="151"/>
    </row>
    <row r="43" spans="1:7">
      <c r="A43" s="151" t="s">
        <v>596</v>
      </c>
      <c r="B43" s="151"/>
      <c r="C43" s="151"/>
      <c r="D43" s="2727">
        <v>300000000</v>
      </c>
      <c r="E43" s="2727"/>
      <c r="F43" s="151" t="s">
        <v>202</v>
      </c>
      <c r="G43" s="151"/>
    </row>
    <row r="44" spans="1:7">
      <c r="A44" s="151" t="s">
        <v>597</v>
      </c>
      <c r="B44" s="151"/>
      <c r="C44" s="151"/>
      <c r="D44" s="151"/>
      <c r="E44" s="151"/>
      <c r="F44" s="151"/>
      <c r="G44" s="151"/>
    </row>
    <row r="45" spans="1:7">
      <c r="A45" s="304" t="s">
        <v>598</v>
      </c>
      <c r="B45" s="151"/>
      <c r="C45" s="151"/>
      <c r="D45" s="151"/>
      <c r="E45" s="151"/>
      <c r="F45" s="151"/>
      <c r="G45" s="151"/>
    </row>
    <row r="46" spans="1:7">
      <c r="A46" s="304" t="s">
        <v>599</v>
      </c>
      <c r="B46" s="151"/>
      <c r="C46" s="151"/>
      <c r="D46" s="151"/>
      <c r="E46" s="151"/>
      <c r="F46" s="151"/>
      <c r="G46" s="151"/>
    </row>
    <row r="47" spans="1:7">
      <c r="A47" s="156" t="s">
        <v>600</v>
      </c>
      <c r="B47" s="151"/>
      <c r="C47" s="151"/>
      <c r="D47" s="2728"/>
      <c r="E47" s="2728"/>
      <c r="F47" s="151"/>
      <c r="G47" s="151"/>
    </row>
    <row r="48" spans="1:7">
      <c r="A48" s="2725" t="s">
        <v>601</v>
      </c>
      <c r="B48" s="2725"/>
      <c r="C48" s="2725"/>
      <c r="D48" s="2725"/>
      <c r="E48" s="2725"/>
      <c r="F48" s="2725"/>
      <c r="G48" s="2725"/>
    </row>
    <row r="49" spans="1:7">
      <c r="A49" s="2725" t="s">
        <v>602</v>
      </c>
      <c r="B49" s="2725"/>
      <c r="C49" s="2725"/>
      <c r="D49" s="2725"/>
      <c r="E49" s="2725"/>
      <c r="F49" s="2725"/>
      <c r="G49" s="2725"/>
    </row>
    <row r="50" spans="1:7">
      <c r="A50" s="2724" t="s">
        <v>603</v>
      </c>
      <c r="B50" s="2724"/>
      <c r="C50" s="2724"/>
      <c r="D50" s="2724"/>
      <c r="E50" s="2724"/>
      <c r="F50" s="2724"/>
      <c r="G50" s="2724"/>
    </row>
    <row r="51" spans="1:7">
      <c r="A51" s="2725" t="s">
        <v>604</v>
      </c>
      <c r="B51" s="2725"/>
      <c r="C51" s="2725"/>
      <c r="D51" s="2725"/>
      <c r="E51" s="2725"/>
      <c r="F51" s="2725"/>
      <c r="G51" s="2725"/>
    </row>
    <row r="52" spans="1:7">
      <c r="A52" s="2726" t="s">
        <v>605</v>
      </c>
      <c r="B52" s="2726"/>
      <c r="C52" s="2726"/>
      <c r="D52" s="2726"/>
      <c r="E52" s="2726"/>
      <c r="F52" s="2726"/>
    </row>
  </sheetData>
  <mergeCells count="15">
    <mergeCell ref="F4:F6"/>
    <mergeCell ref="A4:A6"/>
    <mergeCell ref="B4:B6"/>
    <mergeCell ref="C4:C6"/>
    <mergeCell ref="D4:D6"/>
    <mergeCell ref="E4:E6"/>
    <mergeCell ref="A50:G50"/>
    <mergeCell ref="A51:G51"/>
    <mergeCell ref="A52:F52"/>
    <mergeCell ref="D41:E41"/>
    <mergeCell ref="D42:E42"/>
    <mergeCell ref="D43:E43"/>
    <mergeCell ref="D47:E47"/>
    <mergeCell ref="A48:G48"/>
    <mergeCell ref="A49:G49"/>
  </mergeCells>
  <pageMargins left="0.7" right="0.7" top="0.75" bottom="0.75" header="0.3" footer="0.3"/>
  <pageSetup paperSize="9" orientation="portrait" verticalDpi="0"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I58"/>
  <sheetViews>
    <sheetView zoomScaleNormal="100" workbookViewId="0">
      <selection activeCell="J13" sqref="J13"/>
    </sheetView>
  </sheetViews>
  <sheetFormatPr defaultColWidth="11.5703125" defaultRowHeight="18" customHeight="1"/>
  <cols>
    <col min="1" max="1" width="5" style="1574" customWidth="1"/>
    <col min="2" max="2" width="42.85546875" style="1575" customWidth="1"/>
    <col min="3" max="3" width="8" style="1575" customWidth="1"/>
    <col min="4" max="4" width="18.85546875" style="1575" customWidth="1"/>
    <col min="5" max="5" width="20.28515625" style="1575" customWidth="1"/>
    <col min="6" max="6" width="39.42578125" style="1575" customWidth="1"/>
    <col min="7" max="7" width="17.85546875" style="1608" bestFit="1" customWidth="1"/>
    <col min="8" max="8" width="8.7109375" style="1574" customWidth="1"/>
    <col min="9" max="9" width="17.5703125" style="1575" customWidth="1"/>
    <col min="10" max="256" width="11.5703125" style="1575"/>
    <col min="257" max="257" width="5" style="1575" customWidth="1"/>
    <col min="258" max="258" width="42.85546875" style="1575" customWidth="1"/>
    <col min="259" max="259" width="8" style="1575" customWidth="1"/>
    <col min="260" max="260" width="18.85546875" style="1575" customWidth="1"/>
    <col min="261" max="261" width="20.28515625" style="1575" customWidth="1"/>
    <col min="262" max="262" width="39.42578125" style="1575" customWidth="1"/>
    <col min="263" max="263" width="17.85546875" style="1575" bestFit="1" customWidth="1"/>
    <col min="264" max="264" width="8.7109375" style="1575" customWidth="1"/>
    <col min="265" max="265" width="17.5703125" style="1575" customWidth="1"/>
    <col min="266" max="512" width="11.5703125" style="1575"/>
    <col min="513" max="513" width="5" style="1575" customWidth="1"/>
    <col min="514" max="514" width="42.85546875" style="1575" customWidth="1"/>
    <col min="515" max="515" width="8" style="1575" customWidth="1"/>
    <col min="516" max="516" width="18.85546875" style="1575" customWidth="1"/>
    <col min="517" max="517" width="20.28515625" style="1575" customWidth="1"/>
    <col min="518" max="518" width="39.42578125" style="1575" customWidth="1"/>
    <col min="519" max="519" width="17.85546875" style="1575" bestFit="1" customWidth="1"/>
    <col min="520" max="520" width="8.7109375" style="1575" customWidth="1"/>
    <col min="521" max="521" width="17.5703125" style="1575" customWidth="1"/>
    <col min="522" max="768" width="11.5703125" style="1575"/>
    <col min="769" max="769" width="5" style="1575" customWidth="1"/>
    <col min="770" max="770" width="42.85546875" style="1575" customWidth="1"/>
    <col min="771" max="771" width="8" style="1575" customWidth="1"/>
    <col min="772" max="772" width="18.85546875" style="1575" customWidth="1"/>
    <col min="773" max="773" width="20.28515625" style="1575" customWidth="1"/>
    <col min="774" max="774" width="39.42578125" style="1575" customWidth="1"/>
    <col min="775" max="775" width="17.85546875" style="1575" bestFit="1" customWidth="1"/>
    <col min="776" max="776" width="8.7109375" style="1575" customWidth="1"/>
    <col min="777" max="777" width="17.5703125" style="1575" customWidth="1"/>
    <col min="778" max="1024" width="11.5703125" style="1575"/>
    <col min="1025" max="1025" width="5" style="1575" customWidth="1"/>
    <col min="1026" max="1026" width="42.85546875" style="1575" customWidth="1"/>
    <col min="1027" max="1027" width="8" style="1575" customWidth="1"/>
    <col min="1028" max="1028" width="18.85546875" style="1575" customWidth="1"/>
    <col min="1029" max="1029" width="20.28515625" style="1575" customWidth="1"/>
    <col min="1030" max="1030" width="39.42578125" style="1575" customWidth="1"/>
    <col min="1031" max="1031" width="17.85546875" style="1575" bestFit="1" customWidth="1"/>
    <col min="1032" max="1032" width="8.7109375" style="1575" customWidth="1"/>
    <col min="1033" max="1033" width="17.5703125" style="1575" customWidth="1"/>
    <col min="1034" max="1280" width="11.5703125" style="1575"/>
    <col min="1281" max="1281" width="5" style="1575" customWidth="1"/>
    <col min="1282" max="1282" width="42.85546875" style="1575" customWidth="1"/>
    <col min="1283" max="1283" width="8" style="1575" customWidth="1"/>
    <col min="1284" max="1284" width="18.85546875" style="1575" customWidth="1"/>
    <col min="1285" max="1285" width="20.28515625" style="1575" customWidth="1"/>
    <col min="1286" max="1286" width="39.42578125" style="1575" customWidth="1"/>
    <col min="1287" max="1287" width="17.85546875" style="1575" bestFit="1" customWidth="1"/>
    <col min="1288" max="1288" width="8.7109375" style="1575" customWidth="1"/>
    <col min="1289" max="1289" width="17.5703125" style="1575" customWidth="1"/>
    <col min="1290" max="1536" width="11.5703125" style="1575"/>
    <col min="1537" max="1537" width="5" style="1575" customWidth="1"/>
    <col min="1538" max="1538" width="42.85546875" style="1575" customWidth="1"/>
    <col min="1539" max="1539" width="8" style="1575" customWidth="1"/>
    <col min="1540" max="1540" width="18.85546875" style="1575" customWidth="1"/>
    <col min="1541" max="1541" width="20.28515625" style="1575" customWidth="1"/>
    <col min="1542" max="1542" width="39.42578125" style="1575" customWidth="1"/>
    <col min="1543" max="1543" width="17.85546875" style="1575" bestFit="1" customWidth="1"/>
    <col min="1544" max="1544" width="8.7109375" style="1575" customWidth="1"/>
    <col min="1545" max="1545" width="17.5703125" style="1575" customWidth="1"/>
    <col min="1546" max="1792" width="11.5703125" style="1575"/>
    <col min="1793" max="1793" width="5" style="1575" customWidth="1"/>
    <col min="1794" max="1794" width="42.85546875" style="1575" customWidth="1"/>
    <col min="1795" max="1795" width="8" style="1575" customWidth="1"/>
    <col min="1796" max="1796" width="18.85546875" style="1575" customWidth="1"/>
    <col min="1797" max="1797" width="20.28515625" style="1575" customWidth="1"/>
    <col min="1798" max="1798" width="39.42578125" style="1575" customWidth="1"/>
    <col min="1799" max="1799" width="17.85546875" style="1575" bestFit="1" customWidth="1"/>
    <col min="1800" max="1800" width="8.7109375" style="1575" customWidth="1"/>
    <col min="1801" max="1801" width="17.5703125" style="1575" customWidth="1"/>
    <col min="1802" max="2048" width="11.5703125" style="1575"/>
    <col min="2049" max="2049" width="5" style="1575" customWidth="1"/>
    <col min="2050" max="2050" width="42.85546875" style="1575" customWidth="1"/>
    <col min="2051" max="2051" width="8" style="1575" customWidth="1"/>
    <col min="2052" max="2052" width="18.85546875" style="1575" customWidth="1"/>
    <col min="2053" max="2053" width="20.28515625" style="1575" customWidth="1"/>
    <col min="2054" max="2054" width="39.42578125" style="1575" customWidth="1"/>
    <col min="2055" max="2055" width="17.85546875" style="1575" bestFit="1" customWidth="1"/>
    <col min="2056" max="2056" width="8.7109375" style="1575" customWidth="1"/>
    <col min="2057" max="2057" width="17.5703125" style="1575" customWidth="1"/>
    <col min="2058" max="2304" width="11.5703125" style="1575"/>
    <col min="2305" max="2305" width="5" style="1575" customWidth="1"/>
    <col min="2306" max="2306" width="42.85546875" style="1575" customWidth="1"/>
    <col min="2307" max="2307" width="8" style="1575" customWidth="1"/>
    <col min="2308" max="2308" width="18.85546875" style="1575" customWidth="1"/>
    <col min="2309" max="2309" width="20.28515625" style="1575" customWidth="1"/>
    <col min="2310" max="2310" width="39.42578125" style="1575" customWidth="1"/>
    <col min="2311" max="2311" width="17.85546875" style="1575" bestFit="1" customWidth="1"/>
    <col min="2312" max="2312" width="8.7109375" style="1575" customWidth="1"/>
    <col min="2313" max="2313" width="17.5703125" style="1575" customWidth="1"/>
    <col min="2314" max="2560" width="11.5703125" style="1575"/>
    <col min="2561" max="2561" width="5" style="1575" customWidth="1"/>
    <col min="2562" max="2562" width="42.85546875" style="1575" customWidth="1"/>
    <col min="2563" max="2563" width="8" style="1575" customWidth="1"/>
    <col min="2564" max="2564" width="18.85546875" style="1575" customWidth="1"/>
    <col min="2565" max="2565" width="20.28515625" style="1575" customWidth="1"/>
    <col min="2566" max="2566" width="39.42578125" style="1575" customWidth="1"/>
    <col min="2567" max="2567" width="17.85546875" style="1575" bestFit="1" customWidth="1"/>
    <col min="2568" max="2568" width="8.7109375" style="1575" customWidth="1"/>
    <col min="2569" max="2569" width="17.5703125" style="1575" customWidth="1"/>
    <col min="2570" max="2816" width="11.5703125" style="1575"/>
    <col min="2817" max="2817" width="5" style="1575" customWidth="1"/>
    <col min="2818" max="2818" width="42.85546875" style="1575" customWidth="1"/>
    <col min="2819" max="2819" width="8" style="1575" customWidth="1"/>
    <col min="2820" max="2820" width="18.85546875" style="1575" customWidth="1"/>
    <col min="2821" max="2821" width="20.28515625" style="1575" customWidth="1"/>
    <col min="2822" max="2822" width="39.42578125" style="1575" customWidth="1"/>
    <col min="2823" max="2823" width="17.85546875" style="1575" bestFit="1" customWidth="1"/>
    <col min="2824" max="2824" width="8.7109375" style="1575" customWidth="1"/>
    <col min="2825" max="2825" width="17.5703125" style="1575" customWidth="1"/>
    <col min="2826" max="3072" width="11.5703125" style="1575"/>
    <col min="3073" max="3073" width="5" style="1575" customWidth="1"/>
    <col min="3074" max="3074" width="42.85546875" style="1575" customWidth="1"/>
    <col min="3075" max="3075" width="8" style="1575" customWidth="1"/>
    <col min="3076" max="3076" width="18.85546875" style="1575" customWidth="1"/>
    <col min="3077" max="3077" width="20.28515625" style="1575" customWidth="1"/>
    <col min="3078" max="3078" width="39.42578125" style="1575" customWidth="1"/>
    <col min="3079" max="3079" width="17.85546875" style="1575" bestFit="1" customWidth="1"/>
    <col min="3080" max="3080" width="8.7109375" style="1575" customWidth="1"/>
    <col min="3081" max="3081" width="17.5703125" style="1575" customWidth="1"/>
    <col min="3082" max="3328" width="11.5703125" style="1575"/>
    <col min="3329" max="3329" width="5" style="1575" customWidth="1"/>
    <col min="3330" max="3330" width="42.85546875" style="1575" customWidth="1"/>
    <col min="3331" max="3331" width="8" style="1575" customWidth="1"/>
    <col min="3332" max="3332" width="18.85546875" style="1575" customWidth="1"/>
    <col min="3333" max="3333" width="20.28515625" style="1575" customWidth="1"/>
    <col min="3334" max="3334" width="39.42578125" style="1575" customWidth="1"/>
    <col min="3335" max="3335" width="17.85546875" style="1575" bestFit="1" customWidth="1"/>
    <col min="3336" max="3336" width="8.7109375" style="1575" customWidth="1"/>
    <col min="3337" max="3337" width="17.5703125" style="1575" customWidth="1"/>
    <col min="3338" max="3584" width="11.5703125" style="1575"/>
    <col min="3585" max="3585" width="5" style="1575" customWidth="1"/>
    <col min="3586" max="3586" width="42.85546875" style="1575" customWidth="1"/>
    <col min="3587" max="3587" width="8" style="1575" customWidth="1"/>
    <col min="3588" max="3588" width="18.85546875" style="1575" customWidth="1"/>
    <col min="3589" max="3589" width="20.28515625" style="1575" customWidth="1"/>
    <col min="3590" max="3590" width="39.42578125" style="1575" customWidth="1"/>
    <col min="3591" max="3591" width="17.85546875" style="1575" bestFit="1" customWidth="1"/>
    <col min="3592" max="3592" width="8.7109375" style="1575" customWidth="1"/>
    <col min="3593" max="3593" width="17.5703125" style="1575" customWidth="1"/>
    <col min="3594" max="3840" width="11.5703125" style="1575"/>
    <col min="3841" max="3841" width="5" style="1575" customWidth="1"/>
    <col min="3842" max="3842" width="42.85546875" style="1575" customWidth="1"/>
    <col min="3843" max="3843" width="8" style="1575" customWidth="1"/>
    <col min="3844" max="3844" width="18.85546875" style="1575" customWidth="1"/>
    <col min="3845" max="3845" width="20.28515625" style="1575" customWidth="1"/>
    <col min="3846" max="3846" width="39.42578125" style="1575" customWidth="1"/>
    <col min="3847" max="3847" width="17.85546875" style="1575" bestFit="1" customWidth="1"/>
    <col min="3848" max="3848" width="8.7109375" style="1575" customWidth="1"/>
    <col min="3849" max="3849" width="17.5703125" style="1575" customWidth="1"/>
    <col min="3850" max="4096" width="11.5703125" style="1575"/>
    <col min="4097" max="4097" width="5" style="1575" customWidth="1"/>
    <col min="4098" max="4098" width="42.85546875" style="1575" customWidth="1"/>
    <col min="4099" max="4099" width="8" style="1575" customWidth="1"/>
    <col min="4100" max="4100" width="18.85546875" style="1575" customWidth="1"/>
    <col min="4101" max="4101" width="20.28515625" style="1575" customWidth="1"/>
    <col min="4102" max="4102" width="39.42578125" style="1575" customWidth="1"/>
    <col min="4103" max="4103" width="17.85546875" style="1575" bestFit="1" customWidth="1"/>
    <col min="4104" max="4104" width="8.7109375" style="1575" customWidth="1"/>
    <col min="4105" max="4105" width="17.5703125" style="1575" customWidth="1"/>
    <col min="4106" max="4352" width="11.5703125" style="1575"/>
    <col min="4353" max="4353" width="5" style="1575" customWidth="1"/>
    <col min="4354" max="4354" width="42.85546875" style="1575" customWidth="1"/>
    <col min="4355" max="4355" width="8" style="1575" customWidth="1"/>
    <col min="4356" max="4356" width="18.85546875" style="1575" customWidth="1"/>
    <col min="4357" max="4357" width="20.28515625" style="1575" customWidth="1"/>
    <col min="4358" max="4358" width="39.42578125" style="1575" customWidth="1"/>
    <col min="4359" max="4359" width="17.85546875" style="1575" bestFit="1" customWidth="1"/>
    <col min="4360" max="4360" width="8.7109375" style="1575" customWidth="1"/>
    <col min="4361" max="4361" width="17.5703125" style="1575" customWidth="1"/>
    <col min="4362" max="4608" width="11.5703125" style="1575"/>
    <col min="4609" max="4609" width="5" style="1575" customWidth="1"/>
    <col min="4610" max="4610" width="42.85546875" style="1575" customWidth="1"/>
    <col min="4611" max="4611" width="8" style="1575" customWidth="1"/>
    <col min="4612" max="4612" width="18.85546875" style="1575" customWidth="1"/>
    <col min="4613" max="4613" width="20.28515625" style="1575" customWidth="1"/>
    <col min="4614" max="4614" width="39.42578125" style="1575" customWidth="1"/>
    <col min="4615" max="4615" width="17.85546875" style="1575" bestFit="1" customWidth="1"/>
    <col min="4616" max="4616" width="8.7109375" style="1575" customWidth="1"/>
    <col min="4617" max="4617" width="17.5703125" style="1575" customWidth="1"/>
    <col min="4618" max="4864" width="11.5703125" style="1575"/>
    <col min="4865" max="4865" width="5" style="1575" customWidth="1"/>
    <col min="4866" max="4866" width="42.85546875" style="1575" customWidth="1"/>
    <col min="4867" max="4867" width="8" style="1575" customWidth="1"/>
    <col min="4868" max="4868" width="18.85546875" style="1575" customWidth="1"/>
    <col min="4869" max="4869" width="20.28515625" style="1575" customWidth="1"/>
    <col min="4870" max="4870" width="39.42578125" style="1575" customWidth="1"/>
    <col min="4871" max="4871" width="17.85546875" style="1575" bestFit="1" customWidth="1"/>
    <col min="4872" max="4872" width="8.7109375" style="1575" customWidth="1"/>
    <col min="4873" max="4873" width="17.5703125" style="1575" customWidth="1"/>
    <col min="4874" max="5120" width="11.5703125" style="1575"/>
    <col min="5121" max="5121" width="5" style="1575" customWidth="1"/>
    <col min="5122" max="5122" width="42.85546875" style="1575" customWidth="1"/>
    <col min="5123" max="5123" width="8" style="1575" customWidth="1"/>
    <col min="5124" max="5124" width="18.85546875" style="1575" customWidth="1"/>
    <col min="5125" max="5125" width="20.28515625" style="1575" customWidth="1"/>
    <col min="5126" max="5126" width="39.42578125" style="1575" customWidth="1"/>
    <col min="5127" max="5127" width="17.85546875" style="1575" bestFit="1" customWidth="1"/>
    <col min="5128" max="5128" width="8.7109375" style="1575" customWidth="1"/>
    <col min="5129" max="5129" width="17.5703125" style="1575" customWidth="1"/>
    <col min="5130" max="5376" width="11.5703125" style="1575"/>
    <col min="5377" max="5377" width="5" style="1575" customWidth="1"/>
    <col min="5378" max="5378" width="42.85546875" style="1575" customWidth="1"/>
    <col min="5379" max="5379" width="8" style="1575" customWidth="1"/>
    <col min="5380" max="5380" width="18.85546875" style="1575" customWidth="1"/>
    <col min="5381" max="5381" width="20.28515625" style="1575" customWidth="1"/>
    <col min="5382" max="5382" width="39.42578125" style="1575" customWidth="1"/>
    <col min="5383" max="5383" width="17.85546875" style="1575" bestFit="1" customWidth="1"/>
    <col min="5384" max="5384" width="8.7109375" style="1575" customWidth="1"/>
    <col min="5385" max="5385" width="17.5703125" style="1575" customWidth="1"/>
    <col min="5386" max="5632" width="11.5703125" style="1575"/>
    <col min="5633" max="5633" width="5" style="1575" customWidth="1"/>
    <col min="5634" max="5634" width="42.85546875" style="1575" customWidth="1"/>
    <col min="5635" max="5635" width="8" style="1575" customWidth="1"/>
    <col min="5636" max="5636" width="18.85546875" style="1575" customWidth="1"/>
    <col min="5637" max="5637" width="20.28515625" style="1575" customWidth="1"/>
    <col min="5638" max="5638" width="39.42578125" style="1575" customWidth="1"/>
    <col min="5639" max="5639" width="17.85546875" style="1575" bestFit="1" customWidth="1"/>
    <col min="5640" max="5640" width="8.7109375" style="1575" customWidth="1"/>
    <col min="5641" max="5641" width="17.5703125" style="1575" customWidth="1"/>
    <col min="5642" max="5888" width="11.5703125" style="1575"/>
    <col min="5889" max="5889" width="5" style="1575" customWidth="1"/>
    <col min="5890" max="5890" width="42.85546875" style="1575" customWidth="1"/>
    <col min="5891" max="5891" width="8" style="1575" customWidth="1"/>
    <col min="5892" max="5892" width="18.85546875" style="1575" customWidth="1"/>
    <col min="5893" max="5893" width="20.28515625" style="1575" customWidth="1"/>
    <col min="5894" max="5894" width="39.42578125" style="1575" customWidth="1"/>
    <col min="5895" max="5895" width="17.85546875" style="1575" bestFit="1" customWidth="1"/>
    <col min="5896" max="5896" width="8.7109375" style="1575" customWidth="1"/>
    <col min="5897" max="5897" width="17.5703125" style="1575" customWidth="1"/>
    <col min="5898" max="6144" width="11.5703125" style="1575"/>
    <col min="6145" max="6145" width="5" style="1575" customWidth="1"/>
    <col min="6146" max="6146" width="42.85546875" style="1575" customWidth="1"/>
    <col min="6147" max="6147" width="8" style="1575" customWidth="1"/>
    <col min="6148" max="6148" width="18.85546875" style="1575" customWidth="1"/>
    <col min="6149" max="6149" width="20.28515625" style="1575" customWidth="1"/>
    <col min="6150" max="6150" width="39.42578125" style="1575" customWidth="1"/>
    <col min="6151" max="6151" width="17.85546875" style="1575" bestFit="1" customWidth="1"/>
    <col min="6152" max="6152" width="8.7109375" style="1575" customWidth="1"/>
    <col min="6153" max="6153" width="17.5703125" style="1575" customWidth="1"/>
    <col min="6154" max="6400" width="11.5703125" style="1575"/>
    <col min="6401" max="6401" width="5" style="1575" customWidth="1"/>
    <col min="6402" max="6402" width="42.85546875" style="1575" customWidth="1"/>
    <col min="6403" max="6403" width="8" style="1575" customWidth="1"/>
    <col min="6404" max="6404" width="18.85546875" style="1575" customWidth="1"/>
    <col min="6405" max="6405" width="20.28515625" style="1575" customWidth="1"/>
    <col min="6406" max="6406" width="39.42578125" style="1575" customWidth="1"/>
    <col min="6407" max="6407" width="17.85546875" style="1575" bestFit="1" customWidth="1"/>
    <col min="6408" max="6408" width="8.7109375" style="1575" customWidth="1"/>
    <col min="6409" max="6409" width="17.5703125" style="1575" customWidth="1"/>
    <col min="6410" max="6656" width="11.5703125" style="1575"/>
    <col min="6657" max="6657" width="5" style="1575" customWidth="1"/>
    <col min="6658" max="6658" width="42.85546875" style="1575" customWidth="1"/>
    <col min="6659" max="6659" width="8" style="1575" customWidth="1"/>
    <col min="6660" max="6660" width="18.85546875" style="1575" customWidth="1"/>
    <col min="6661" max="6661" width="20.28515625" style="1575" customWidth="1"/>
    <col min="6662" max="6662" width="39.42578125" style="1575" customWidth="1"/>
    <col min="6663" max="6663" width="17.85546875" style="1575" bestFit="1" customWidth="1"/>
    <col min="6664" max="6664" width="8.7109375" style="1575" customWidth="1"/>
    <col min="6665" max="6665" width="17.5703125" style="1575" customWidth="1"/>
    <col min="6666" max="6912" width="11.5703125" style="1575"/>
    <col min="6913" max="6913" width="5" style="1575" customWidth="1"/>
    <col min="6914" max="6914" width="42.85546875" style="1575" customWidth="1"/>
    <col min="6915" max="6915" width="8" style="1575" customWidth="1"/>
    <col min="6916" max="6916" width="18.85546875" style="1575" customWidth="1"/>
    <col min="6917" max="6917" width="20.28515625" style="1575" customWidth="1"/>
    <col min="6918" max="6918" width="39.42578125" style="1575" customWidth="1"/>
    <col min="6919" max="6919" width="17.85546875" style="1575" bestFit="1" customWidth="1"/>
    <col min="6920" max="6920" width="8.7109375" style="1575" customWidth="1"/>
    <col min="6921" max="6921" width="17.5703125" style="1575" customWidth="1"/>
    <col min="6922" max="7168" width="11.5703125" style="1575"/>
    <col min="7169" max="7169" width="5" style="1575" customWidth="1"/>
    <col min="7170" max="7170" width="42.85546875" style="1575" customWidth="1"/>
    <col min="7171" max="7171" width="8" style="1575" customWidth="1"/>
    <col min="7172" max="7172" width="18.85546875" style="1575" customWidth="1"/>
    <col min="7173" max="7173" width="20.28515625" style="1575" customWidth="1"/>
    <col min="7174" max="7174" width="39.42578125" style="1575" customWidth="1"/>
    <col min="7175" max="7175" width="17.85546875" style="1575" bestFit="1" customWidth="1"/>
    <col min="7176" max="7176" width="8.7109375" style="1575" customWidth="1"/>
    <col min="7177" max="7177" width="17.5703125" style="1575" customWidth="1"/>
    <col min="7178" max="7424" width="11.5703125" style="1575"/>
    <col min="7425" max="7425" width="5" style="1575" customWidth="1"/>
    <col min="7426" max="7426" width="42.85546875" style="1575" customWidth="1"/>
    <col min="7427" max="7427" width="8" style="1575" customWidth="1"/>
    <col min="7428" max="7428" width="18.85546875" style="1575" customWidth="1"/>
    <col min="7429" max="7429" width="20.28515625" style="1575" customWidth="1"/>
    <col min="7430" max="7430" width="39.42578125" style="1575" customWidth="1"/>
    <col min="7431" max="7431" width="17.85546875" style="1575" bestFit="1" customWidth="1"/>
    <col min="7432" max="7432" width="8.7109375" style="1575" customWidth="1"/>
    <col min="7433" max="7433" width="17.5703125" style="1575" customWidth="1"/>
    <col min="7434" max="7680" width="11.5703125" style="1575"/>
    <col min="7681" max="7681" width="5" style="1575" customWidth="1"/>
    <col min="7682" max="7682" width="42.85546875" style="1575" customWidth="1"/>
    <col min="7683" max="7683" width="8" style="1575" customWidth="1"/>
    <col min="7684" max="7684" width="18.85546875" style="1575" customWidth="1"/>
    <col min="7685" max="7685" width="20.28515625" style="1575" customWidth="1"/>
    <col min="7686" max="7686" width="39.42578125" style="1575" customWidth="1"/>
    <col min="7687" max="7687" width="17.85546875" style="1575" bestFit="1" customWidth="1"/>
    <col min="7688" max="7688" width="8.7109375" style="1575" customWidth="1"/>
    <col min="7689" max="7689" width="17.5703125" style="1575" customWidth="1"/>
    <col min="7690" max="7936" width="11.5703125" style="1575"/>
    <col min="7937" max="7937" width="5" style="1575" customWidth="1"/>
    <col min="7938" max="7938" width="42.85546875" style="1575" customWidth="1"/>
    <col min="7939" max="7939" width="8" style="1575" customWidth="1"/>
    <col min="7940" max="7940" width="18.85546875" style="1575" customWidth="1"/>
    <col min="7941" max="7941" width="20.28515625" style="1575" customWidth="1"/>
    <col min="7942" max="7942" width="39.42578125" style="1575" customWidth="1"/>
    <col min="7943" max="7943" width="17.85546875" style="1575" bestFit="1" customWidth="1"/>
    <col min="7944" max="7944" width="8.7109375" style="1575" customWidth="1"/>
    <col min="7945" max="7945" width="17.5703125" style="1575" customWidth="1"/>
    <col min="7946" max="8192" width="11.5703125" style="1575"/>
    <col min="8193" max="8193" width="5" style="1575" customWidth="1"/>
    <col min="8194" max="8194" width="42.85546875" style="1575" customWidth="1"/>
    <col min="8195" max="8195" width="8" style="1575" customWidth="1"/>
    <col min="8196" max="8196" width="18.85546875" style="1575" customWidth="1"/>
    <col min="8197" max="8197" width="20.28515625" style="1575" customWidth="1"/>
    <col min="8198" max="8198" width="39.42578125" style="1575" customWidth="1"/>
    <col min="8199" max="8199" width="17.85546875" style="1575" bestFit="1" customWidth="1"/>
    <col min="8200" max="8200" width="8.7109375" style="1575" customWidth="1"/>
    <col min="8201" max="8201" width="17.5703125" style="1575" customWidth="1"/>
    <col min="8202" max="8448" width="11.5703125" style="1575"/>
    <col min="8449" max="8449" width="5" style="1575" customWidth="1"/>
    <col min="8450" max="8450" width="42.85546875" style="1575" customWidth="1"/>
    <col min="8451" max="8451" width="8" style="1575" customWidth="1"/>
    <col min="8452" max="8452" width="18.85546875" style="1575" customWidth="1"/>
    <col min="8453" max="8453" width="20.28515625" style="1575" customWidth="1"/>
    <col min="8454" max="8454" width="39.42578125" style="1575" customWidth="1"/>
    <col min="8455" max="8455" width="17.85546875" style="1575" bestFit="1" customWidth="1"/>
    <col min="8456" max="8456" width="8.7109375" style="1575" customWidth="1"/>
    <col min="8457" max="8457" width="17.5703125" style="1575" customWidth="1"/>
    <col min="8458" max="8704" width="11.5703125" style="1575"/>
    <col min="8705" max="8705" width="5" style="1575" customWidth="1"/>
    <col min="8706" max="8706" width="42.85546875" style="1575" customWidth="1"/>
    <col min="8707" max="8707" width="8" style="1575" customWidth="1"/>
    <col min="8708" max="8708" width="18.85546875" style="1575" customWidth="1"/>
    <col min="8709" max="8709" width="20.28515625" style="1575" customWidth="1"/>
    <col min="8710" max="8710" width="39.42578125" style="1575" customWidth="1"/>
    <col min="8711" max="8711" width="17.85546875" style="1575" bestFit="1" customWidth="1"/>
    <col min="8712" max="8712" width="8.7109375" style="1575" customWidth="1"/>
    <col min="8713" max="8713" width="17.5703125" style="1575" customWidth="1"/>
    <col min="8714" max="8960" width="11.5703125" style="1575"/>
    <col min="8961" max="8961" width="5" style="1575" customWidth="1"/>
    <col min="8962" max="8962" width="42.85546875" style="1575" customWidth="1"/>
    <col min="8963" max="8963" width="8" style="1575" customWidth="1"/>
    <col min="8964" max="8964" width="18.85546875" style="1575" customWidth="1"/>
    <col min="8965" max="8965" width="20.28515625" style="1575" customWidth="1"/>
    <col min="8966" max="8966" width="39.42578125" style="1575" customWidth="1"/>
    <col min="8967" max="8967" width="17.85546875" style="1575" bestFit="1" customWidth="1"/>
    <col min="8968" max="8968" width="8.7109375" style="1575" customWidth="1"/>
    <col min="8969" max="8969" width="17.5703125" style="1575" customWidth="1"/>
    <col min="8970" max="9216" width="11.5703125" style="1575"/>
    <col min="9217" max="9217" width="5" style="1575" customWidth="1"/>
    <col min="9218" max="9218" width="42.85546875" style="1575" customWidth="1"/>
    <col min="9219" max="9219" width="8" style="1575" customWidth="1"/>
    <col min="9220" max="9220" width="18.85546875" style="1575" customWidth="1"/>
    <col min="9221" max="9221" width="20.28515625" style="1575" customWidth="1"/>
    <col min="9222" max="9222" width="39.42578125" style="1575" customWidth="1"/>
    <col min="9223" max="9223" width="17.85546875" style="1575" bestFit="1" customWidth="1"/>
    <col min="9224" max="9224" width="8.7109375" style="1575" customWidth="1"/>
    <col min="9225" max="9225" width="17.5703125" style="1575" customWidth="1"/>
    <col min="9226" max="9472" width="11.5703125" style="1575"/>
    <col min="9473" max="9473" width="5" style="1575" customWidth="1"/>
    <col min="9474" max="9474" width="42.85546875" style="1575" customWidth="1"/>
    <col min="9475" max="9475" width="8" style="1575" customWidth="1"/>
    <col min="9476" max="9476" width="18.85546875" style="1575" customWidth="1"/>
    <col min="9477" max="9477" width="20.28515625" style="1575" customWidth="1"/>
    <col min="9478" max="9478" width="39.42578125" style="1575" customWidth="1"/>
    <col min="9479" max="9479" width="17.85546875" style="1575" bestFit="1" customWidth="1"/>
    <col min="9480" max="9480" width="8.7109375" style="1575" customWidth="1"/>
    <col min="9481" max="9481" width="17.5703125" style="1575" customWidth="1"/>
    <col min="9482" max="9728" width="11.5703125" style="1575"/>
    <col min="9729" max="9729" width="5" style="1575" customWidth="1"/>
    <col min="9730" max="9730" width="42.85546875" style="1575" customWidth="1"/>
    <col min="9731" max="9731" width="8" style="1575" customWidth="1"/>
    <col min="9732" max="9732" width="18.85546875" style="1575" customWidth="1"/>
    <col min="9733" max="9733" width="20.28515625" style="1575" customWidth="1"/>
    <col min="9734" max="9734" width="39.42578125" style="1575" customWidth="1"/>
    <col min="9735" max="9735" width="17.85546875" style="1575" bestFit="1" customWidth="1"/>
    <col min="9736" max="9736" width="8.7109375" style="1575" customWidth="1"/>
    <col min="9737" max="9737" width="17.5703125" style="1575" customWidth="1"/>
    <col min="9738" max="9984" width="11.5703125" style="1575"/>
    <col min="9985" max="9985" width="5" style="1575" customWidth="1"/>
    <col min="9986" max="9986" width="42.85546875" style="1575" customWidth="1"/>
    <col min="9987" max="9987" width="8" style="1575" customWidth="1"/>
    <col min="9988" max="9988" width="18.85546875" style="1575" customWidth="1"/>
    <col min="9989" max="9989" width="20.28515625" style="1575" customWidth="1"/>
    <col min="9990" max="9990" width="39.42578125" style="1575" customWidth="1"/>
    <col min="9991" max="9991" width="17.85546875" style="1575" bestFit="1" customWidth="1"/>
    <col min="9992" max="9992" width="8.7109375" style="1575" customWidth="1"/>
    <col min="9993" max="9993" width="17.5703125" style="1575" customWidth="1"/>
    <col min="9994" max="10240" width="11.5703125" style="1575"/>
    <col min="10241" max="10241" width="5" style="1575" customWidth="1"/>
    <col min="10242" max="10242" width="42.85546875" style="1575" customWidth="1"/>
    <col min="10243" max="10243" width="8" style="1575" customWidth="1"/>
    <col min="10244" max="10244" width="18.85546875" style="1575" customWidth="1"/>
    <col min="10245" max="10245" width="20.28515625" style="1575" customWidth="1"/>
    <col min="10246" max="10246" width="39.42578125" style="1575" customWidth="1"/>
    <col min="10247" max="10247" width="17.85546875" style="1575" bestFit="1" customWidth="1"/>
    <col min="10248" max="10248" width="8.7109375" style="1575" customWidth="1"/>
    <col min="10249" max="10249" width="17.5703125" style="1575" customWidth="1"/>
    <col min="10250" max="10496" width="11.5703125" style="1575"/>
    <col min="10497" max="10497" width="5" style="1575" customWidth="1"/>
    <col min="10498" max="10498" width="42.85546875" style="1575" customWidth="1"/>
    <col min="10499" max="10499" width="8" style="1575" customWidth="1"/>
    <col min="10500" max="10500" width="18.85546875" style="1575" customWidth="1"/>
    <col min="10501" max="10501" width="20.28515625" style="1575" customWidth="1"/>
    <col min="10502" max="10502" width="39.42578125" style="1575" customWidth="1"/>
    <col min="10503" max="10503" width="17.85546875" style="1575" bestFit="1" customWidth="1"/>
    <col min="10504" max="10504" width="8.7109375" style="1575" customWidth="1"/>
    <col min="10505" max="10505" width="17.5703125" style="1575" customWidth="1"/>
    <col min="10506" max="10752" width="11.5703125" style="1575"/>
    <col min="10753" max="10753" width="5" style="1575" customWidth="1"/>
    <col min="10754" max="10754" width="42.85546875" style="1575" customWidth="1"/>
    <col min="10755" max="10755" width="8" style="1575" customWidth="1"/>
    <col min="10756" max="10756" width="18.85546875" style="1575" customWidth="1"/>
    <col min="10757" max="10757" width="20.28515625" style="1575" customWidth="1"/>
    <col min="10758" max="10758" width="39.42578125" style="1575" customWidth="1"/>
    <col min="10759" max="10759" width="17.85546875" style="1575" bestFit="1" customWidth="1"/>
    <col min="10760" max="10760" width="8.7109375" style="1575" customWidth="1"/>
    <col min="10761" max="10761" width="17.5703125" style="1575" customWidth="1"/>
    <col min="10762" max="11008" width="11.5703125" style="1575"/>
    <col min="11009" max="11009" width="5" style="1575" customWidth="1"/>
    <col min="11010" max="11010" width="42.85546875" style="1575" customWidth="1"/>
    <col min="11011" max="11011" width="8" style="1575" customWidth="1"/>
    <col min="11012" max="11012" width="18.85546875" style="1575" customWidth="1"/>
    <col min="11013" max="11013" width="20.28515625" style="1575" customWidth="1"/>
    <col min="11014" max="11014" width="39.42578125" style="1575" customWidth="1"/>
    <col min="11015" max="11015" width="17.85546875" style="1575" bestFit="1" customWidth="1"/>
    <col min="11016" max="11016" width="8.7109375" style="1575" customWidth="1"/>
    <col min="11017" max="11017" width="17.5703125" style="1575" customWidth="1"/>
    <col min="11018" max="11264" width="11.5703125" style="1575"/>
    <col min="11265" max="11265" width="5" style="1575" customWidth="1"/>
    <col min="11266" max="11266" width="42.85546875" style="1575" customWidth="1"/>
    <col min="11267" max="11267" width="8" style="1575" customWidth="1"/>
    <col min="11268" max="11268" width="18.85546875" style="1575" customWidth="1"/>
    <col min="11269" max="11269" width="20.28515625" style="1575" customWidth="1"/>
    <col min="11270" max="11270" width="39.42578125" style="1575" customWidth="1"/>
    <col min="11271" max="11271" width="17.85546875" style="1575" bestFit="1" customWidth="1"/>
    <col min="11272" max="11272" width="8.7109375" style="1575" customWidth="1"/>
    <col min="11273" max="11273" width="17.5703125" style="1575" customWidth="1"/>
    <col min="11274" max="11520" width="11.5703125" style="1575"/>
    <col min="11521" max="11521" width="5" style="1575" customWidth="1"/>
    <col min="11522" max="11522" width="42.85546875" style="1575" customWidth="1"/>
    <col min="11523" max="11523" width="8" style="1575" customWidth="1"/>
    <col min="11524" max="11524" width="18.85546875" style="1575" customWidth="1"/>
    <col min="11525" max="11525" width="20.28515625" style="1575" customWidth="1"/>
    <col min="11526" max="11526" width="39.42578125" style="1575" customWidth="1"/>
    <col min="11527" max="11527" width="17.85546875" style="1575" bestFit="1" customWidth="1"/>
    <col min="11528" max="11528" width="8.7109375" style="1575" customWidth="1"/>
    <col min="11529" max="11529" width="17.5703125" style="1575" customWidth="1"/>
    <col min="11530" max="11776" width="11.5703125" style="1575"/>
    <col min="11777" max="11777" width="5" style="1575" customWidth="1"/>
    <col min="11778" max="11778" width="42.85546875" style="1575" customWidth="1"/>
    <col min="11779" max="11779" width="8" style="1575" customWidth="1"/>
    <col min="11780" max="11780" width="18.85546875" style="1575" customWidth="1"/>
    <col min="11781" max="11781" width="20.28515625" style="1575" customWidth="1"/>
    <col min="11782" max="11782" width="39.42578125" style="1575" customWidth="1"/>
    <col min="11783" max="11783" width="17.85546875" style="1575" bestFit="1" customWidth="1"/>
    <col min="11784" max="11784" width="8.7109375" style="1575" customWidth="1"/>
    <col min="11785" max="11785" width="17.5703125" style="1575" customWidth="1"/>
    <col min="11786" max="12032" width="11.5703125" style="1575"/>
    <col min="12033" max="12033" width="5" style="1575" customWidth="1"/>
    <col min="12034" max="12034" width="42.85546875" style="1575" customWidth="1"/>
    <col min="12035" max="12035" width="8" style="1575" customWidth="1"/>
    <col min="12036" max="12036" width="18.85546875" style="1575" customWidth="1"/>
    <col min="12037" max="12037" width="20.28515625" style="1575" customWidth="1"/>
    <col min="12038" max="12038" width="39.42578125" style="1575" customWidth="1"/>
    <col min="12039" max="12039" width="17.85546875" style="1575" bestFit="1" customWidth="1"/>
    <col min="12040" max="12040" width="8.7109375" style="1575" customWidth="1"/>
    <col min="12041" max="12041" width="17.5703125" style="1575" customWidth="1"/>
    <col min="12042" max="12288" width="11.5703125" style="1575"/>
    <col min="12289" max="12289" width="5" style="1575" customWidth="1"/>
    <col min="12290" max="12290" width="42.85546875" style="1575" customWidth="1"/>
    <col min="12291" max="12291" width="8" style="1575" customWidth="1"/>
    <col min="12292" max="12292" width="18.85546875" style="1575" customWidth="1"/>
    <col min="12293" max="12293" width="20.28515625" style="1575" customWidth="1"/>
    <col min="12294" max="12294" width="39.42578125" style="1575" customWidth="1"/>
    <col min="12295" max="12295" width="17.85546875" style="1575" bestFit="1" customWidth="1"/>
    <col min="12296" max="12296" width="8.7109375" style="1575" customWidth="1"/>
    <col min="12297" max="12297" width="17.5703125" style="1575" customWidth="1"/>
    <col min="12298" max="12544" width="11.5703125" style="1575"/>
    <col min="12545" max="12545" width="5" style="1575" customWidth="1"/>
    <col min="12546" max="12546" width="42.85546875" style="1575" customWidth="1"/>
    <col min="12547" max="12547" width="8" style="1575" customWidth="1"/>
    <col min="12548" max="12548" width="18.85546875" style="1575" customWidth="1"/>
    <col min="12549" max="12549" width="20.28515625" style="1575" customWidth="1"/>
    <col min="12550" max="12550" width="39.42578125" style="1575" customWidth="1"/>
    <col min="12551" max="12551" width="17.85546875" style="1575" bestFit="1" customWidth="1"/>
    <col min="12552" max="12552" width="8.7109375" style="1575" customWidth="1"/>
    <col min="12553" max="12553" width="17.5703125" style="1575" customWidth="1"/>
    <col min="12554" max="12800" width="11.5703125" style="1575"/>
    <col min="12801" max="12801" width="5" style="1575" customWidth="1"/>
    <col min="12802" max="12802" width="42.85546875" style="1575" customWidth="1"/>
    <col min="12803" max="12803" width="8" style="1575" customWidth="1"/>
    <col min="12804" max="12804" width="18.85546875" style="1575" customWidth="1"/>
    <col min="12805" max="12805" width="20.28515625" style="1575" customWidth="1"/>
    <col min="12806" max="12806" width="39.42578125" style="1575" customWidth="1"/>
    <col min="12807" max="12807" width="17.85546875" style="1575" bestFit="1" customWidth="1"/>
    <col min="12808" max="12808" width="8.7109375" style="1575" customWidth="1"/>
    <col min="12809" max="12809" width="17.5703125" style="1575" customWidth="1"/>
    <col min="12810" max="13056" width="11.5703125" style="1575"/>
    <col min="13057" max="13057" width="5" style="1575" customWidth="1"/>
    <col min="13058" max="13058" width="42.85546875" style="1575" customWidth="1"/>
    <col min="13059" max="13059" width="8" style="1575" customWidth="1"/>
    <col min="13060" max="13060" width="18.85546875" style="1575" customWidth="1"/>
    <col min="13061" max="13061" width="20.28515625" style="1575" customWidth="1"/>
    <col min="13062" max="13062" width="39.42578125" style="1575" customWidth="1"/>
    <col min="13063" max="13063" width="17.85546875" style="1575" bestFit="1" customWidth="1"/>
    <col min="13064" max="13064" width="8.7109375" style="1575" customWidth="1"/>
    <col min="13065" max="13065" width="17.5703125" style="1575" customWidth="1"/>
    <col min="13066" max="13312" width="11.5703125" style="1575"/>
    <col min="13313" max="13313" width="5" style="1575" customWidth="1"/>
    <col min="13314" max="13314" width="42.85546875" style="1575" customWidth="1"/>
    <col min="13315" max="13315" width="8" style="1575" customWidth="1"/>
    <col min="13316" max="13316" width="18.85546875" style="1575" customWidth="1"/>
    <col min="13317" max="13317" width="20.28515625" style="1575" customWidth="1"/>
    <col min="13318" max="13318" width="39.42578125" style="1575" customWidth="1"/>
    <col min="13319" max="13319" width="17.85546875" style="1575" bestFit="1" customWidth="1"/>
    <col min="13320" max="13320" width="8.7109375" style="1575" customWidth="1"/>
    <col min="13321" max="13321" width="17.5703125" style="1575" customWidth="1"/>
    <col min="13322" max="13568" width="11.5703125" style="1575"/>
    <col min="13569" max="13569" width="5" style="1575" customWidth="1"/>
    <col min="13570" max="13570" width="42.85546875" style="1575" customWidth="1"/>
    <col min="13571" max="13571" width="8" style="1575" customWidth="1"/>
    <col min="13572" max="13572" width="18.85546875" style="1575" customWidth="1"/>
    <col min="13573" max="13573" width="20.28515625" style="1575" customWidth="1"/>
    <col min="13574" max="13574" width="39.42578125" style="1575" customWidth="1"/>
    <col min="13575" max="13575" width="17.85546875" style="1575" bestFit="1" customWidth="1"/>
    <col min="13576" max="13576" width="8.7109375" style="1575" customWidth="1"/>
    <col min="13577" max="13577" width="17.5703125" style="1575" customWidth="1"/>
    <col min="13578" max="13824" width="11.5703125" style="1575"/>
    <col min="13825" max="13825" width="5" style="1575" customWidth="1"/>
    <col min="13826" max="13826" width="42.85546875" style="1575" customWidth="1"/>
    <col min="13827" max="13827" width="8" style="1575" customWidth="1"/>
    <col min="13828" max="13828" width="18.85546875" style="1575" customWidth="1"/>
    <col min="13829" max="13829" width="20.28515625" style="1575" customWidth="1"/>
    <col min="13830" max="13830" width="39.42578125" style="1575" customWidth="1"/>
    <col min="13831" max="13831" width="17.85546875" style="1575" bestFit="1" customWidth="1"/>
    <col min="13832" max="13832" width="8.7109375" style="1575" customWidth="1"/>
    <col min="13833" max="13833" width="17.5703125" style="1575" customWidth="1"/>
    <col min="13834" max="14080" width="11.5703125" style="1575"/>
    <col min="14081" max="14081" width="5" style="1575" customWidth="1"/>
    <col min="14082" max="14082" width="42.85546875" style="1575" customWidth="1"/>
    <col min="14083" max="14083" width="8" style="1575" customWidth="1"/>
    <col min="14084" max="14084" width="18.85546875" style="1575" customWidth="1"/>
    <col min="14085" max="14085" width="20.28515625" style="1575" customWidth="1"/>
    <col min="14086" max="14086" width="39.42578125" style="1575" customWidth="1"/>
    <col min="14087" max="14087" width="17.85546875" style="1575" bestFit="1" customWidth="1"/>
    <col min="14088" max="14088" width="8.7109375" style="1575" customWidth="1"/>
    <col min="14089" max="14089" width="17.5703125" style="1575" customWidth="1"/>
    <col min="14090" max="14336" width="11.5703125" style="1575"/>
    <col min="14337" max="14337" width="5" style="1575" customWidth="1"/>
    <col min="14338" max="14338" width="42.85546875" style="1575" customWidth="1"/>
    <col min="14339" max="14339" width="8" style="1575" customWidth="1"/>
    <col min="14340" max="14340" width="18.85546875" style="1575" customWidth="1"/>
    <col min="14341" max="14341" width="20.28515625" style="1575" customWidth="1"/>
    <col min="14342" max="14342" width="39.42578125" style="1575" customWidth="1"/>
    <col min="14343" max="14343" width="17.85546875" style="1575" bestFit="1" customWidth="1"/>
    <col min="14344" max="14344" width="8.7109375" style="1575" customWidth="1"/>
    <col min="14345" max="14345" width="17.5703125" style="1575" customWidth="1"/>
    <col min="14346" max="14592" width="11.5703125" style="1575"/>
    <col min="14593" max="14593" width="5" style="1575" customWidth="1"/>
    <col min="14594" max="14594" width="42.85546875" style="1575" customWidth="1"/>
    <col min="14595" max="14595" width="8" style="1575" customWidth="1"/>
    <col min="14596" max="14596" width="18.85546875" style="1575" customWidth="1"/>
    <col min="14597" max="14597" width="20.28515625" style="1575" customWidth="1"/>
    <col min="14598" max="14598" width="39.42578125" style="1575" customWidth="1"/>
    <col min="14599" max="14599" width="17.85546875" style="1575" bestFit="1" customWidth="1"/>
    <col min="14600" max="14600" width="8.7109375" style="1575" customWidth="1"/>
    <col min="14601" max="14601" width="17.5703125" style="1575" customWidth="1"/>
    <col min="14602" max="14848" width="11.5703125" style="1575"/>
    <col min="14849" max="14849" width="5" style="1575" customWidth="1"/>
    <col min="14850" max="14850" width="42.85546875" style="1575" customWidth="1"/>
    <col min="14851" max="14851" width="8" style="1575" customWidth="1"/>
    <col min="14852" max="14852" width="18.85546875" style="1575" customWidth="1"/>
    <col min="14853" max="14853" width="20.28515625" style="1575" customWidth="1"/>
    <col min="14854" max="14854" width="39.42578125" style="1575" customWidth="1"/>
    <col min="14855" max="14855" width="17.85546875" style="1575" bestFit="1" customWidth="1"/>
    <col min="14856" max="14856" width="8.7109375" style="1575" customWidth="1"/>
    <col min="14857" max="14857" width="17.5703125" style="1575" customWidth="1"/>
    <col min="14858" max="15104" width="11.5703125" style="1575"/>
    <col min="15105" max="15105" width="5" style="1575" customWidth="1"/>
    <col min="15106" max="15106" width="42.85546875" style="1575" customWidth="1"/>
    <col min="15107" max="15107" width="8" style="1575" customWidth="1"/>
    <col min="15108" max="15108" width="18.85546875" style="1575" customWidth="1"/>
    <col min="15109" max="15109" width="20.28515625" style="1575" customWidth="1"/>
    <col min="15110" max="15110" width="39.42578125" style="1575" customWidth="1"/>
    <col min="15111" max="15111" width="17.85546875" style="1575" bestFit="1" customWidth="1"/>
    <col min="15112" max="15112" width="8.7109375" style="1575" customWidth="1"/>
    <col min="15113" max="15113" width="17.5703125" style="1575" customWidth="1"/>
    <col min="15114" max="15360" width="11.5703125" style="1575"/>
    <col min="15361" max="15361" width="5" style="1575" customWidth="1"/>
    <col min="15362" max="15362" width="42.85546875" style="1575" customWidth="1"/>
    <col min="15363" max="15363" width="8" style="1575" customWidth="1"/>
    <col min="15364" max="15364" width="18.85546875" style="1575" customWidth="1"/>
    <col min="15365" max="15365" width="20.28515625" style="1575" customWidth="1"/>
    <col min="15366" max="15366" width="39.42578125" style="1575" customWidth="1"/>
    <col min="15367" max="15367" width="17.85546875" style="1575" bestFit="1" customWidth="1"/>
    <col min="15368" max="15368" width="8.7109375" style="1575" customWidth="1"/>
    <col min="15369" max="15369" width="17.5703125" style="1575" customWidth="1"/>
    <col min="15370" max="15616" width="11.5703125" style="1575"/>
    <col min="15617" max="15617" width="5" style="1575" customWidth="1"/>
    <col min="15618" max="15618" width="42.85546875" style="1575" customWidth="1"/>
    <col min="15619" max="15619" width="8" style="1575" customWidth="1"/>
    <col min="15620" max="15620" width="18.85546875" style="1575" customWidth="1"/>
    <col min="15621" max="15621" width="20.28515625" style="1575" customWidth="1"/>
    <col min="15622" max="15622" width="39.42578125" style="1575" customWidth="1"/>
    <col min="15623" max="15623" width="17.85546875" style="1575" bestFit="1" customWidth="1"/>
    <col min="15624" max="15624" width="8.7109375" style="1575" customWidth="1"/>
    <col min="15625" max="15625" width="17.5703125" style="1575" customWidth="1"/>
    <col min="15626" max="15872" width="11.5703125" style="1575"/>
    <col min="15873" max="15873" width="5" style="1575" customWidth="1"/>
    <col min="15874" max="15874" width="42.85546875" style="1575" customWidth="1"/>
    <col min="15875" max="15875" width="8" style="1575" customWidth="1"/>
    <col min="15876" max="15876" width="18.85546875" style="1575" customWidth="1"/>
    <col min="15877" max="15877" width="20.28515625" style="1575" customWidth="1"/>
    <col min="15878" max="15878" width="39.42578125" style="1575" customWidth="1"/>
    <col min="15879" max="15879" width="17.85546875" style="1575" bestFit="1" customWidth="1"/>
    <col min="15880" max="15880" width="8.7109375" style="1575" customWidth="1"/>
    <col min="15881" max="15881" width="17.5703125" style="1575" customWidth="1"/>
    <col min="15882" max="16128" width="11.5703125" style="1575"/>
    <col min="16129" max="16129" width="5" style="1575" customWidth="1"/>
    <col min="16130" max="16130" width="42.85546875" style="1575" customWidth="1"/>
    <col min="16131" max="16131" width="8" style="1575" customWidth="1"/>
    <col min="16132" max="16132" width="18.85546875" style="1575" customWidth="1"/>
    <col min="16133" max="16133" width="20.28515625" style="1575" customWidth="1"/>
    <col min="16134" max="16134" width="39.42578125" style="1575" customWidth="1"/>
    <col min="16135" max="16135" width="17.85546875" style="1575" bestFit="1" customWidth="1"/>
    <col min="16136" max="16136" width="8.7109375" style="1575" customWidth="1"/>
    <col min="16137" max="16137" width="17.5703125" style="1575" customWidth="1"/>
    <col min="16138" max="16384" width="11.5703125" style="1575"/>
  </cols>
  <sheetData>
    <row r="1" spans="1:9" ht="18" customHeight="1">
      <c r="C1" s="1575" t="s">
        <v>1079</v>
      </c>
      <c r="G1" s="1576" t="s">
        <v>1020</v>
      </c>
    </row>
    <row r="4" spans="1:9" s="1578" customFormat="1" ht="15" customHeight="1">
      <c r="A4" s="1577" t="s">
        <v>480</v>
      </c>
      <c r="B4" s="1578" t="s">
        <v>1078</v>
      </c>
      <c r="G4" s="1579">
        <f>G13</f>
        <v>405000000</v>
      </c>
      <c r="H4" s="1577" t="s">
        <v>202</v>
      </c>
    </row>
    <row r="5" spans="1:9" s="1578" customFormat="1" ht="15" customHeight="1">
      <c r="A5" s="1580"/>
      <c r="B5" s="1581" t="s">
        <v>1077</v>
      </c>
      <c r="G5" s="1579"/>
      <c r="H5" s="1577"/>
    </row>
    <row r="6" spans="1:9" s="1578" customFormat="1" ht="15" customHeight="1">
      <c r="A6" s="1580" t="s">
        <v>30</v>
      </c>
      <c r="B6" s="1582" t="s">
        <v>154</v>
      </c>
      <c r="G6" s="1583">
        <f>G4-G10</f>
        <v>105000000</v>
      </c>
      <c r="H6" s="1580" t="s">
        <v>202</v>
      </c>
    </row>
    <row r="7" spans="1:9" s="1578" customFormat="1" ht="15" customHeight="1">
      <c r="A7" s="1580" t="s">
        <v>30</v>
      </c>
      <c r="B7" s="1582" t="s">
        <v>1076</v>
      </c>
      <c r="G7" s="1584">
        <f>G6/G4</f>
        <v>0.25925925925925924</v>
      </c>
      <c r="H7" s="1580"/>
    </row>
    <row r="8" spans="1:9" s="1578" customFormat="1" ht="15" hidden="1" customHeight="1">
      <c r="A8" s="1585" t="s">
        <v>615</v>
      </c>
      <c r="B8" s="1582" t="s">
        <v>1074</v>
      </c>
      <c r="G8" s="1586" t="e">
        <f>(#REF!-G11)/#REF!</f>
        <v>#REF!</v>
      </c>
      <c r="H8" s="1580"/>
    </row>
    <row r="9" spans="1:9" s="1578" customFormat="1" ht="15" hidden="1" customHeight="1">
      <c r="A9" s="1585" t="s">
        <v>615</v>
      </c>
      <c r="B9" s="1582" t="s">
        <v>1073</v>
      </c>
      <c r="G9" s="1586">
        <f>(G23-G12)/G23</f>
        <v>-0.51440414687124103</v>
      </c>
      <c r="H9" s="1580"/>
    </row>
    <row r="10" spans="1:9" s="1578" customFormat="1" ht="15" customHeight="1">
      <c r="A10" s="1577" t="s">
        <v>30</v>
      </c>
      <c r="B10" s="1578" t="s">
        <v>1075</v>
      </c>
      <c r="G10" s="1579">
        <v>300000000</v>
      </c>
      <c r="H10" s="1577" t="s">
        <v>202</v>
      </c>
      <c r="I10" s="2126">
        <f>G6/G4</f>
        <v>0.25925925925925924</v>
      </c>
    </row>
    <row r="11" spans="1:9" s="1582" customFormat="1" ht="15" hidden="1" customHeight="1">
      <c r="A11" s="1585" t="s">
        <v>615</v>
      </c>
      <c r="B11" s="1582" t="s">
        <v>1074</v>
      </c>
      <c r="G11" s="1583">
        <v>1100000000</v>
      </c>
      <c r="H11" s="1580" t="s">
        <v>202</v>
      </c>
      <c r="I11" s="2127"/>
    </row>
    <row r="12" spans="1:9" s="1582" customFormat="1" ht="15" hidden="1" customHeight="1">
      <c r="A12" s="1585" t="s">
        <v>615</v>
      </c>
      <c r="B12" s="1582" t="s">
        <v>1073</v>
      </c>
      <c r="G12" s="1583">
        <v>700000000</v>
      </c>
      <c r="H12" s="1580" t="s">
        <v>202</v>
      </c>
      <c r="I12" s="2127"/>
    </row>
    <row r="13" spans="1:9" s="1578" customFormat="1" ht="15" customHeight="1">
      <c r="A13" s="1577" t="s">
        <v>485</v>
      </c>
      <c r="B13" s="1578" t="s">
        <v>1072</v>
      </c>
      <c r="F13" s="1587"/>
      <c r="G13" s="1579">
        <f>+G14</f>
        <v>405000000</v>
      </c>
      <c r="H13" s="1577" t="s">
        <v>202</v>
      </c>
    </row>
    <row r="14" spans="1:9" s="1578" customFormat="1" ht="15" customHeight="1">
      <c r="A14" s="1577">
        <v>1</v>
      </c>
      <c r="B14" s="2128" t="s">
        <v>1071</v>
      </c>
      <c r="C14" s="2129"/>
      <c r="D14" s="2130"/>
      <c r="E14" s="2130"/>
      <c r="F14" s="2130"/>
      <c r="G14" s="2131">
        <f>SUM(G15:G20)</f>
        <v>405000000</v>
      </c>
      <c r="H14" s="1577"/>
    </row>
    <row r="15" spans="1:9" s="1578" customFormat="1" ht="15" customHeight="1">
      <c r="A15" s="1577" t="s">
        <v>615</v>
      </c>
      <c r="B15" s="2132" t="s">
        <v>1070</v>
      </c>
      <c r="C15" s="2132"/>
      <c r="D15" s="2133"/>
      <c r="E15" s="2133"/>
      <c r="F15" s="2133"/>
      <c r="G15" s="2134">
        <v>95000000</v>
      </c>
      <c r="H15" s="1580" t="s">
        <v>202</v>
      </c>
    </row>
    <row r="16" spans="1:9" s="1578" customFormat="1" ht="15" customHeight="1">
      <c r="A16" s="1577" t="s">
        <v>615</v>
      </c>
      <c r="B16" s="2132" t="s">
        <v>1069</v>
      </c>
      <c r="C16" s="2132"/>
      <c r="D16" s="2133"/>
      <c r="E16" s="2133"/>
      <c r="F16" s="2133"/>
      <c r="G16" s="2134">
        <v>70000000</v>
      </c>
      <c r="H16" s="1580" t="s">
        <v>202</v>
      </c>
    </row>
    <row r="17" spans="1:9" s="1578" customFormat="1" ht="15" hidden="1" customHeight="1">
      <c r="A17" s="1577"/>
      <c r="B17" s="2132" t="s">
        <v>1068</v>
      </c>
      <c r="C17" s="2132"/>
      <c r="D17" s="2133" t="s">
        <v>1067</v>
      </c>
      <c r="E17" s="2133"/>
      <c r="F17" s="2133"/>
      <c r="G17" s="2134">
        <v>0</v>
      </c>
      <c r="H17" s="1580" t="s">
        <v>202</v>
      </c>
    </row>
    <row r="18" spans="1:9" s="1578" customFormat="1" ht="15" hidden="1" customHeight="1">
      <c r="A18" s="1577" t="s">
        <v>615</v>
      </c>
      <c r="B18" s="2132" t="s">
        <v>1066</v>
      </c>
      <c r="C18" s="2132"/>
      <c r="D18" s="2133"/>
      <c r="E18" s="2133"/>
      <c r="F18" s="2133"/>
      <c r="G18" s="2134">
        <v>0</v>
      </c>
      <c r="H18" s="1580" t="s">
        <v>202</v>
      </c>
    </row>
    <row r="19" spans="1:9" s="1578" customFormat="1" ht="15" customHeight="1">
      <c r="A19" s="1577" t="s">
        <v>615</v>
      </c>
      <c r="B19" s="2132" t="s">
        <v>1065</v>
      </c>
      <c r="C19" s="2132"/>
      <c r="D19" s="2133"/>
      <c r="E19" s="2133"/>
      <c r="F19" s="2133"/>
      <c r="G19" s="2134">
        <v>120000000</v>
      </c>
      <c r="H19" s="1580" t="s">
        <v>202</v>
      </c>
    </row>
    <row r="20" spans="1:9" s="1578" customFormat="1" ht="15" customHeight="1">
      <c r="A20" s="1577" t="s">
        <v>615</v>
      </c>
      <c r="B20" s="2132" t="s">
        <v>1064</v>
      </c>
      <c r="C20" s="2132"/>
      <c r="D20" s="2133"/>
      <c r="E20" s="2133"/>
      <c r="F20" s="2133"/>
      <c r="G20" s="2134">
        <v>120000000</v>
      </c>
      <c r="H20" s="1580" t="s">
        <v>202</v>
      </c>
    </row>
    <row r="21" spans="1:9" s="1589" customFormat="1" ht="15" customHeight="1">
      <c r="A21" s="1588">
        <v>1.1000000000000001</v>
      </c>
      <c r="B21" s="1589" t="s">
        <v>1063</v>
      </c>
      <c r="F21" s="1590"/>
      <c r="G21" s="1591">
        <f>+G23</f>
        <v>462228000</v>
      </c>
      <c r="H21" s="1577" t="s">
        <v>202</v>
      </c>
      <c r="I21" s="1591">
        <f>G21-1200000000</f>
        <v>-737772000</v>
      </c>
    </row>
    <row r="22" spans="1:9" s="1589" customFormat="1" ht="15" customHeight="1">
      <c r="A22" s="1588"/>
      <c r="B22" s="2135" t="s">
        <v>1062</v>
      </c>
      <c r="F22" s="1590"/>
      <c r="G22" s="2136">
        <f>+G14/3</f>
        <v>135000000</v>
      </c>
      <c r="H22" s="1596" t="s">
        <v>202</v>
      </c>
      <c r="I22" s="1591"/>
    </row>
    <row r="23" spans="1:9" s="1589" customFormat="1" ht="15" customHeight="1">
      <c r="A23" s="2292">
        <v>2</v>
      </c>
      <c r="B23" s="1592" t="s">
        <v>1061</v>
      </c>
      <c r="C23" s="1593">
        <v>3</v>
      </c>
      <c r="D23" s="1593" t="s">
        <v>1060</v>
      </c>
      <c r="E23" s="1593"/>
      <c r="F23" s="1594"/>
      <c r="G23" s="1595">
        <f>C23*G24</f>
        <v>462228000</v>
      </c>
      <c r="H23" s="1596" t="s">
        <v>202</v>
      </c>
    </row>
    <row r="24" spans="1:9" s="1589" customFormat="1" ht="15" customHeight="1">
      <c r="A24" s="1597" t="s">
        <v>30</v>
      </c>
      <c r="B24" s="2370" t="s">
        <v>1059</v>
      </c>
      <c r="C24" s="2371"/>
      <c r="D24" s="2371"/>
      <c r="E24" s="2371"/>
      <c r="F24" s="2372"/>
      <c r="G24" s="1595">
        <f>SUM(G25:G36)</f>
        <v>154076000</v>
      </c>
      <c r="H24" s="1596" t="s">
        <v>202</v>
      </c>
    </row>
    <row r="25" spans="1:9" s="1589" customFormat="1" ht="15" customHeight="1">
      <c r="A25" s="2292" t="s">
        <v>1058</v>
      </c>
      <c r="B25" s="2292" t="s">
        <v>1057</v>
      </c>
      <c r="C25" s="2292" t="s">
        <v>1056</v>
      </c>
      <c r="D25" s="2292" t="s">
        <v>1055</v>
      </c>
      <c r="E25" s="2373" t="s">
        <v>3</v>
      </c>
      <c r="F25" s="2373"/>
      <c r="G25" s="2292" t="s">
        <v>4</v>
      </c>
      <c r="H25" s="1598"/>
    </row>
    <row r="26" spans="1:9" ht="15" customHeight="1">
      <c r="A26" s="1599">
        <v>1</v>
      </c>
      <c r="B26" s="1600" t="s">
        <v>1054</v>
      </c>
      <c r="C26" s="1601" t="s">
        <v>11</v>
      </c>
      <c r="D26" s="1602">
        <v>450</v>
      </c>
      <c r="E26" s="2369">
        <v>10300</v>
      </c>
      <c r="F26" s="2369"/>
      <c r="G26" s="1603">
        <f t="shared" ref="G26:G34" si="0">E26*D26</f>
        <v>4635000</v>
      </c>
      <c r="H26" s="1604" t="s">
        <v>202</v>
      </c>
    </row>
    <row r="27" spans="1:9" ht="15" customHeight="1">
      <c r="A27" s="1599">
        <v>2</v>
      </c>
      <c r="B27" s="1600" t="s">
        <v>1053</v>
      </c>
      <c r="C27" s="1601" t="s">
        <v>11</v>
      </c>
      <c r="D27" s="1602">
        <v>250</v>
      </c>
      <c r="E27" s="2369">
        <v>5000</v>
      </c>
      <c r="F27" s="2369"/>
      <c r="G27" s="1603">
        <f t="shared" si="0"/>
        <v>1250000</v>
      </c>
      <c r="H27" s="1604" t="s">
        <v>202</v>
      </c>
    </row>
    <row r="28" spans="1:9" ht="15" customHeight="1">
      <c r="A28" s="1599">
        <v>3</v>
      </c>
      <c r="B28" s="1600" t="s">
        <v>1052</v>
      </c>
      <c r="C28" s="1601" t="s">
        <v>11</v>
      </c>
      <c r="D28" s="1602">
        <v>550</v>
      </c>
      <c r="E28" s="2369">
        <v>5000</v>
      </c>
      <c r="F28" s="2369"/>
      <c r="G28" s="1603">
        <f t="shared" si="0"/>
        <v>2750000</v>
      </c>
      <c r="H28" s="1604" t="s">
        <v>202</v>
      </c>
    </row>
    <row r="29" spans="1:9" ht="15" customHeight="1">
      <c r="A29" s="1599">
        <v>4</v>
      </c>
      <c r="B29" s="1600" t="s">
        <v>1051</v>
      </c>
      <c r="C29" s="1601" t="s">
        <v>11</v>
      </c>
      <c r="D29" s="1602">
        <v>350</v>
      </c>
      <c r="E29" s="2369">
        <v>11000</v>
      </c>
      <c r="F29" s="2369"/>
      <c r="G29" s="1603">
        <f t="shared" si="0"/>
        <v>3850000</v>
      </c>
      <c r="H29" s="1604" t="s">
        <v>202</v>
      </c>
    </row>
    <row r="30" spans="1:9" ht="15" customHeight="1">
      <c r="A30" s="1599">
        <v>5</v>
      </c>
      <c r="B30" s="1600" t="s">
        <v>1050</v>
      </c>
      <c r="C30" s="1601" t="s">
        <v>513</v>
      </c>
      <c r="D30" s="1602">
        <v>4</v>
      </c>
      <c r="E30" s="2369">
        <v>350000</v>
      </c>
      <c r="F30" s="2369"/>
      <c r="G30" s="1603">
        <f t="shared" si="0"/>
        <v>1400000</v>
      </c>
      <c r="H30" s="1604" t="s">
        <v>202</v>
      </c>
    </row>
    <row r="31" spans="1:9" ht="15" customHeight="1">
      <c r="A31" s="1599">
        <v>6</v>
      </c>
      <c r="B31" s="1600" t="s">
        <v>1049</v>
      </c>
      <c r="C31" s="1601" t="s">
        <v>11</v>
      </c>
      <c r="D31" s="1602">
        <v>11000</v>
      </c>
      <c r="E31" s="2369">
        <v>3000</v>
      </c>
      <c r="F31" s="2369"/>
      <c r="G31" s="1603">
        <f t="shared" si="0"/>
        <v>33000000</v>
      </c>
      <c r="H31" s="1604" t="s">
        <v>202</v>
      </c>
    </row>
    <row r="32" spans="1:9" ht="15" customHeight="1">
      <c r="A32" s="1599">
        <v>7</v>
      </c>
      <c r="B32" s="1600" t="s">
        <v>1048</v>
      </c>
      <c r="C32" s="1601" t="s">
        <v>513</v>
      </c>
      <c r="D32" s="1602">
        <v>1</v>
      </c>
      <c r="E32" s="2369">
        <v>350000</v>
      </c>
      <c r="F32" s="2369"/>
      <c r="G32" s="1603">
        <f t="shared" si="0"/>
        <v>350000</v>
      </c>
      <c r="H32" s="1604" t="s">
        <v>202</v>
      </c>
    </row>
    <row r="33" spans="1:9" ht="15" customHeight="1">
      <c r="A33" s="1599">
        <v>8</v>
      </c>
      <c r="B33" s="1600" t="s">
        <v>1047</v>
      </c>
      <c r="C33" s="1601" t="s">
        <v>513</v>
      </c>
      <c r="D33" s="1602">
        <v>1</v>
      </c>
      <c r="E33" s="2369">
        <v>1000000</v>
      </c>
      <c r="F33" s="2369"/>
      <c r="G33" s="1603">
        <f t="shared" si="0"/>
        <v>1000000</v>
      </c>
      <c r="H33" s="1604" t="s">
        <v>202</v>
      </c>
    </row>
    <row r="34" spans="1:9" ht="15" customHeight="1">
      <c r="A34" s="1599">
        <v>9</v>
      </c>
      <c r="B34" s="1600" t="s">
        <v>1046</v>
      </c>
      <c r="C34" s="1601" t="s">
        <v>513</v>
      </c>
      <c r="D34" s="1602">
        <v>167</v>
      </c>
      <c r="E34" s="2369">
        <v>23000</v>
      </c>
      <c r="F34" s="2369"/>
      <c r="G34" s="1603">
        <f t="shared" si="0"/>
        <v>3841000</v>
      </c>
      <c r="H34" s="1604" t="s">
        <v>202</v>
      </c>
    </row>
    <row r="35" spans="1:9" ht="15" customHeight="1">
      <c r="A35" s="1599">
        <v>10</v>
      </c>
      <c r="B35" s="1600" t="s">
        <v>1045</v>
      </c>
      <c r="C35" s="1605"/>
      <c r="D35" s="1606"/>
      <c r="E35" s="2369"/>
      <c r="F35" s="2369"/>
      <c r="G35" s="1603">
        <v>30000000</v>
      </c>
      <c r="H35" s="1604" t="s">
        <v>202</v>
      </c>
    </row>
    <row r="36" spans="1:9" ht="15" customHeight="1">
      <c r="A36" s="1599">
        <v>11</v>
      </c>
      <c r="B36" s="1600" t="s">
        <v>1044</v>
      </c>
      <c r="C36" s="1605" t="s">
        <v>511</v>
      </c>
      <c r="D36" s="1606">
        <v>300</v>
      </c>
      <c r="E36" s="2369">
        <v>240000</v>
      </c>
      <c r="F36" s="2369"/>
      <c r="G36" s="1603">
        <f>E36*D36</f>
        <v>72000000</v>
      </c>
      <c r="H36" s="1604" t="s">
        <v>202</v>
      </c>
    </row>
    <row r="37" spans="1:9" s="1589" customFormat="1" ht="35.25" customHeight="1">
      <c r="A37" s="2374" t="s">
        <v>3219</v>
      </c>
      <c r="B37" s="2375"/>
      <c r="C37" s="2375"/>
      <c r="D37" s="2375"/>
      <c r="E37" s="2375"/>
      <c r="F37" s="2375"/>
      <c r="G37" s="2375"/>
      <c r="H37" s="1607"/>
    </row>
    <row r="38" spans="1:9" ht="15" customHeight="1">
      <c r="A38" s="1588">
        <v>3</v>
      </c>
      <c r="B38" s="1589" t="s">
        <v>1043</v>
      </c>
      <c r="C38" s="1589"/>
      <c r="D38" s="1589"/>
      <c r="E38" s="1589"/>
      <c r="F38" s="1590"/>
      <c r="G38" s="1591">
        <f>SUM(G39:G41)</f>
        <v>75000000</v>
      </c>
      <c r="H38" s="1588" t="s">
        <v>202</v>
      </c>
    </row>
    <row r="39" spans="1:9" ht="16.5">
      <c r="A39" s="1574" t="s">
        <v>615</v>
      </c>
      <c r="B39" s="1575" t="s">
        <v>1042</v>
      </c>
      <c r="D39" s="2137" t="str">
        <f>G10&amp;" x"</f>
        <v>300000000 x</v>
      </c>
      <c r="E39" s="1609">
        <v>0.1</v>
      </c>
      <c r="F39" s="1610" t="s">
        <v>1025</v>
      </c>
      <c r="G39" s="1608">
        <f>G10*E39</f>
        <v>30000000</v>
      </c>
      <c r="H39" s="1574" t="s">
        <v>202</v>
      </c>
    </row>
    <row r="40" spans="1:9" ht="16.5">
      <c r="A40" s="1574" t="s">
        <v>615</v>
      </c>
      <c r="B40" s="1575" t="s">
        <v>1041</v>
      </c>
      <c r="D40" s="2137" t="str">
        <f>G10-G45&amp;" x"</f>
        <v>250000000 x</v>
      </c>
      <c r="E40" s="1609">
        <v>0.1</v>
      </c>
      <c r="F40" s="1610" t="s">
        <v>1025</v>
      </c>
      <c r="G40" s="1608">
        <f>(G10-G45)*E40</f>
        <v>25000000</v>
      </c>
      <c r="H40" s="1574" t="s">
        <v>202</v>
      </c>
    </row>
    <row r="41" spans="1:9" ht="16.5">
      <c r="A41" s="1574" t="s">
        <v>615</v>
      </c>
      <c r="B41" s="1575" t="s">
        <v>1040</v>
      </c>
      <c r="D41" s="2137" t="str">
        <f>G10-G45-G46&amp;" x"</f>
        <v>200000000 x</v>
      </c>
      <c r="E41" s="1609">
        <v>0.1</v>
      </c>
      <c r="F41" s="1610" t="s">
        <v>1025</v>
      </c>
      <c r="G41" s="1608">
        <f>(G10-G45-G46)*E41</f>
        <v>20000000</v>
      </c>
      <c r="H41" s="1574" t="s">
        <v>202</v>
      </c>
    </row>
    <row r="42" spans="1:9" s="1589" customFormat="1" ht="16.5">
      <c r="A42" s="1588">
        <v>4</v>
      </c>
      <c r="B42" s="1589" t="s">
        <v>1039</v>
      </c>
      <c r="D42" s="1591"/>
      <c r="E42" s="1611"/>
      <c r="F42" s="1590"/>
      <c r="G42" s="1591">
        <f>SUM(G45:G47)</f>
        <v>300000000</v>
      </c>
      <c r="H42" s="1588" t="s">
        <v>202</v>
      </c>
    </row>
    <row r="43" spans="1:9" s="1589" customFormat="1" ht="16.5" hidden="1">
      <c r="A43" s="1588">
        <v>1.3</v>
      </c>
      <c r="B43" s="1589" t="s">
        <v>1038</v>
      </c>
      <c r="D43" s="1591"/>
      <c r="E43" s="1611"/>
      <c r="F43" s="1590"/>
      <c r="G43" s="1591">
        <f>SUM(G44:G44)</f>
        <v>0</v>
      </c>
      <c r="H43" s="1574" t="s">
        <v>202</v>
      </c>
    </row>
    <row r="44" spans="1:9" ht="16.5" hidden="1">
      <c r="A44" s="1574" t="s">
        <v>615</v>
      </c>
      <c r="B44" s="1575" t="s">
        <v>1037</v>
      </c>
      <c r="D44" s="1608" t="s">
        <v>1036</v>
      </c>
      <c r="E44" s="1612">
        <f>+C23</f>
        <v>3</v>
      </c>
      <c r="F44" s="1613" t="s">
        <v>540</v>
      </c>
      <c r="G44" s="1608">
        <v>0</v>
      </c>
      <c r="H44" s="1574" t="s">
        <v>202</v>
      </c>
    </row>
    <row r="45" spans="1:9" ht="16.5">
      <c r="A45" s="1574" t="s">
        <v>615</v>
      </c>
      <c r="B45" s="1575" t="s">
        <v>1035</v>
      </c>
      <c r="D45" s="1608"/>
      <c r="E45" s="1612"/>
      <c r="F45" s="1613"/>
      <c r="G45" s="1608">
        <v>50000000</v>
      </c>
      <c r="H45" s="1574" t="s">
        <v>202</v>
      </c>
    </row>
    <row r="46" spans="1:9" ht="16.5">
      <c r="A46" s="1574" t="s">
        <v>615</v>
      </c>
      <c r="B46" s="1575" t="s">
        <v>1034</v>
      </c>
      <c r="D46" s="1608"/>
      <c r="E46" s="1612"/>
      <c r="F46" s="1613"/>
      <c r="G46" s="1608">
        <v>50000000</v>
      </c>
      <c r="H46" s="1574" t="s">
        <v>202</v>
      </c>
    </row>
    <row r="47" spans="1:9" ht="16.5">
      <c r="A47" s="1574" t="s">
        <v>615</v>
      </c>
      <c r="B47" s="1575" t="s">
        <v>1033</v>
      </c>
      <c r="D47" s="1608"/>
      <c r="E47" s="1612"/>
      <c r="F47" s="1613"/>
      <c r="G47" s="1608">
        <v>200000000</v>
      </c>
      <c r="H47" s="1574" t="s">
        <v>202</v>
      </c>
    </row>
    <row r="48" spans="1:9" s="1582" customFormat="1" ht="15" customHeight="1">
      <c r="A48" s="1577" t="s">
        <v>489</v>
      </c>
      <c r="B48" s="1578" t="s">
        <v>1032</v>
      </c>
      <c r="C48" s="1578"/>
      <c r="D48" s="1578"/>
      <c r="E48" s="1578"/>
      <c r="F48" s="1587" t="s">
        <v>1025</v>
      </c>
      <c r="G48" s="1579">
        <f>G51+G52</f>
        <v>870000000</v>
      </c>
      <c r="H48" s="1577" t="s">
        <v>202</v>
      </c>
      <c r="I48" s="1578">
        <f>G48/(G10+G38)</f>
        <v>2.3199999999999998</v>
      </c>
    </row>
    <row r="49" spans="1:9" s="1582" customFormat="1" ht="15" hidden="1" customHeight="1">
      <c r="A49" s="1580"/>
      <c r="B49" s="1582" t="s">
        <v>1031</v>
      </c>
      <c r="D49" s="1580"/>
      <c r="E49" s="1580"/>
      <c r="F49" s="1614"/>
      <c r="G49" s="1583">
        <f>G51</f>
        <v>720000000</v>
      </c>
      <c r="H49" s="1580" t="s">
        <v>202</v>
      </c>
    </row>
    <row r="50" spans="1:9" s="1582" customFormat="1" ht="16.5">
      <c r="A50" s="1585" t="s">
        <v>615</v>
      </c>
      <c r="B50" s="1582" t="s">
        <v>3220</v>
      </c>
      <c r="D50" s="1580"/>
      <c r="E50" s="1580"/>
      <c r="F50" s="1587"/>
      <c r="G50" s="1583"/>
      <c r="H50" s="1580"/>
    </row>
    <row r="51" spans="1:9" s="1582" customFormat="1" ht="16.5">
      <c r="A51" s="1580"/>
      <c r="D51" s="1580">
        <f>C23</f>
        <v>3</v>
      </c>
      <c r="E51" s="1615" t="s">
        <v>1030</v>
      </c>
      <c r="F51" s="1587"/>
      <c r="G51" s="1583">
        <f>+D51*4*60000000</f>
        <v>720000000</v>
      </c>
      <c r="H51" s="1580" t="s">
        <v>202</v>
      </c>
    </row>
    <row r="52" spans="1:9" s="1582" customFormat="1" ht="16.5">
      <c r="A52" s="1580" t="s">
        <v>615</v>
      </c>
      <c r="B52" s="1582" t="s">
        <v>1029</v>
      </c>
      <c r="D52" s="1580"/>
      <c r="E52" s="1615"/>
      <c r="F52" s="1587"/>
      <c r="G52" s="1583">
        <v>150000000</v>
      </c>
      <c r="H52" s="1580" t="s">
        <v>202</v>
      </c>
    </row>
    <row r="53" spans="1:9" s="1582" customFormat="1" ht="15" customHeight="1">
      <c r="A53" s="1577" t="s">
        <v>547</v>
      </c>
      <c r="B53" s="1578" t="s">
        <v>1028</v>
      </c>
      <c r="C53" s="1578"/>
      <c r="D53" s="1578"/>
      <c r="E53" s="1578"/>
      <c r="F53" s="1587"/>
      <c r="G53" s="1579"/>
      <c r="H53" s="1577"/>
      <c r="I53" s="1578">
        <f>G53/G48*100</f>
        <v>0</v>
      </c>
    </row>
    <row r="54" spans="1:9" s="1582" customFormat="1" ht="15" hidden="1" customHeight="1">
      <c r="A54" s="1585" t="s">
        <v>615</v>
      </c>
      <c r="B54" s="1582" t="s">
        <v>1027</v>
      </c>
      <c r="D54" s="1583">
        <f>G48</f>
        <v>870000000</v>
      </c>
      <c r="E54" s="1583">
        <f>-(+G10+G38)</f>
        <v>-375000000</v>
      </c>
      <c r="F54" s="1614" t="s">
        <v>1025</v>
      </c>
      <c r="G54" s="1583">
        <f>+D54+E54</f>
        <v>495000000</v>
      </c>
      <c r="H54" s="1580" t="s">
        <v>202</v>
      </c>
      <c r="I54" s="2138"/>
    </row>
    <row r="55" spans="1:9" s="1582" customFormat="1" ht="15" hidden="1" customHeight="1">
      <c r="A55" s="1585" t="s">
        <v>615</v>
      </c>
      <c r="B55" s="1582" t="s">
        <v>1026</v>
      </c>
      <c r="D55" s="1583">
        <f>G48</f>
        <v>870000000</v>
      </c>
      <c r="E55" s="1583">
        <f>-G13</f>
        <v>-405000000</v>
      </c>
      <c r="F55" s="1614" t="s">
        <v>1025</v>
      </c>
      <c r="G55" s="1583">
        <f>D55+E55</f>
        <v>465000000</v>
      </c>
      <c r="H55" s="1580" t="s">
        <v>202</v>
      </c>
      <c r="I55" s="2138" t="e">
        <f>G55/#REF!</f>
        <v>#REF!</v>
      </c>
    </row>
    <row r="56" spans="1:9" ht="16.5">
      <c r="A56" s="1574" t="s">
        <v>615</v>
      </c>
      <c r="B56" s="1575" t="s">
        <v>1024</v>
      </c>
      <c r="G56" s="1608">
        <f>+$G$48-$G$22-$G$23-G39-G45</f>
        <v>192772000</v>
      </c>
      <c r="H56" s="1580" t="s">
        <v>202</v>
      </c>
      <c r="I56" s="1575">
        <f>+G56/G6</f>
        <v>1.8359238095238095</v>
      </c>
    </row>
    <row r="57" spans="1:9" ht="16.5">
      <c r="A57" s="1574" t="s">
        <v>615</v>
      </c>
      <c r="B57" s="1575" t="s">
        <v>1023</v>
      </c>
      <c r="G57" s="1608">
        <f>+$G$48-$G$22-$G$23-G40-G46</f>
        <v>197772000</v>
      </c>
      <c r="H57" s="1580" t="s">
        <v>202</v>
      </c>
    </row>
    <row r="58" spans="1:9" ht="16.5">
      <c r="A58" s="1574" t="s">
        <v>615</v>
      </c>
      <c r="B58" s="1575" t="s">
        <v>1022</v>
      </c>
      <c r="G58" s="1608">
        <f>+$G$48-$G$22-$G$23-G41-G47</f>
        <v>52772000</v>
      </c>
      <c r="H58" s="1580" t="s">
        <v>202</v>
      </c>
    </row>
  </sheetData>
  <mergeCells count="14">
    <mergeCell ref="E36:F36"/>
    <mergeCell ref="A37:G37"/>
    <mergeCell ref="E30:F30"/>
    <mergeCell ref="E31:F31"/>
    <mergeCell ref="E32:F32"/>
    <mergeCell ref="E33:F33"/>
    <mergeCell ref="E34:F34"/>
    <mergeCell ref="E35:F35"/>
    <mergeCell ref="E29:F29"/>
    <mergeCell ref="B24:F24"/>
    <mergeCell ref="E25:F25"/>
    <mergeCell ref="E26:F26"/>
    <mergeCell ref="E27:F27"/>
    <mergeCell ref="E28:F28"/>
  </mergeCell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pageSetUpPr fitToPage="1"/>
  </sheetPr>
  <dimension ref="A1:G54"/>
  <sheetViews>
    <sheetView zoomScaleNormal="100" workbookViewId="0">
      <selection activeCell="B2" sqref="B2"/>
    </sheetView>
  </sheetViews>
  <sheetFormatPr defaultRowHeight="16.5"/>
  <cols>
    <col min="1" max="1" width="6" style="311" customWidth="1"/>
    <col min="2" max="2" width="28.85546875" style="311" customWidth="1"/>
    <col min="3" max="3" width="10.140625" style="311" customWidth="1"/>
    <col min="4" max="4" width="10.28515625" style="311" customWidth="1"/>
    <col min="5" max="5" width="11" style="311" customWidth="1"/>
    <col min="6" max="6" width="12.7109375" style="311" customWidth="1"/>
    <col min="7" max="7" width="14.7109375" style="311" customWidth="1"/>
    <col min="8" max="16384" width="9.140625" style="311"/>
  </cols>
  <sheetData>
    <row r="1" spans="1:7">
      <c r="C1" s="311" t="s">
        <v>2407</v>
      </c>
      <c r="G1" s="309" t="s">
        <v>1020</v>
      </c>
    </row>
    <row r="4" spans="1:7">
      <c r="A4" s="1872" t="s">
        <v>2380</v>
      </c>
      <c r="B4" s="1873"/>
      <c r="C4" s="1874">
        <v>19222.8</v>
      </c>
      <c r="D4" s="1873" t="s">
        <v>5</v>
      </c>
      <c r="E4" s="1873"/>
      <c r="F4" s="1873"/>
      <c r="G4" s="1873"/>
    </row>
    <row r="5" spans="1:7">
      <c r="A5" s="1710" t="s">
        <v>1949</v>
      </c>
      <c r="B5" s="1711"/>
      <c r="C5" s="2482">
        <f>G18+G27+C40+G36</f>
        <v>537922773.14814818</v>
      </c>
      <c r="D5" s="2482"/>
      <c r="E5" s="2482"/>
      <c r="F5" s="1712"/>
      <c r="G5" s="1712"/>
    </row>
    <row r="6" spans="1:7">
      <c r="A6" s="2483" t="s">
        <v>1948</v>
      </c>
      <c r="B6" s="2484"/>
      <c r="C6" s="2482">
        <f>C5-C7</f>
        <v>17922773.148148179</v>
      </c>
      <c r="D6" s="2482"/>
      <c r="E6" s="2482"/>
      <c r="F6" s="1713"/>
      <c r="G6" s="1713"/>
    </row>
    <row r="7" spans="1:7">
      <c r="A7" s="2483" t="s">
        <v>2379</v>
      </c>
      <c r="B7" s="2484"/>
      <c r="C7" s="2482">
        <v>520000000</v>
      </c>
      <c r="D7" s="2482"/>
      <c r="E7" s="2482"/>
      <c r="F7" s="1713"/>
      <c r="G7" s="1713"/>
    </row>
    <row r="8" spans="1:7">
      <c r="A8" s="1714" t="s">
        <v>2378</v>
      </c>
      <c r="B8" s="1715"/>
      <c r="C8" s="2485">
        <f>C6/C5</f>
        <v>3.3318487416430884E-2</v>
      </c>
      <c r="D8" s="2485"/>
      <c r="E8" s="2485"/>
      <c r="F8" s="1716"/>
      <c r="G8" s="1716"/>
    </row>
    <row r="9" spans="1:7">
      <c r="A9" s="1717" t="s">
        <v>2377</v>
      </c>
      <c r="B9" s="1718"/>
      <c r="C9" s="1718"/>
      <c r="D9" s="1718"/>
      <c r="E9" s="1718"/>
      <c r="F9" s="1718"/>
      <c r="G9" s="1718"/>
    </row>
    <row r="10" spans="1:7">
      <c r="A10" s="2481" t="s">
        <v>2395</v>
      </c>
      <c r="B10" s="2481"/>
      <c r="C10" s="2481"/>
      <c r="D10" s="2481"/>
      <c r="E10" s="2481"/>
      <c r="F10" s="2481"/>
      <c r="G10" s="2481"/>
    </row>
    <row r="11" spans="1:7">
      <c r="A11" s="2486" t="s">
        <v>2406</v>
      </c>
      <c r="B11" s="2486"/>
      <c r="C11" s="2486"/>
      <c r="D11" s="2486"/>
      <c r="E11" s="2486"/>
      <c r="F11" s="2486"/>
      <c r="G11" s="2486"/>
    </row>
    <row r="12" spans="1:7" ht="33">
      <c r="A12" s="1719" t="s">
        <v>0</v>
      </c>
      <c r="B12" s="1719" t="s">
        <v>103</v>
      </c>
      <c r="C12" s="1719" t="s">
        <v>100</v>
      </c>
      <c r="D12" s="1719" t="s">
        <v>1055</v>
      </c>
      <c r="E12" s="1719" t="s">
        <v>3</v>
      </c>
      <c r="F12" s="1719" t="s">
        <v>2368</v>
      </c>
      <c r="G12" s="1719" t="s">
        <v>2354</v>
      </c>
    </row>
    <row r="13" spans="1:7">
      <c r="A13" s="1720">
        <v>1</v>
      </c>
      <c r="B13" s="1721" t="s">
        <v>2367</v>
      </c>
      <c r="C13" s="1720" t="s">
        <v>829</v>
      </c>
      <c r="D13" s="1973">
        <f>C4/1296*15</f>
        <v>222.48611111111111</v>
      </c>
      <c r="E13" s="1723">
        <v>15000</v>
      </c>
      <c r="F13" s="1724">
        <f>E13*D13</f>
        <v>3337291.6666666665</v>
      </c>
      <c r="G13" s="1724">
        <f>F13</f>
        <v>3337291.6666666665</v>
      </c>
    </row>
    <row r="14" spans="1:7">
      <c r="A14" s="1720">
        <v>2</v>
      </c>
      <c r="B14" s="1721" t="s">
        <v>2366</v>
      </c>
      <c r="C14" s="1720" t="s">
        <v>1437</v>
      </c>
      <c r="D14" s="1974">
        <f>C4/1296</f>
        <v>14.832407407407407</v>
      </c>
      <c r="E14" s="1723">
        <v>180000</v>
      </c>
      <c r="F14" s="1724">
        <f>E14*D14</f>
        <v>2669833.3333333335</v>
      </c>
      <c r="G14" s="1724">
        <f>F14</f>
        <v>2669833.3333333335</v>
      </c>
    </row>
    <row r="15" spans="1:7" ht="33">
      <c r="A15" s="1720">
        <v>3</v>
      </c>
      <c r="B15" s="1721" t="s">
        <v>2365</v>
      </c>
      <c r="C15" s="1720" t="s">
        <v>1437</v>
      </c>
      <c r="D15" s="1975">
        <f>D14</f>
        <v>14.832407407407407</v>
      </c>
      <c r="E15" s="1723">
        <v>1100000</v>
      </c>
      <c r="F15" s="1724">
        <f>E15*D15</f>
        <v>16315648.148148147</v>
      </c>
      <c r="G15" s="1724">
        <f>F15</f>
        <v>16315648.148148147</v>
      </c>
    </row>
    <row r="16" spans="1:7" ht="33">
      <c r="A16" s="1720">
        <v>4</v>
      </c>
      <c r="B16" s="1721" t="s">
        <v>2364</v>
      </c>
      <c r="C16" s="1720" t="s">
        <v>2363</v>
      </c>
      <c r="D16" s="1726"/>
      <c r="E16" s="1723"/>
      <c r="F16" s="1724">
        <v>50000000</v>
      </c>
      <c r="G16" s="1724">
        <f>F16</f>
        <v>50000000</v>
      </c>
    </row>
    <row r="17" spans="1:7">
      <c r="A17" s="1727"/>
      <c r="B17" s="1728"/>
      <c r="C17" s="1728"/>
      <c r="D17" s="1728"/>
      <c r="E17" s="1728"/>
      <c r="F17" s="1729" t="s">
        <v>2362</v>
      </c>
      <c r="G17" s="1729"/>
    </row>
    <row r="18" spans="1:7">
      <c r="A18" s="1719"/>
      <c r="B18" s="1730" t="s">
        <v>288</v>
      </c>
      <c r="C18" s="1730"/>
      <c r="D18" s="1730"/>
      <c r="E18" s="1730"/>
      <c r="F18" s="1731">
        <f>SUM(F13:F17)</f>
        <v>72322773.148148149</v>
      </c>
      <c r="G18" s="1731">
        <f>SUM(G13:G17)</f>
        <v>72322773.148148149</v>
      </c>
    </row>
    <row r="19" spans="1:7">
      <c r="A19" s="1732"/>
      <c r="B19" s="1733"/>
      <c r="C19" s="1732"/>
      <c r="D19" s="1734"/>
      <c r="E19" s="1733"/>
      <c r="F19" s="1735"/>
      <c r="G19" s="1735"/>
    </row>
    <row r="20" spans="1:7">
      <c r="A20" s="2734" t="s">
        <v>2405</v>
      </c>
      <c r="B20" s="2734"/>
      <c r="C20" s="2734"/>
      <c r="D20" s="2734"/>
      <c r="E20" s="2734"/>
      <c r="F20" s="2734"/>
      <c r="G20" s="2734"/>
    </row>
    <row r="21" spans="1:7" ht="33">
      <c r="A21" s="1719" t="s">
        <v>0</v>
      </c>
      <c r="B21" s="1719" t="s">
        <v>103</v>
      </c>
      <c r="C21" s="1719" t="s">
        <v>100</v>
      </c>
      <c r="D21" s="1719" t="s">
        <v>1055</v>
      </c>
      <c r="E21" s="1719" t="s">
        <v>3</v>
      </c>
      <c r="F21" s="1719" t="s">
        <v>2355</v>
      </c>
      <c r="G21" s="1719" t="s">
        <v>2354</v>
      </c>
    </row>
    <row r="22" spans="1:7">
      <c r="A22" s="1720">
        <v>1</v>
      </c>
      <c r="B22" s="1721" t="s">
        <v>2360</v>
      </c>
      <c r="C22" s="1720" t="s">
        <v>523</v>
      </c>
      <c r="D22" s="1978">
        <v>5000</v>
      </c>
      <c r="E22" s="1723">
        <v>400</v>
      </c>
      <c r="F22" s="1724">
        <f>E22*D22</f>
        <v>2000000</v>
      </c>
      <c r="G22" s="1724">
        <f>F22</f>
        <v>2000000</v>
      </c>
    </row>
    <row r="23" spans="1:7">
      <c r="A23" s="1720">
        <v>2</v>
      </c>
      <c r="B23" s="1721" t="s">
        <v>2359</v>
      </c>
      <c r="C23" s="1720" t="s">
        <v>523</v>
      </c>
      <c r="D23" s="1978">
        <v>5000</v>
      </c>
      <c r="E23" s="1723">
        <v>120</v>
      </c>
      <c r="F23" s="1724">
        <f>E23*D23</f>
        <v>600000</v>
      </c>
      <c r="G23" s="1724">
        <f>F23</f>
        <v>600000</v>
      </c>
    </row>
    <row r="24" spans="1:7">
      <c r="A24" s="1720">
        <v>3</v>
      </c>
      <c r="B24" s="1721" t="s">
        <v>2358</v>
      </c>
      <c r="C24" s="1720" t="s">
        <v>829</v>
      </c>
      <c r="D24" s="1978">
        <v>2500</v>
      </c>
      <c r="E24" s="1723">
        <v>40000</v>
      </c>
      <c r="F24" s="1724">
        <f>E24*D24</f>
        <v>100000000</v>
      </c>
      <c r="G24" s="1724">
        <f>F24</f>
        <v>100000000</v>
      </c>
    </row>
    <row r="25" spans="1:7" ht="33">
      <c r="A25" s="1720">
        <v>4</v>
      </c>
      <c r="B25" s="1979" t="s">
        <v>2357</v>
      </c>
      <c r="C25" s="1721"/>
      <c r="D25" s="1724"/>
      <c r="E25" s="1723"/>
      <c r="F25" s="1978">
        <v>80000000</v>
      </c>
      <c r="G25" s="1724">
        <f>F25</f>
        <v>80000000</v>
      </c>
    </row>
    <row r="26" spans="1:7">
      <c r="A26" s="1720">
        <v>5</v>
      </c>
      <c r="B26" s="1721" t="s">
        <v>217</v>
      </c>
      <c r="C26" s="1721"/>
      <c r="D26" s="1721"/>
      <c r="E26" s="1723"/>
      <c r="F26" s="1978">
        <v>80000000</v>
      </c>
      <c r="G26" s="1724">
        <f>F26</f>
        <v>80000000</v>
      </c>
    </row>
    <row r="27" spans="1:7">
      <c r="A27" s="1719"/>
      <c r="B27" s="1730" t="s">
        <v>288</v>
      </c>
      <c r="C27" s="1730"/>
      <c r="D27" s="1730"/>
      <c r="E27" s="1730"/>
      <c r="F27" s="1731">
        <f>SUM(F22:F26)</f>
        <v>262600000</v>
      </c>
      <c r="G27" s="1731">
        <f>SUM(G22:G26)</f>
        <v>262600000</v>
      </c>
    </row>
    <row r="28" spans="1:7">
      <c r="A28" s="1970"/>
      <c r="B28" s="1971"/>
      <c r="C28" s="1971"/>
      <c r="D28" s="1971"/>
      <c r="E28" s="1971"/>
      <c r="F28" s="1972"/>
      <c r="G28" s="1972"/>
    </row>
    <row r="29" spans="1:7">
      <c r="A29" s="1970"/>
      <c r="B29" s="1971"/>
      <c r="C29" s="1971"/>
      <c r="D29" s="1971"/>
      <c r="E29" s="1971"/>
      <c r="F29" s="1972"/>
      <c r="G29" s="1972"/>
    </row>
    <row r="30" spans="1:7">
      <c r="A30" s="2486" t="s">
        <v>2404</v>
      </c>
      <c r="B30" s="2486"/>
      <c r="C30" s="2486"/>
      <c r="D30" s="2486"/>
      <c r="E30" s="2486"/>
      <c r="F30" s="2486"/>
      <c r="G30" s="2486"/>
    </row>
    <row r="31" spans="1:7" ht="33">
      <c r="A31" s="1719" t="s">
        <v>0</v>
      </c>
      <c r="B31" s="1719" t="s">
        <v>103</v>
      </c>
      <c r="C31" s="1719" t="s">
        <v>100</v>
      </c>
      <c r="D31" s="1719" t="s">
        <v>1055</v>
      </c>
      <c r="E31" s="1719" t="s">
        <v>3</v>
      </c>
      <c r="F31" s="1719" t="s">
        <v>2368</v>
      </c>
      <c r="G31" s="1719" t="s">
        <v>2354</v>
      </c>
    </row>
    <row r="32" spans="1:7">
      <c r="A32" s="1720">
        <v>1</v>
      </c>
      <c r="B32" s="1721" t="s">
        <v>2403</v>
      </c>
      <c r="C32" s="1720" t="s">
        <v>523</v>
      </c>
      <c r="D32" s="1973">
        <v>30</v>
      </c>
      <c r="E32" s="1723">
        <v>1500000</v>
      </c>
      <c r="F32" s="1724">
        <f>E32*D32</f>
        <v>45000000</v>
      </c>
      <c r="G32" s="1724">
        <f>F32</f>
        <v>45000000</v>
      </c>
    </row>
    <row r="33" spans="1:7">
      <c r="A33" s="1720">
        <v>2</v>
      </c>
      <c r="B33" s="1721" t="s">
        <v>2402</v>
      </c>
      <c r="C33" s="1720" t="s">
        <v>1320</v>
      </c>
      <c r="D33" s="1725">
        <v>100</v>
      </c>
      <c r="E33" s="1723">
        <v>300000</v>
      </c>
      <c r="F33" s="1724">
        <f>E33*D33</f>
        <v>30000000</v>
      </c>
      <c r="G33" s="1724">
        <f>F33</f>
        <v>30000000</v>
      </c>
    </row>
    <row r="34" spans="1:7">
      <c r="A34" s="1720">
        <v>3</v>
      </c>
      <c r="B34" s="1721" t="s">
        <v>2401</v>
      </c>
      <c r="C34" s="1720"/>
      <c r="D34" s="1975"/>
      <c r="E34" s="1723"/>
      <c r="F34" s="1724">
        <v>30000000</v>
      </c>
      <c r="G34" s="1724">
        <f>F34</f>
        <v>30000000</v>
      </c>
    </row>
    <row r="35" spans="1:7">
      <c r="A35" s="1720">
        <v>4</v>
      </c>
      <c r="B35" s="1721" t="s">
        <v>2400</v>
      </c>
      <c r="C35" s="1720"/>
      <c r="D35" s="1726"/>
      <c r="E35" s="1723"/>
      <c r="F35" s="1724">
        <v>20000000</v>
      </c>
      <c r="G35" s="1724">
        <f>F35</f>
        <v>20000000</v>
      </c>
    </row>
    <row r="36" spans="1:7">
      <c r="A36" s="1719"/>
      <c r="B36" s="1730" t="s">
        <v>288</v>
      </c>
      <c r="C36" s="1730"/>
      <c r="D36" s="1730"/>
      <c r="E36" s="1730"/>
      <c r="F36" s="1731">
        <f>SUM(F32:F35)</f>
        <v>125000000</v>
      </c>
      <c r="G36" s="1731">
        <f>SUM(G32:G35)</f>
        <v>125000000</v>
      </c>
    </row>
    <row r="37" spans="1:7">
      <c r="A37" s="1970"/>
      <c r="B37" s="1971"/>
      <c r="C37" s="1971"/>
      <c r="D37" s="1971"/>
      <c r="E37" s="1971"/>
      <c r="F37" s="1972"/>
      <c r="G37" s="1972"/>
    </row>
    <row r="38" spans="1:7">
      <c r="A38" s="1970"/>
      <c r="B38" s="1971"/>
      <c r="C38" s="1971"/>
      <c r="D38" s="1971"/>
      <c r="E38" s="1971"/>
      <c r="F38" s="1972"/>
      <c r="G38" s="1972"/>
    </row>
    <row r="39" spans="1:7" ht="28.5" customHeight="1">
      <c r="A39" s="1719" t="s">
        <v>0</v>
      </c>
      <c r="B39" s="1719" t="s">
        <v>103</v>
      </c>
      <c r="C39" s="2730" t="s">
        <v>2354</v>
      </c>
      <c r="D39" s="2731"/>
      <c r="E39" s="2731"/>
      <c r="F39" s="2731"/>
      <c r="G39" s="2732"/>
    </row>
    <row r="40" spans="1:7" ht="30" customHeight="1">
      <c r="A40" s="2139">
        <v>1</v>
      </c>
      <c r="B40" s="2140" t="s">
        <v>2399</v>
      </c>
      <c r="C40" s="2733">
        <f>C7*15%</f>
        <v>78000000</v>
      </c>
      <c r="D40" s="2733"/>
      <c r="E40" s="2733"/>
      <c r="F40" s="2733"/>
      <c r="G40" s="2733"/>
    </row>
    <row r="41" spans="1:7">
      <c r="A41" s="1970"/>
      <c r="B41" s="1971"/>
      <c r="C41" s="1971"/>
      <c r="D41" s="1971"/>
      <c r="E41" s="1971"/>
      <c r="F41" s="1972"/>
      <c r="G41" s="1972"/>
    </row>
    <row r="42" spans="1:7">
      <c r="A42" s="2481" t="s">
        <v>2356</v>
      </c>
      <c r="B42" s="2481"/>
      <c r="C42" s="2481"/>
      <c r="D42" s="2481"/>
      <c r="E42" s="2481"/>
      <c r="F42" s="2481"/>
      <c r="G42" s="2481"/>
    </row>
    <row r="43" spans="1:7" ht="34.5" customHeight="1">
      <c r="A43" s="1719" t="s">
        <v>0</v>
      </c>
      <c r="B43" s="1719" t="s">
        <v>103</v>
      </c>
      <c r="C43" s="1719" t="s">
        <v>100</v>
      </c>
      <c r="D43" s="1719" t="s">
        <v>1055</v>
      </c>
      <c r="E43" s="1719" t="s">
        <v>3</v>
      </c>
      <c r="F43" s="1719" t="s">
        <v>2398</v>
      </c>
      <c r="G43" s="1719" t="s">
        <v>2354</v>
      </c>
    </row>
    <row r="44" spans="1:7">
      <c r="A44" s="1720">
        <v>1</v>
      </c>
      <c r="B44" s="2141" t="s">
        <v>2349</v>
      </c>
      <c r="C44" s="1721" t="s">
        <v>829</v>
      </c>
      <c r="D44" s="1978">
        <f>D14*1000</f>
        <v>14832.407407407407</v>
      </c>
      <c r="E44" s="2142">
        <v>8000</v>
      </c>
      <c r="F44" s="1724">
        <f>E44*D44</f>
        <v>118659259.25925925</v>
      </c>
      <c r="G44" s="1724">
        <f>F44</f>
        <v>118659259.25925925</v>
      </c>
    </row>
    <row r="45" spans="1:7">
      <c r="A45" s="1720">
        <v>2</v>
      </c>
      <c r="B45" s="2141" t="s">
        <v>2397</v>
      </c>
      <c r="C45" s="1721" t="s">
        <v>829</v>
      </c>
      <c r="D45" s="1978">
        <v>1800</v>
      </c>
      <c r="E45" s="2142">
        <v>140000</v>
      </c>
      <c r="F45" s="1724">
        <f>E45*D45</f>
        <v>252000000</v>
      </c>
      <c r="G45" s="1724">
        <f>F45</f>
        <v>252000000</v>
      </c>
    </row>
    <row r="46" spans="1:7">
      <c r="A46" s="1720">
        <v>3</v>
      </c>
      <c r="B46" s="1721" t="s">
        <v>2352</v>
      </c>
      <c r="C46" s="1721" t="s">
        <v>829</v>
      </c>
      <c r="D46" s="1978">
        <v>1800</v>
      </c>
      <c r="E46" s="2142">
        <v>95000</v>
      </c>
      <c r="F46" s="1724">
        <f>E46*D46</f>
        <v>171000000</v>
      </c>
      <c r="G46" s="1724">
        <f>F46</f>
        <v>171000000</v>
      </c>
    </row>
    <row r="47" spans="1:7">
      <c r="A47" s="1736">
        <v>4</v>
      </c>
      <c r="B47" s="2143" t="s">
        <v>2396</v>
      </c>
      <c r="C47" s="2143"/>
      <c r="D47" s="2144">
        <v>30</v>
      </c>
      <c r="E47" s="2145">
        <v>6000000</v>
      </c>
      <c r="F47" s="1724">
        <f>E47*D47</f>
        <v>180000000</v>
      </c>
      <c r="G47" s="1724">
        <f>F47</f>
        <v>180000000</v>
      </c>
    </row>
    <row r="48" spans="1:7">
      <c r="A48" s="2140"/>
      <c r="B48" s="2140"/>
      <c r="C48" s="2140"/>
      <c r="D48" s="2140" t="s">
        <v>2362</v>
      </c>
      <c r="E48" s="2146"/>
      <c r="F48" s="1731">
        <f>SUM(F44:F47)</f>
        <v>721659259.25925922</v>
      </c>
      <c r="G48" s="1731">
        <f>SUM(G44:G47)</f>
        <v>721659259.25925922</v>
      </c>
    </row>
    <row r="49" spans="1:7">
      <c r="A49" s="2487" t="s">
        <v>2348</v>
      </c>
      <c r="B49" s="2487"/>
      <c r="C49" s="2487"/>
      <c r="D49" s="2487"/>
      <c r="E49" s="2487"/>
      <c r="F49" s="2487"/>
      <c r="G49" s="2487"/>
    </row>
    <row r="50" spans="1:7">
      <c r="A50" s="2488" t="s">
        <v>406</v>
      </c>
      <c r="B50" s="2489"/>
      <c r="C50" s="2490">
        <f>F51-F52-F53</f>
        <v>93936486.111111045</v>
      </c>
      <c r="D50" s="2491"/>
      <c r="E50" s="2491"/>
      <c r="F50" s="2491"/>
      <c r="G50" s="2492"/>
    </row>
    <row r="51" spans="1:7">
      <c r="A51" s="1720">
        <v>1</v>
      </c>
      <c r="B51" s="2471" t="s">
        <v>2347</v>
      </c>
      <c r="C51" s="2472"/>
      <c r="D51" s="2472"/>
      <c r="E51" s="2473"/>
      <c r="F51" s="2474">
        <f>G48-C5</f>
        <v>183736486.11111104</v>
      </c>
      <c r="G51" s="2475"/>
    </row>
    <row r="52" spans="1:7">
      <c r="A52" s="1720">
        <v>2</v>
      </c>
      <c r="B52" s="2471" t="s">
        <v>2346</v>
      </c>
      <c r="C52" s="2472"/>
      <c r="D52" s="2472"/>
      <c r="E52" s="2473"/>
      <c r="F52" s="2474">
        <f>C7*11.5%</f>
        <v>59800000</v>
      </c>
      <c r="G52" s="2475"/>
    </row>
    <row r="53" spans="1:7">
      <c r="A53" s="1740">
        <v>3</v>
      </c>
      <c r="B53" s="1741" t="s">
        <v>2345</v>
      </c>
      <c r="C53" s="1742"/>
      <c r="D53" s="1742"/>
      <c r="E53" s="1743"/>
      <c r="F53" s="2474">
        <v>30000000</v>
      </c>
      <c r="G53" s="2475"/>
    </row>
    <row r="54" spans="1:7">
      <c r="A54" s="1727">
        <v>4</v>
      </c>
      <c r="B54" s="2476" t="s">
        <v>2344</v>
      </c>
      <c r="C54" s="2477"/>
      <c r="D54" s="2477"/>
      <c r="E54" s="2478"/>
      <c r="F54" s="2479">
        <f>C50/G48</f>
        <v>0.13016736764041706</v>
      </c>
      <c r="G54" s="2480"/>
    </row>
  </sheetData>
  <mergeCells count="23">
    <mergeCell ref="A49:G49"/>
    <mergeCell ref="A50:B50"/>
    <mergeCell ref="C50:G50"/>
    <mergeCell ref="B51:E51"/>
    <mergeCell ref="F51:G51"/>
    <mergeCell ref="B52:E52"/>
    <mergeCell ref="F52:G52"/>
    <mergeCell ref="F53:G53"/>
    <mergeCell ref="B54:E54"/>
    <mergeCell ref="F54:G54"/>
    <mergeCell ref="A30:G30"/>
    <mergeCell ref="C39:G39"/>
    <mergeCell ref="C40:G40"/>
    <mergeCell ref="C5:E5"/>
    <mergeCell ref="A42:G42"/>
    <mergeCell ref="A6:B6"/>
    <mergeCell ref="C6:E6"/>
    <mergeCell ref="A7:B7"/>
    <mergeCell ref="C7:E7"/>
    <mergeCell ref="C8:E8"/>
    <mergeCell ref="A10:G10"/>
    <mergeCell ref="A11:G11"/>
    <mergeCell ref="A20:G20"/>
  </mergeCells>
  <pageMargins left="0.85" right="0.45" top="0.42" bottom="0.53" header="0.3" footer="0.3"/>
  <pageSetup scale="54"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M43"/>
  <sheetViews>
    <sheetView zoomScaleNormal="100" workbookViewId="0">
      <selection activeCell="J13" sqref="J13"/>
    </sheetView>
  </sheetViews>
  <sheetFormatPr defaultRowHeight="16.5"/>
  <cols>
    <col min="1" max="1" width="32.5703125" style="525" bestFit="1" customWidth="1"/>
    <col min="2" max="2" width="16.140625" style="525" bestFit="1" customWidth="1"/>
    <col min="3" max="3" width="13.140625" style="526" bestFit="1" customWidth="1"/>
    <col min="4" max="4" width="8.42578125" style="525" bestFit="1" customWidth="1"/>
    <col min="5" max="5" width="15.42578125" style="525" bestFit="1" customWidth="1"/>
    <col min="6" max="6" width="6.7109375" style="525" bestFit="1" customWidth="1"/>
    <col min="7" max="7" width="15.42578125" style="525" bestFit="1" customWidth="1"/>
    <col min="8" max="8" width="15.85546875" style="525" bestFit="1" customWidth="1"/>
    <col min="9" max="9" width="8.42578125" style="525" bestFit="1" customWidth="1"/>
    <col min="10" max="10" width="14.5703125" style="525" bestFit="1" customWidth="1"/>
    <col min="11" max="11" width="10.140625" style="525" bestFit="1" customWidth="1"/>
    <col min="12" max="12" width="16.85546875" style="570" bestFit="1" customWidth="1"/>
    <col min="13" max="13" width="14.5703125" style="525" bestFit="1" customWidth="1"/>
    <col min="14" max="256" width="9.140625" style="525"/>
    <col min="257" max="257" width="24.7109375" style="525" customWidth="1"/>
    <col min="258" max="258" width="9.5703125" style="525" customWidth="1"/>
    <col min="259" max="260" width="9.28515625" style="525" customWidth="1"/>
    <col min="261" max="261" width="13.85546875" style="525" customWidth="1"/>
    <col min="262" max="262" width="8.28515625" style="525" customWidth="1"/>
    <col min="263" max="263" width="12.5703125" style="525" customWidth="1"/>
    <col min="264" max="264" width="13.42578125" style="525" customWidth="1"/>
    <col min="265" max="265" width="9.28515625" style="525" customWidth="1"/>
    <col min="266" max="266" width="12.7109375" style="525" customWidth="1"/>
    <col min="267" max="267" width="10.140625" style="525" bestFit="1" customWidth="1"/>
    <col min="268" max="268" width="16.85546875" style="525" bestFit="1" customWidth="1"/>
    <col min="269" max="269" width="14.5703125" style="525" bestFit="1" customWidth="1"/>
    <col min="270" max="512" width="9.140625" style="525"/>
    <col min="513" max="513" width="24.7109375" style="525" customWidth="1"/>
    <col min="514" max="514" width="9.5703125" style="525" customWidth="1"/>
    <col min="515" max="516" width="9.28515625" style="525" customWidth="1"/>
    <col min="517" max="517" width="13.85546875" style="525" customWidth="1"/>
    <col min="518" max="518" width="8.28515625" style="525" customWidth="1"/>
    <col min="519" max="519" width="12.5703125" style="525" customWidth="1"/>
    <col min="520" max="520" width="13.42578125" style="525" customWidth="1"/>
    <col min="521" max="521" width="9.28515625" style="525" customWidth="1"/>
    <col min="522" max="522" width="12.7109375" style="525" customWidth="1"/>
    <col min="523" max="523" width="10.140625" style="525" bestFit="1" customWidth="1"/>
    <col min="524" max="524" width="16.85546875" style="525" bestFit="1" customWidth="1"/>
    <col min="525" max="525" width="14.5703125" style="525" bestFit="1" customWidth="1"/>
    <col min="526" max="768" width="9.140625" style="525"/>
    <col min="769" max="769" width="24.7109375" style="525" customWidth="1"/>
    <col min="770" max="770" width="9.5703125" style="525" customWidth="1"/>
    <col min="771" max="772" width="9.28515625" style="525" customWidth="1"/>
    <col min="773" max="773" width="13.85546875" style="525" customWidth="1"/>
    <col min="774" max="774" width="8.28515625" style="525" customWidth="1"/>
    <col min="775" max="775" width="12.5703125" style="525" customWidth="1"/>
    <col min="776" max="776" width="13.42578125" style="525" customWidth="1"/>
    <col min="777" max="777" width="9.28515625" style="525" customWidth="1"/>
    <col min="778" max="778" width="12.7109375" style="525" customWidth="1"/>
    <col min="779" max="779" width="10.140625" style="525" bestFit="1" customWidth="1"/>
    <col min="780" max="780" width="16.85546875" style="525" bestFit="1" customWidth="1"/>
    <col min="781" max="781" width="14.5703125" style="525" bestFit="1" customWidth="1"/>
    <col min="782" max="1024" width="9.140625" style="525"/>
    <col min="1025" max="1025" width="24.7109375" style="525" customWidth="1"/>
    <col min="1026" max="1026" width="9.5703125" style="525" customWidth="1"/>
    <col min="1027" max="1028" width="9.28515625" style="525" customWidth="1"/>
    <col min="1029" max="1029" width="13.85546875" style="525" customWidth="1"/>
    <col min="1030" max="1030" width="8.28515625" style="525" customWidth="1"/>
    <col min="1031" max="1031" width="12.5703125" style="525" customWidth="1"/>
    <col min="1032" max="1032" width="13.42578125" style="525" customWidth="1"/>
    <col min="1033" max="1033" width="9.28515625" style="525" customWidth="1"/>
    <col min="1034" max="1034" width="12.7109375" style="525" customWidth="1"/>
    <col min="1035" max="1035" width="10.140625" style="525" bestFit="1" customWidth="1"/>
    <col min="1036" max="1036" width="16.85546875" style="525" bestFit="1" customWidth="1"/>
    <col min="1037" max="1037" width="14.5703125" style="525" bestFit="1" customWidth="1"/>
    <col min="1038" max="1280" width="9.140625" style="525"/>
    <col min="1281" max="1281" width="24.7109375" style="525" customWidth="1"/>
    <col min="1282" max="1282" width="9.5703125" style="525" customWidth="1"/>
    <col min="1283" max="1284" width="9.28515625" style="525" customWidth="1"/>
    <col min="1285" max="1285" width="13.85546875" style="525" customWidth="1"/>
    <col min="1286" max="1286" width="8.28515625" style="525" customWidth="1"/>
    <col min="1287" max="1287" width="12.5703125" style="525" customWidth="1"/>
    <col min="1288" max="1288" width="13.42578125" style="525" customWidth="1"/>
    <col min="1289" max="1289" width="9.28515625" style="525" customWidth="1"/>
    <col min="1290" max="1290" width="12.7109375" style="525" customWidth="1"/>
    <col min="1291" max="1291" width="10.140625" style="525" bestFit="1" customWidth="1"/>
    <col min="1292" max="1292" width="16.85546875" style="525" bestFit="1" customWidth="1"/>
    <col min="1293" max="1293" width="14.5703125" style="525" bestFit="1" customWidth="1"/>
    <col min="1294" max="1536" width="9.140625" style="525"/>
    <col min="1537" max="1537" width="24.7109375" style="525" customWidth="1"/>
    <col min="1538" max="1538" width="9.5703125" style="525" customWidth="1"/>
    <col min="1539" max="1540" width="9.28515625" style="525" customWidth="1"/>
    <col min="1541" max="1541" width="13.85546875" style="525" customWidth="1"/>
    <col min="1542" max="1542" width="8.28515625" style="525" customWidth="1"/>
    <col min="1543" max="1543" width="12.5703125" style="525" customWidth="1"/>
    <col min="1544" max="1544" width="13.42578125" style="525" customWidth="1"/>
    <col min="1545" max="1545" width="9.28515625" style="525" customWidth="1"/>
    <col min="1546" max="1546" width="12.7109375" style="525" customWidth="1"/>
    <col min="1547" max="1547" width="10.140625" style="525" bestFit="1" customWidth="1"/>
    <col min="1548" max="1548" width="16.85546875" style="525" bestFit="1" customWidth="1"/>
    <col min="1549" max="1549" width="14.5703125" style="525" bestFit="1" customWidth="1"/>
    <col min="1550" max="1792" width="9.140625" style="525"/>
    <col min="1793" max="1793" width="24.7109375" style="525" customWidth="1"/>
    <col min="1794" max="1794" width="9.5703125" style="525" customWidth="1"/>
    <col min="1795" max="1796" width="9.28515625" style="525" customWidth="1"/>
    <col min="1797" max="1797" width="13.85546875" style="525" customWidth="1"/>
    <col min="1798" max="1798" width="8.28515625" style="525" customWidth="1"/>
    <col min="1799" max="1799" width="12.5703125" style="525" customWidth="1"/>
    <col min="1800" max="1800" width="13.42578125" style="525" customWidth="1"/>
    <col min="1801" max="1801" width="9.28515625" style="525" customWidth="1"/>
    <col min="1802" max="1802" width="12.7109375" style="525" customWidth="1"/>
    <col min="1803" max="1803" width="10.140625" style="525" bestFit="1" customWidth="1"/>
    <col min="1804" max="1804" width="16.85546875" style="525" bestFit="1" customWidth="1"/>
    <col min="1805" max="1805" width="14.5703125" style="525" bestFit="1" customWidth="1"/>
    <col min="1806" max="2048" width="9.140625" style="525"/>
    <col min="2049" max="2049" width="24.7109375" style="525" customWidth="1"/>
    <col min="2050" max="2050" width="9.5703125" style="525" customWidth="1"/>
    <col min="2051" max="2052" width="9.28515625" style="525" customWidth="1"/>
    <col min="2053" max="2053" width="13.85546875" style="525" customWidth="1"/>
    <col min="2054" max="2054" width="8.28515625" style="525" customWidth="1"/>
    <col min="2055" max="2055" width="12.5703125" style="525" customWidth="1"/>
    <col min="2056" max="2056" width="13.42578125" style="525" customWidth="1"/>
    <col min="2057" max="2057" width="9.28515625" style="525" customWidth="1"/>
    <col min="2058" max="2058" width="12.7109375" style="525" customWidth="1"/>
    <col min="2059" max="2059" width="10.140625" style="525" bestFit="1" customWidth="1"/>
    <col min="2060" max="2060" width="16.85546875" style="525" bestFit="1" customWidth="1"/>
    <col min="2061" max="2061" width="14.5703125" style="525" bestFit="1" customWidth="1"/>
    <col min="2062" max="2304" width="9.140625" style="525"/>
    <col min="2305" max="2305" width="24.7109375" style="525" customWidth="1"/>
    <col min="2306" max="2306" width="9.5703125" style="525" customWidth="1"/>
    <col min="2307" max="2308" width="9.28515625" style="525" customWidth="1"/>
    <col min="2309" max="2309" width="13.85546875" style="525" customWidth="1"/>
    <col min="2310" max="2310" width="8.28515625" style="525" customWidth="1"/>
    <col min="2311" max="2311" width="12.5703125" style="525" customWidth="1"/>
    <col min="2312" max="2312" width="13.42578125" style="525" customWidth="1"/>
    <col min="2313" max="2313" width="9.28515625" style="525" customWidth="1"/>
    <col min="2314" max="2314" width="12.7109375" style="525" customWidth="1"/>
    <col min="2315" max="2315" width="10.140625" style="525" bestFit="1" customWidth="1"/>
    <col min="2316" max="2316" width="16.85546875" style="525" bestFit="1" customWidth="1"/>
    <col min="2317" max="2317" width="14.5703125" style="525" bestFit="1" customWidth="1"/>
    <col min="2318" max="2560" width="9.140625" style="525"/>
    <col min="2561" max="2561" width="24.7109375" style="525" customWidth="1"/>
    <col min="2562" max="2562" width="9.5703125" style="525" customWidth="1"/>
    <col min="2563" max="2564" width="9.28515625" style="525" customWidth="1"/>
    <col min="2565" max="2565" width="13.85546875" style="525" customWidth="1"/>
    <col min="2566" max="2566" width="8.28515625" style="525" customWidth="1"/>
    <col min="2567" max="2567" width="12.5703125" style="525" customWidth="1"/>
    <col min="2568" max="2568" width="13.42578125" style="525" customWidth="1"/>
    <col min="2569" max="2569" width="9.28515625" style="525" customWidth="1"/>
    <col min="2570" max="2570" width="12.7109375" style="525" customWidth="1"/>
    <col min="2571" max="2571" width="10.140625" style="525" bestFit="1" customWidth="1"/>
    <col min="2572" max="2572" width="16.85546875" style="525" bestFit="1" customWidth="1"/>
    <col min="2573" max="2573" width="14.5703125" style="525" bestFit="1" customWidth="1"/>
    <col min="2574" max="2816" width="9.140625" style="525"/>
    <col min="2817" max="2817" width="24.7109375" style="525" customWidth="1"/>
    <col min="2818" max="2818" width="9.5703125" style="525" customWidth="1"/>
    <col min="2819" max="2820" width="9.28515625" style="525" customWidth="1"/>
    <col min="2821" max="2821" width="13.85546875" style="525" customWidth="1"/>
    <col min="2822" max="2822" width="8.28515625" style="525" customWidth="1"/>
    <col min="2823" max="2823" width="12.5703125" style="525" customWidth="1"/>
    <col min="2824" max="2824" width="13.42578125" style="525" customWidth="1"/>
    <col min="2825" max="2825" width="9.28515625" style="525" customWidth="1"/>
    <col min="2826" max="2826" width="12.7109375" style="525" customWidth="1"/>
    <col min="2827" max="2827" width="10.140625" style="525" bestFit="1" customWidth="1"/>
    <col min="2828" max="2828" width="16.85546875" style="525" bestFit="1" customWidth="1"/>
    <col min="2829" max="2829" width="14.5703125" style="525" bestFit="1" customWidth="1"/>
    <col min="2830" max="3072" width="9.140625" style="525"/>
    <col min="3073" max="3073" width="24.7109375" style="525" customWidth="1"/>
    <col min="3074" max="3074" width="9.5703125" style="525" customWidth="1"/>
    <col min="3075" max="3076" width="9.28515625" style="525" customWidth="1"/>
    <col min="3077" max="3077" width="13.85546875" style="525" customWidth="1"/>
    <col min="3078" max="3078" width="8.28515625" style="525" customWidth="1"/>
    <col min="3079" max="3079" width="12.5703125" style="525" customWidth="1"/>
    <col min="3080" max="3080" width="13.42578125" style="525" customWidth="1"/>
    <col min="3081" max="3081" width="9.28515625" style="525" customWidth="1"/>
    <col min="3082" max="3082" width="12.7109375" style="525" customWidth="1"/>
    <col min="3083" max="3083" width="10.140625" style="525" bestFit="1" customWidth="1"/>
    <col min="3084" max="3084" width="16.85546875" style="525" bestFit="1" customWidth="1"/>
    <col min="3085" max="3085" width="14.5703125" style="525" bestFit="1" customWidth="1"/>
    <col min="3086" max="3328" width="9.140625" style="525"/>
    <col min="3329" max="3329" width="24.7109375" style="525" customWidth="1"/>
    <col min="3330" max="3330" width="9.5703125" style="525" customWidth="1"/>
    <col min="3331" max="3332" width="9.28515625" style="525" customWidth="1"/>
    <col min="3333" max="3333" width="13.85546875" style="525" customWidth="1"/>
    <col min="3334" max="3334" width="8.28515625" style="525" customWidth="1"/>
    <col min="3335" max="3335" width="12.5703125" style="525" customWidth="1"/>
    <col min="3336" max="3336" width="13.42578125" style="525" customWidth="1"/>
    <col min="3337" max="3337" width="9.28515625" style="525" customWidth="1"/>
    <col min="3338" max="3338" width="12.7109375" style="525" customWidth="1"/>
    <col min="3339" max="3339" width="10.140625" style="525" bestFit="1" customWidth="1"/>
    <col min="3340" max="3340" width="16.85546875" style="525" bestFit="1" customWidth="1"/>
    <col min="3341" max="3341" width="14.5703125" style="525" bestFit="1" customWidth="1"/>
    <col min="3342" max="3584" width="9.140625" style="525"/>
    <col min="3585" max="3585" width="24.7109375" style="525" customWidth="1"/>
    <col min="3586" max="3586" width="9.5703125" style="525" customWidth="1"/>
    <col min="3587" max="3588" width="9.28515625" style="525" customWidth="1"/>
    <col min="3589" max="3589" width="13.85546875" style="525" customWidth="1"/>
    <col min="3590" max="3590" width="8.28515625" style="525" customWidth="1"/>
    <col min="3591" max="3591" width="12.5703125" style="525" customWidth="1"/>
    <col min="3592" max="3592" width="13.42578125" style="525" customWidth="1"/>
    <col min="3593" max="3593" width="9.28515625" style="525" customWidth="1"/>
    <col min="3594" max="3594" width="12.7109375" style="525" customWidth="1"/>
    <col min="3595" max="3595" width="10.140625" style="525" bestFit="1" customWidth="1"/>
    <col min="3596" max="3596" width="16.85546875" style="525" bestFit="1" customWidth="1"/>
    <col min="3597" max="3597" width="14.5703125" style="525" bestFit="1" customWidth="1"/>
    <col min="3598" max="3840" width="9.140625" style="525"/>
    <col min="3841" max="3841" width="24.7109375" style="525" customWidth="1"/>
    <col min="3842" max="3842" width="9.5703125" style="525" customWidth="1"/>
    <col min="3843" max="3844" width="9.28515625" style="525" customWidth="1"/>
    <col min="3845" max="3845" width="13.85546875" style="525" customWidth="1"/>
    <col min="3846" max="3846" width="8.28515625" style="525" customWidth="1"/>
    <col min="3847" max="3847" width="12.5703125" style="525" customWidth="1"/>
    <col min="3848" max="3848" width="13.42578125" style="525" customWidth="1"/>
    <col min="3849" max="3849" width="9.28515625" style="525" customWidth="1"/>
    <col min="3850" max="3850" width="12.7109375" style="525" customWidth="1"/>
    <col min="3851" max="3851" width="10.140625" style="525" bestFit="1" customWidth="1"/>
    <col min="3852" max="3852" width="16.85546875" style="525" bestFit="1" customWidth="1"/>
    <col min="3853" max="3853" width="14.5703125" style="525" bestFit="1" customWidth="1"/>
    <col min="3854" max="4096" width="9.140625" style="525"/>
    <col min="4097" max="4097" width="24.7109375" style="525" customWidth="1"/>
    <col min="4098" max="4098" width="9.5703125" style="525" customWidth="1"/>
    <col min="4099" max="4100" width="9.28515625" style="525" customWidth="1"/>
    <col min="4101" max="4101" width="13.85546875" style="525" customWidth="1"/>
    <col min="4102" max="4102" width="8.28515625" style="525" customWidth="1"/>
    <col min="4103" max="4103" width="12.5703125" style="525" customWidth="1"/>
    <col min="4104" max="4104" width="13.42578125" style="525" customWidth="1"/>
    <col min="4105" max="4105" width="9.28515625" style="525" customWidth="1"/>
    <col min="4106" max="4106" width="12.7109375" style="525" customWidth="1"/>
    <col min="4107" max="4107" width="10.140625" style="525" bestFit="1" customWidth="1"/>
    <col min="4108" max="4108" width="16.85546875" style="525" bestFit="1" customWidth="1"/>
    <col min="4109" max="4109" width="14.5703125" style="525" bestFit="1" customWidth="1"/>
    <col min="4110" max="4352" width="9.140625" style="525"/>
    <col min="4353" max="4353" width="24.7109375" style="525" customWidth="1"/>
    <col min="4354" max="4354" width="9.5703125" style="525" customWidth="1"/>
    <col min="4355" max="4356" width="9.28515625" style="525" customWidth="1"/>
    <col min="4357" max="4357" width="13.85546875" style="525" customWidth="1"/>
    <col min="4358" max="4358" width="8.28515625" style="525" customWidth="1"/>
    <col min="4359" max="4359" width="12.5703125" style="525" customWidth="1"/>
    <col min="4360" max="4360" width="13.42578125" style="525" customWidth="1"/>
    <col min="4361" max="4361" width="9.28515625" style="525" customWidth="1"/>
    <col min="4362" max="4362" width="12.7109375" style="525" customWidth="1"/>
    <col min="4363" max="4363" width="10.140625" style="525" bestFit="1" customWidth="1"/>
    <col min="4364" max="4364" width="16.85546875" style="525" bestFit="1" customWidth="1"/>
    <col min="4365" max="4365" width="14.5703125" style="525" bestFit="1" customWidth="1"/>
    <col min="4366" max="4608" width="9.140625" style="525"/>
    <col min="4609" max="4609" width="24.7109375" style="525" customWidth="1"/>
    <col min="4610" max="4610" width="9.5703125" style="525" customWidth="1"/>
    <col min="4611" max="4612" width="9.28515625" style="525" customWidth="1"/>
    <col min="4613" max="4613" width="13.85546875" style="525" customWidth="1"/>
    <col min="4614" max="4614" width="8.28515625" style="525" customWidth="1"/>
    <col min="4615" max="4615" width="12.5703125" style="525" customWidth="1"/>
    <col min="4616" max="4616" width="13.42578125" style="525" customWidth="1"/>
    <col min="4617" max="4617" width="9.28515625" style="525" customWidth="1"/>
    <col min="4618" max="4618" width="12.7109375" style="525" customWidth="1"/>
    <col min="4619" max="4619" width="10.140625" style="525" bestFit="1" customWidth="1"/>
    <col min="4620" max="4620" width="16.85546875" style="525" bestFit="1" customWidth="1"/>
    <col min="4621" max="4621" width="14.5703125" style="525" bestFit="1" customWidth="1"/>
    <col min="4622" max="4864" width="9.140625" style="525"/>
    <col min="4865" max="4865" width="24.7109375" style="525" customWidth="1"/>
    <col min="4866" max="4866" width="9.5703125" style="525" customWidth="1"/>
    <col min="4867" max="4868" width="9.28515625" style="525" customWidth="1"/>
    <col min="4869" max="4869" width="13.85546875" style="525" customWidth="1"/>
    <col min="4870" max="4870" width="8.28515625" style="525" customWidth="1"/>
    <col min="4871" max="4871" width="12.5703125" style="525" customWidth="1"/>
    <col min="4872" max="4872" width="13.42578125" style="525" customWidth="1"/>
    <col min="4873" max="4873" width="9.28515625" style="525" customWidth="1"/>
    <col min="4874" max="4874" width="12.7109375" style="525" customWidth="1"/>
    <col min="4875" max="4875" width="10.140625" style="525" bestFit="1" customWidth="1"/>
    <col min="4876" max="4876" width="16.85546875" style="525" bestFit="1" customWidth="1"/>
    <col min="4877" max="4877" width="14.5703125" style="525" bestFit="1" customWidth="1"/>
    <col min="4878" max="5120" width="9.140625" style="525"/>
    <col min="5121" max="5121" width="24.7109375" style="525" customWidth="1"/>
    <col min="5122" max="5122" width="9.5703125" style="525" customWidth="1"/>
    <col min="5123" max="5124" width="9.28515625" style="525" customWidth="1"/>
    <col min="5125" max="5125" width="13.85546875" style="525" customWidth="1"/>
    <col min="5126" max="5126" width="8.28515625" style="525" customWidth="1"/>
    <col min="5127" max="5127" width="12.5703125" style="525" customWidth="1"/>
    <col min="5128" max="5128" width="13.42578125" style="525" customWidth="1"/>
    <col min="5129" max="5129" width="9.28515625" style="525" customWidth="1"/>
    <col min="5130" max="5130" width="12.7109375" style="525" customWidth="1"/>
    <col min="5131" max="5131" width="10.140625" style="525" bestFit="1" customWidth="1"/>
    <col min="5132" max="5132" width="16.85546875" style="525" bestFit="1" customWidth="1"/>
    <col min="5133" max="5133" width="14.5703125" style="525" bestFit="1" customWidth="1"/>
    <col min="5134" max="5376" width="9.140625" style="525"/>
    <col min="5377" max="5377" width="24.7109375" style="525" customWidth="1"/>
    <col min="5378" max="5378" width="9.5703125" style="525" customWidth="1"/>
    <col min="5379" max="5380" width="9.28515625" style="525" customWidth="1"/>
    <col min="5381" max="5381" width="13.85546875" style="525" customWidth="1"/>
    <col min="5382" max="5382" width="8.28515625" style="525" customWidth="1"/>
    <col min="5383" max="5383" width="12.5703125" style="525" customWidth="1"/>
    <col min="5384" max="5384" width="13.42578125" style="525" customWidth="1"/>
    <col min="5385" max="5385" width="9.28515625" style="525" customWidth="1"/>
    <col min="5386" max="5386" width="12.7109375" style="525" customWidth="1"/>
    <col min="5387" max="5387" width="10.140625" style="525" bestFit="1" customWidth="1"/>
    <col min="5388" max="5388" width="16.85546875" style="525" bestFit="1" customWidth="1"/>
    <col min="5389" max="5389" width="14.5703125" style="525" bestFit="1" customWidth="1"/>
    <col min="5390" max="5632" width="9.140625" style="525"/>
    <col min="5633" max="5633" width="24.7109375" style="525" customWidth="1"/>
    <col min="5634" max="5634" width="9.5703125" style="525" customWidth="1"/>
    <col min="5635" max="5636" width="9.28515625" style="525" customWidth="1"/>
    <col min="5637" max="5637" width="13.85546875" style="525" customWidth="1"/>
    <col min="5638" max="5638" width="8.28515625" style="525" customWidth="1"/>
    <col min="5639" max="5639" width="12.5703125" style="525" customWidth="1"/>
    <col min="5640" max="5640" width="13.42578125" style="525" customWidth="1"/>
    <col min="5641" max="5641" width="9.28515625" style="525" customWidth="1"/>
    <col min="5642" max="5642" width="12.7109375" style="525" customWidth="1"/>
    <col min="5643" max="5643" width="10.140625" style="525" bestFit="1" customWidth="1"/>
    <col min="5644" max="5644" width="16.85546875" style="525" bestFit="1" customWidth="1"/>
    <col min="5645" max="5645" width="14.5703125" style="525" bestFit="1" customWidth="1"/>
    <col min="5646" max="5888" width="9.140625" style="525"/>
    <col min="5889" max="5889" width="24.7109375" style="525" customWidth="1"/>
    <col min="5890" max="5890" width="9.5703125" style="525" customWidth="1"/>
    <col min="5891" max="5892" width="9.28515625" style="525" customWidth="1"/>
    <col min="5893" max="5893" width="13.85546875" style="525" customWidth="1"/>
    <col min="5894" max="5894" width="8.28515625" style="525" customWidth="1"/>
    <col min="5895" max="5895" width="12.5703125" style="525" customWidth="1"/>
    <col min="5896" max="5896" width="13.42578125" style="525" customWidth="1"/>
    <col min="5897" max="5897" width="9.28515625" style="525" customWidth="1"/>
    <col min="5898" max="5898" width="12.7109375" style="525" customWidth="1"/>
    <col min="5899" max="5899" width="10.140625" style="525" bestFit="1" customWidth="1"/>
    <col min="5900" max="5900" width="16.85546875" style="525" bestFit="1" customWidth="1"/>
    <col min="5901" max="5901" width="14.5703125" style="525" bestFit="1" customWidth="1"/>
    <col min="5902" max="6144" width="9.140625" style="525"/>
    <col min="6145" max="6145" width="24.7109375" style="525" customWidth="1"/>
    <col min="6146" max="6146" width="9.5703125" style="525" customWidth="1"/>
    <col min="6147" max="6148" width="9.28515625" style="525" customWidth="1"/>
    <col min="6149" max="6149" width="13.85546875" style="525" customWidth="1"/>
    <col min="6150" max="6150" width="8.28515625" style="525" customWidth="1"/>
    <col min="6151" max="6151" width="12.5703125" style="525" customWidth="1"/>
    <col min="6152" max="6152" width="13.42578125" style="525" customWidth="1"/>
    <col min="6153" max="6153" width="9.28515625" style="525" customWidth="1"/>
    <col min="6154" max="6154" width="12.7109375" style="525" customWidth="1"/>
    <col min="6155" max="6155" width="10.140625" style="525" bestFit="1" customWidth="1"/>
    <col min="6156" max="6156" width="16.85546875" style="525" bestFit="1" customWidth="1"/>
    <col min="6157" max="6157" width="14.5703125" style="525" bestFit="1" customWidth="1"/>
    <col min="6158" max="6400" width="9.140625" style="525"/>
    <col min="6401" max="6401" width="24.7109375" style="525" customWidth="1"/>
    <col min="6402" max="6402" width="9.5703125" style="525" customWidth="1"/>
    <col min="6403" max="6404" width="9.28515625" style="525" customWidth="1"/>
    <col min="6405" max="6405" width="13.85546875" style="525" customWidth="1"/>
    <col min="6406" max="6406" width="8.28515625" style="525" customWidth="1"/>
    <col min="6407" max="6407" width="12.5703125" style="525" customWidth="1"/>
    <col min="6408" max="6408" width="13.42578125" style="525" customWidth="1"/>
    <col min="6409" max="6409" width="9.28515625" style="525" customWidth="1"/>
    <col min="6410" max="6410" width="12.7109375" style="525" customWidth="1"/>
    <col min="6411" max="6411" width="10.140625" style="525" bestFit="1" customWidth="1"/>
    <col min="6412" max="6412" width="16.85546875" style="525" bestFit="1" customWidth="1"/>
    <col min="6413" max="6413" width="14.5703125" style="525" bestFit="1" customWidth="1"/>
    <col min="6414" max="6656" width="9.140625" style="525"/>
    <col min="6657" max="6657" width="24.7109375" style="525" customWidth="1"/>
    <col min="6658" max="6658" width="9.5703125" style="525" customWidth="1"/>
    <col min="6659" max="6660" width="9.28515625" style="525" customWidth="1"/>
    <col min="6661" max="6661" width="13.85546875" style="525" customWidth="1"/>
    <col min="6662" max="6662" width="8.28515625" style="525" customWidth="1"/>
    <col min="6663" max="6663" width="12.5703125" style="525" customWidth="1"/>
    <col min="6664" max="6664" width="13.42578125" style="525" customWidth="1"/>
    <col min="6665" max="6665" width="9.28515625" style="525" customWidth="1"/>
    <col min="6666" max="6666" width="12.7109375" style="525" customWidth="1"/>
    <col min="6667" max="6667" width="10.140625" style="525" bestFit="1" customWidth="1"/>
    <col min="6668" max="6668" width="16.85546875" style="525" bestFit="1" customWidth="1"/>
    <col min="6669" max="6669" width="14.5703125" style="525" bestFit="1" customWidth="1"/>
    <col min="6670" max="6912" width="9.140625" style="525"/>
    <col min="6913" max="6913" width="24.7109375" style="525" customWidth="1"/>
    <col min="6914" max="6914" width="9.5703125" style="525" customWidth="1"/>
    <col min="6915" max="6916" width="9.28515625" style="525" customWidth="1"/>
    <col min="6917" max="6917" width="13.85546875" style="525" customWidth="1"/>
    <col min="6918" max="6918" width="8.28515625" style="525" customWidth="1"/>
    <col min="6919" max="6919" width="12.5703125" style="525" customWidth="1"/>
    <col min="6920" max="6920" width="13.42578125" style="525" customWidth="1"/>
    <col min="6921" max="6921" width="9.28515625" style="525" customWidth="1"/>
    <col min="6922" max="6922" width="12.7109375" style="525" customWidth="1"/>
    <col min="6923" max="6923" width="10.140625" style="525" bestFit="1" customWidth="1"/>
    <col min="6924" max="6924" width="16.85546875" style="525" bestFit="1" customWidth="1"/>
    <col min="6925" max="6925" width="14.5703125" style="525" bestFit="1" customWidth="1"/>
    <col min="6926" max="7168" width="9.140625" style="525"/>
    <col min="7169" max="7169" width="24.7109375" style="525" customWidth="1"/>
    <col min="7170" max="7170" width="9.5703125" style="525" customWidth="1"/>
    <col min="7171" max="7172" width="9.28515625" style="525" customWidth="1"/>
    <col min="7173" max="7173" width="13.85546875" style="525" customWidth="1"/>
    <col min="7174" max="7174" width="8.28515625" style="525" customWidth="1"/>
    <col min="7175" max="7175" width="12.5703125" style="525" customWidth="1"/>
    <col min="7176" max="7176" width="13.42578125" style="525" customWidth="1"/>
    <col min="7177" max="7177" width="9.28515625" style="525" customWidth="1"/>
    <col min="7178" max="7178" width="12.7109375" style="525" customWidth="1"/>
    <col min="7179" max="7179" width="10.140625" style="525" bestFit="1" customWidth="1"/>
    <col min="7180" max="7180" width="16.85546875" style="525" bestFit="1" customWidth="1"/>
    <col min="7181" max="7181" width="14.5703125" style="525" bestFit="1" customWidth="1"/>
    <col min="7182" max="7424" width="9.140625" style="525"/>
    <col min="7425" max="7425" width="24.7109375" style="525" customWidth="1"/>
    <col min="7426" max="7426" width="9.5703125" style="525" customWidth="1"/>
    <col min="7427" max="7428" width="9.28515625" style="525" customWidth="1"/>
    <col min="7429" max="7429" width="13.85546875" style="525" customWidth="1"/>
    <col min="7430" max="7430" width="8.28515625" style="525" customWidth="1"/>
    <col min="7431" max="7431" width="12.5703125" style="525" customWidth="1"/>
    <col min="7432" max="7432" width="13.42578125" style="525" customWidth="1"/>
    <col min="7433" max="7433" width="9.28515625" style="525" customWidth="1"/>
    <col min="7434" max="7434" width="12.7109375" style="525" customWidth="1"/>
    <col min="7435" max="7435" width="10.140625" style="525" bestFit="1" customWidth="1"/>
    <col min="7436" max="7436" width="16.85546875" style="525" bestFit="1" customWidth="1"/>
    <col min="7437" max="7437" width="14.5703125" style="525" bestFit="1" customWidth="1"/>
    <col min="7438" max="7680" width="9.140625" style="525"/>
    <col min="7681" max="7681" width="24.7109375" style="525" customWidth="1"/>
    <col min="7682" max="7682" width="9.5703125" style="525" customWidth="1"/>
    <col min="7683" max="7684" width="9.28515625" style="525" customWidth="1"/>
    <col min="7685" max="7685" width="13.85546875" style="525" customWidth="1"/>
    <col min="7686" max="7686" width="8.28515625" style="525" customWidth="1"/>
    <col min="7687" max="7687" width="12.5703125" style="525" customWidth="1"/>
    <col min="7688" max="7688" width="13.42578125" style="525" customWidth="1"/>
    <col min="7689" max="7689" width="9.28515625" style="525" customWidth="1"/>
    <col min="7690" max="7690" width="12.7109375" style="525" customWidth="1"/>
    <col min="7691" max="7691" width="10.140625" style="525" bestFit="1" customWidth="1"/>
    <col min="7692" max="7692" width="16.85546875" style="525" bestFit="1" customWidth="1"/>
    <col min="7693" max="7693" width="14.5703125" style="525" bestFit="1" customWidth="1"/>
    <col min="7694" max="7936" width="9.140625" style="525"/>
    <col min="7937" max="7937" width="24.7109375" style="525" customWidth="1"/>
    <col min="7938" max="7938" width="9.5703125" style="525" customWidth="1"/>
    <col min="7939" max="7940" width="9.28515625" style="525" customWidth="1"/>
    <col min="7941" max="7941" width="13.85546875" style="525" customWidth="1"/>
    <col min="7942" max="7942" width="8.28515625" style="525" customWidth="1"/>
    <col min="7943" max="7943" width="12.5703125" style="525" customWidth="1"/>
    <col min="7944" max="7944" width="13.42578125" style="525" customWidth="1"/>
    <col min="7945" max="7945" width="9.28515625" style="525" customWidth="1"/>
    <col min="7946" max="7946" width="12.7109375" style="525" customWidth="1"/>
    <col min="7947" max="7947" width="10.140625" style="525" bestFit="1" customWidth="1"/>
    <col min="7948" max="7948" width="16.85546875" style="525" bestFit="1" customWidth="1"/>
    <col min="7949" max="7949" width="14.5703125" style="525" bestFit="1" customWidth="1"/>
    <col min="7950" max="8192" width="9.140625" style="525"/>
    <col min="8193" max="8193" width="24.7109375" style="525" customWidth="1"/>
    <col min="8194" max="8194" width="9.5703125" style="525" customWidth="1"/>
    <col min="8195" max="8196" width="9.28515625" style="525" customWidth="1"/>
    <col min="8197" max="8197" width="13.85546875" style="525" customWidth="1"/>
    <col min="8198" max="8198" width="8.28515625" style="525" customWidth="1"/>
    <col min="8199" max="8199" width="12.5703125" style="525" customWidth="1"/>
    <col min="8200" max="8200" width="13.42578125" style="525" customWidth="1"/>
    <col min="8201" max="8201" width="9.28515625" style="525" customWidth="1"/>
    <col min="8202" max="8202" width="12.7109375" style="525" customWidth="1"/>
    <col min="8203" max="8203" width="10.140625" style="525" bestFit="1" customWidth="1"/>
    <col min="8204" max="8204" width="16.85546875" style="525" bestFit="1" customWidth="1"/>
    <col min="8205" max="8205" width="14.5703125" style="525" bestFit="1" customWidth="1"/>
    <col min="8206" max="8448" width="9.140625" style="525"/>
    <col min="8449" max="8449" width="24.7109375" style="525" customWidth="1"/>
    <col min="8450" max="8450" width="9.5703125" style="525" customWidth="1"/>
    <col min="8451" max="8452" width="9.28515625" style="525" customWidth="1"/>
    <col min="8453" max="8453" width="13.85546875" style="525" customWidth="1"/>
    <col min="8454" max="8454" width="8.28515625" style="525" customWidth="1"/>
    <col min="8455" max="8455" width="12.5703125" style="525" customWidth="1"/>
    <col min="8456" max="8456" width="13.42578125" style="525" customWidth="1"/>
    <col min="8457" max="8457" width="9.28515625" style="525" customWidth="1"/>
    <col min="8458" max="8458" width="12.7109375" style="525" customWidth="1"/>
    <col min="8459" max="8459" width="10.140625" style="525" bestFit="1" customWidth="1"/>
    <col min="8460" max="8460" width="16.85546875" style="525" bestFit="1" customWidth="1"/>
    <col min="8461" max="8461" width="14.5703125" style="525" bestFit="1" customWidth="1"/>
    <col min="8462" max="8704" width="9.140625" style="525"/>
    <col min="8705" max="8705" width="24.7109375" style="525" customWidth="1"/>
    <col min="8706" max="8706" width="9.5703125" style="525" customWidth="1"/>
    <col min="8707" max="8708" width="9.28515625" style="525" customWidth="1"/>
    <col min="8709" max="8709" width="13.85546875" style="525" customWidth="1"/>
    <col min="8710" max="8710" width="8.28515625" style="525" customWidth="1"/>
    <col min="8711" max="8711" width="12.5703125" style="525" customWidth="1"/>
    <col min="8712" max="8712" width="13.42578125" style="525" customWidth="1"/>
    <col min="8713" max="8713" width="9.28515625" style="525" customWidth="1"/>
    <col min="8714" max="8714" width="12.7109375" style="525" customWidth="1"/>
    <col min="8715" max="8715" width="10.140625" style="525" bestFit="1" customWidth="1"/>
    <col min="8716" max="8716" width="16.85546875" style="525" bestFit="1" customWidth="1"/>
    <col min="8717" max="8717" width="14.5703125" style="525" bestFit="1" customWidth="1"/>
    <col min="8718" max="8960" width="9.140625" style="525"/>
    <col min="8961" max="8961" width="24.7109375" style="525" customWidth="1"/>
    <col min="8962" max="8962" width="9.5703125" style="525" customWidth="1"/>
    <col min="8963" max="8964" width="9.28515625" style="525" customWidth="1"/>
    <col min="8965" max="8965" width="13.85546875" style="525" customWidth="1"/>
    <col min="8966" max="8966" width="8.28515625" style="525" customWidth="1"/>
    <col min="8967" max="8967" width="12.5703125" style="525" customWidth="1"/>
    <col min="8968" max="8968" width="13.42578125" style="525" customWidth="1"/>
    <col min="8969" max="8969" width="9.28515625" style="525" customWidth="1"/>
    <col min="8970" max="8970" width="12.7109375" style="525" customWidth="1"/>
    <col min="8971" max="8971" width="10.140625" style="525" bestFit="1" customWidth="1"/>
    <col min="8972" max="8972" width="16.85546875" style="525" bestFit="1" customWidth="1"/>
    <col min="8973" max="8973" width="14.5703125" style="525" bestFit="1" customWidth="1"/>
    <col min="8974" max="9216" width="9.140625" style="525"/>
    <col min="9217" max="9217" width="24.7109375" style="525" customWidth="1"/>
    <col min="9218" max="9218" width="9.5703125" style="525" customWidth="1"/>
    <col min="9219" max="9220" width="9.28515625" style="525" customWidth="1"/>
    <col min="9221" max="9221" width="13.85546875" style="525" customWidth="1"/>
    <col min="9222" max="9222" width="8.28515625" style="525" customWidth="1"/>
    <col min="9223" max="9223" width="12.5703125" style="525" customWidth="1"/>
    <col min="9224" max="9224" width="13.42578125" style="525" customWidth="1"/>
    <col min="9225" max="9225" width="9.28515625" style="525" customWidth="1"/>
    <col min="9226" max="9226" width="12.7109375" style="525" customWidth="1"/>
    <col min="9227" max="9227" width="10.140625" style="525" bestFit="1" customWidth="1"/>
    <col min="9228" max="9228" width="16.85546875" style="525" bestFit="1" customWidth="1"/>
    <col min="9229" max="9229" width="14.5703125" style="525" bestFit="1" customWidth="1"/>
    <col min="9230" max="9472" width="9.140625" style="525"/>
    <col min="9473" max="9473" width="24.7109375" style="525" customWidth="1"/>
    <col min="9474" max="9474" width="9.5703125" style="525" customWidth="1"/>
    <col min="9475" max="9476" width="9.28515625" style="525" customWidth="1"/>
    <col min="9477" max="9477" width="13.85546875" style="525" customWidth="1"/>
    <col min="9478" max="9478" width="8.28515625" style="525" customWidth="1"/>
    <col min="9479" max="9479" width="12.5703125" style="525" customWidth="1"/>
    <col min="9480" max="9480" width="13.42578125" style="525" customWidth="1"/>
    <col min="9481" max="9481" width="9.28515625" style="525" customWidth="1"/>
    <col min="9482" max="9482" width="12.7109375" style="525" customWidth="1"/>
    <col min="9483" max="9483" width="10.140625" style="525" bestFit="1" customWidth="1"/>
    <col min="9484" max="9484" width="16.85546875" style="525" bestFit="1" customWidth="1"/>
    <col min="9485" max="9485" width="14.5703125" style="525" bestFit="1" customWidth="1"/>
    <col min="9486" max="9728" width="9.140625" style="525"/>
    <col min="9729" max="9729" width="24.7109375" style="525" customWidth="1"/>
    <col min="9730" max="9730" width="9.5703125" style="525" customWidth="1"/>
    <col min="9731" max="9732" width="9.28515625" style="525" customWidth="1"/>
    <col min="9733" max="9733" width="13.85546875" style="525" customWidth="1"/>
    <col min="9734" max="9734" width="8.28515625" style="525" customWidth="1"/>
    <col min="9735" max="9735" width="12.5703125" style="525" customWidth="1"/>
    <col min="9736" max="9736" width="13.42578125" style="525" customWidth="1"/>
    <col min="9737" max="9737" width="9.28515625" style="525" customWidth="1"/>
    <col min="9738" max="9738" width="12.7109375" style="525" customWidth="1"/>
    <col min="9739" max="9739" width="10.140625" style="525" bestFit="1" customWidth="1"/>
    <col min="9740" max="9740" width="16.85546875" style="525" bestFit="1" customWidth="1"/>
    <col min="9741" max="9741" width="14.5703125" style="525" bestFit="1" customWidth="1"/>
    <col min="9742" max="9984" width="9.140625" style="525"/>
    <col min="9985" max="9985" width="24.7109375" style="525" customWidth="1"/>
    <col min="9986" max="9986" width="9.5703125" style="525" customWidth="1"/>
    <col min="9987" max="9988" width="9.28515625" style="525" customWidth="1"/>
    <col min="9989" max="9989" width="13.85546875" style="525" customWidth="1"/>
    <col min="9990" max="9990" width="8.28515625" style="525" customWidth="1"/>
    <col min="9991" max="9991" width="12.5703125" style="525" customWidth="1"/>
    <col min="9992" max="9992" width="13.42578125" style="525" customWidth="1"/>
    <col min="9993" max="9993" width="9.28515625" style="525" customWidth="1"/>
    <col min="9994" max="9994" width="12.7109375" style="525" customWidth="1"/>
    <col min="9995" max="9995" width="10.140625" style="525" bestFit="1" customWidth="1"/>
    <col min="9996" max="9996" width="16.85546875" style="525" bestFit="1" customWidth="1"/>
    <col min="9997" max="9997" width="14.5703125" style="525" bestFit="1" customWidth="1"/>
    <col min="9998" max="10240" width="9.140625" style="525"/>
    <col min="10241" max="10241" width="24.7109375" style="525" customWidth="1"/>
    <col min="10242" max="10242" width="9.5703125" style="525" customWidth="1"/>
    <col min="10243" max="10244" width="9.28515625" style="525" customWidth="1"/>
    <col min="10245" max="10245" width="13.85546875" style="525" customWidth="1"/>
    <col min="10246" max="10246" width="8.28515625" style="525" customWidth="1"/>
    <col min="10247" max="10247" width="12.5703125" style="525" customWidth="1"/>
    <col min="10248" max="10248" width="13.42578125" style="525" customWidth="1"/>
    <col min="10249" max="10249" width="9.28515625" style="525" customWidth="1"/>
    <col min="10250" max="10250" width="12.7109375" style="525" customWidth="1"/>
    <col min="10251" max="10251" width="10.140625" style="525" bestFit="1" customWidth="1"/>
    <col min="10252" max="10252" width="16.85546875" style="525" bestFit="1" customWidth="1"/>
    <col min="10253" max="10253" width="14.5703125" style="525" bestFit="1" customWidth="1"/>
    <col min="10254" max="10496" width="9.140625" style="525"/>
    <col min="10497" max="10497" width="24.7109375" style="525" customWidth="1"/>
    <col min="10498" max="10498" width="9.5703125" style="525" customWidth="1"/>
    <col min="10499" max="10500" width="9.28515625" style="525" customWidth="1"/>
    <col min="10501" max="10501" width="13.85546875" style="525" customWidth="1"/>
    <col min="10502" max="10502" width="8.28515625" style="525" customWidth="1"/>
    <col min="10503" max="10503" width="12.5703125" style="525" customWidth="1"/>
    <col min="10504" max="10504" width="13.42578125" style="525" customWidth="1"/>
    <col min="10505" max="10505" width="9.28515625" style="525" customWidth="1"/>
    <col min="10506" max="10506" width="12.7109375" style="525" customWidth="1"/>
    <col min="10507" max="10507" width="10.140625" style="525" bestFit="1" customWidth="1"/>
    <col min="10508" max="10508" width="16.85546875" style="525" bestFit="1" customWidth="1"/>
    <col min="10509" max="10509" width="14.5703125" style="525" bestFit="1" customWidth="1"/>
    <col min="10510" max="10752" width="9.140625" style="525"/>
    <col min="10753" max="10753" width="24.7109375" style="525" customWidth="1"/>
    <col min="10754" max="10754" width="9.5703125" style="525" customWidth="1"/>
    <col min="10755" max="10756" width="9.28515625" style="525" customWidth="1"/>
    <col min="10757" max="10757" width="13.85546875" style="525" customWidth="1"/>
    <col min="10758" max="10758" width="8.28515625" style="525" customWidth="1"/>
    <col min="10759" max="10759" width="12.5703125" style="525" customWidth="1"/>
    <col min="10760" max="10760" width="13.42578125" style="525" customWidth="1"/>
    <col min="10761" max="10761" width="9.28515625" style="525" customWidth="1"/>
    <col min="10762" max="10762" width="12.7109375" style="525" customWidth="1"/>
    <col min="10763" max="10763" width="10.140625" style="525" bestFit="1" customWidth="1"/>
    <col min="10764" max="10764" width="16.85546875" style="525" bestFit="1" customWidth="1"/>
    <col min="10765" max="10765" width="14.5703125" style="525" bestFit="1" customWidth="1"/>
    <col min="10766" max="11008" width="9.140625" style="525"/>
    <col min="11009" max="11009" width="24.7109375" style="525" customWidth="1"/>
    <col min="11010" max="11010" width="9.5703125" style="525" customWidth="1"/>
    <col min="11011" max="11012" width="9.28515625" style="525" customWidth="1"/>
    <col min="11013" max="11013" width="13.85546875" style="525" customWidth="1"/>
    <col min="11014" max="11014" width="8.28515625" style="525" customWidth="1"/>
    <col min="11015" max="11015" width="12.5703125" style="525" customWidth="1"/>
    <col min="11016" max="11016" width="13.42578125" style="525" customWidth="1"/>
    <col min="11017" max="11017" width="9.28515625" style="525" customWidth="1"/>
    <col min="11018" max="11018" width="12.7109375" style="525" customWidth="1"/>
    <col min="11019" max="11019" width="10.140625" style="525" bestFit="1" customWidth="1"/>
    <col min="11020" max="11020" width="16.85546875" style="525" bestFit="1" customWidth="1"/>
    <col min="11021" max="11021" width="14.5703125" style="525" bestFit="1" customWidth="1"/>
    <col min="11022" max="11264" width="9.140625" style="525"/>
    <col min="11265" max="11265" width="24.7109375" style="525" customWidth="1"/>
    <col min="11266" max="11266" width="9.5703125" style="525" customWidth="1"/>
    <col min="11267" max="11268" width="9.28515625" style="525" customWidth="1"/>
    <col min="11269" max="11269" width="13.85546875" style="525" customWidth="1"/>
    <col min="11270" max="11270" width="8.28515625" style="525" customWidth="1"/>
    <col min="11271" max="11271" width="12.5703125" style="525" customWidth="1"/>
    <col min="11272" max="11272" width="13.42578125" style="525" customWidth="1"/>
    <col min="11273" max="11273" width="9.28515625" style="525" customWidth="1"/>
    <col min="11274" max="11274" width="12.7109375" style="525" customWidth="1"/>
    <col min="11275" max="11275" width="10.140625" style="525" bestFit="1" customWidth="1"/>
    <col min="11276" max="11276" width="16.85546875" style="525" bestFit="1" customWidth="1"/>
    <col min="11277" max="11277" width="14.5703125" style="525" bestFit="1" customWidth="1"/>
    <col min="11278" max="11520" width="9.140625" style="525"/>
    <col min="11521" max="11521" width="24.7109375" style="525" customWidth="1"/>
    <col min="11522" max="11522" width="9.5703125" style="525" customWidth="1"/>
    <col min="11523" max="11524" width="9.28515625" style="525" customWidth="1"/>
    <col min="11525" max="11525" width="13.85546875" style="525" customWidth="1"/>
    <col min="11526" max="11526" width="8.28515625" style="525" customWidth="1"/>
    <col min="11527" max="11527" width="12.5703125" style="525" customWidth="1"/>
    <col min="11528" max="11528" width="13.42578125" style="525" customWidth="1"/>
    <col min="11529" max="11529" width="9.28515625" style="525" customWidth="1"/>
    <col min="11530" max="11530" width="12.7109375" style="525" customWidth="1"/>
    <col min="11531" max="11531" width="10.140625" style="525" bestFit="1" customWidth="1"/>
    <col min="11532" max="11532" width="16.85546875" style="525" bestFit="1" customWidth="1"/>
    <col min="11533" max="11533" width="14.5703125" style="525" bestFit="1" customWidth="1"/>
    <col min="11534" max="11776" width="9.140625" style="525"/>
    <col min="11777" max="11777" width="24.7109375" style="525" customWidth="1"/>
    <col min="11778" max="11778" width="9.5703125" style="525" customWidth="1"/>
    <col min="11779" max="11780" width="9.28515625" style="525" customWidth="1"/>
    <col min="11781" max="11781" width="13.85546875" style="525" customWidth="1"/>
    <col min="11782" max="11782" width="8.28515625" style="525" customWidth="1"/>
    <col min="11783" max="11783" width="12.5703125" style="525" customWidth="1"/>
    <col min="11784" max="11784" width="13.42578125" style="525" customWidth="1"/>
    <col min="11785" max="11785" width="9.28515625" style="525" customWidth="1"/>
    <col min="11786" max="11786" width="12.7109375" style="525" customWidth="1"/>
    <col min="11787" max="11787" width="10.140625" style="525" bestFit="1" customWidth="1"/>
    <col min="11788" max="11788" width="16.85546875" style="525" bestFit="1" customWidth="1"/>
    <col min="11789" max="11789" width="14.5703125" style="525" bestFit="1" customWidth="1"/>
    <col min="11790" max="12032" width="9.140625" style="525"/>
    <col min="12033" max="12033" width="24.7109375" style="525" customWidth="1"/>
    <col min="12034" max="12034" width="9.5703125" style="525" customWidth="1"/>
    <col min="12035" max="12036" width="9.28515625" style="525" customWidth="1"/>
    <col min="12037" max="12037" width="13.85546875" style="525" customWidth="1"/>
    <col min="12038" max="12038" width="8.28515625" style="525" customWidth="1"/>
    <col min="12039" max="12039" width="12.5703125" style="525" customWidth="1"/>
    <col min="12040" max="12040" width="13.42578125" style="525" customWidth="1"/>
    <col min="12041" max="12041" width="9.28515625" style="525" customWidth="1"/>
    <col min="12042" max="12042" width="12.7109375" style="525" customWidth="1"/>
    <col min="12043" max="12043" width="10.140625" style="525" bestFit="1" customWidth="1"/>
    <col min="12044" max="12044" width="16.85546875" style="525" bestFit="1" customWidth="1"/>
    <col min="12045" max="12045" width="14.5703125" style="525" bestFit="1" customWidth="1"/>
    <col min="12046" max="12288" width="9.140625" style="525"/>
    <col min="12289" max="12289" width="24.7109375" style="525" customWidth="1"/>
    <col min="12290" max="12290" width="9.5703125" style="525" customWidth="1"/>
    <col min="12291" max="12292" width="9.28515625" style="525" customWidth="1"/>
    <col min="12293" max="12293" width="13.85546875" style="525" customWidth="1"/>
    <col min="12294" max="12294" width="8.28515625" style="525" customWidth="1"/>
    <col min="12295" max="12295" width="12.5703125" style="525" customWidth="1"/>
    <col min="12296" max="12296" width="13.42578125" style="525" customWidth="1"/>
    <col min="12297" max="12297" width="9.28515625" style="525" customWidth="1"/>
    <col min="12298" max="12298" width="12.7109375" style="525" customWidth="1"/>
    <col min="12299" max="12299" width="10.140625" style="525" bestFit="1" customWidth="1"/>
    <col min="12300" max="12300" width="16.85546875" style="525" bestFit="1" customWidth="1"/>
    <col min="12301" max="12301" width="14.5703125" style="525" bestFit="1" customWidth="1"/>
    <col min="12302" max="12544" width="9.140625" style="525"/>
    <col min="12545" max="12545" width="24.7109375" style="525" customWidth="1"/>
    <col min="12546" max="12546" width="9.5703125" style="525" customWidth="1"/>
    <col min="12547" max="12548" width="9.28515625" style="525" customWidth="1"/>
    <col min="12549" max="12549" width="13.85546875" style="525" customWidth="1"/>
    <col min="12550" max="12550" width="8.28515625" style="525" customWidth="1"/>
    <col min="12551" max="12551" width="12.5703125" style="525" customWidth="1"/>
    <col min="12552" max="12552" width="13.42578125" style="525" customWidth="1"/>
    <col min="12553" max="12553" width="9.28515625" style="525" customWidth="1"/>
    <col min="12554" max="12554" width="12.7109375" style="525" customWidth="1"/>
    <col min="12555" max="12555" width="10.140625" style="525" bestFit="1" customWidth="1"/>
    <col min="12556" max="12556" width="16.85546875" style="525" bestFit="1" customWidth="1"/>
    <col min="12557" max="12557" width="14.5703125" style="525" bestFit="1" customWidth="1"/>
    <col min="12558" max="12800" width="9.140625" style="525"/>
    <col min="12801" max="12801" width="24.7109375" style="525" customWidth="1"/>
    <col min="12802" max="12802" width="9.5703125" style="525" customWidth="1"/>
    <col min="12803" max="12804" width="9.28515625" style="525" customWidth="1"/>
    <col min="12805" max="12805" width="13.85546875" style="525" customWidth="1"/>
    <col min="12806" max="12806" width="8.28515625" style="525" customWidth="1"/>
    <col min="12807" max="12807" width="12.5703125" style="525" customWidth="1"/>
    <col min="12808" max="12808" width="13.42578125" style="525" customWidth="1"/>
    <col min="12809" max="12809" width="9.28515625" style="525" customWidth="1"/>
    <col min="12810" max="12810" width="12.7109375" style="525" customWidth="1"/>
    <col min="12811" max="12811" width="10.140625" style="525" bestFit="1" customWidth="1"/>
    <col min="12812" max="12812" width="16.85546875" style="525" bestFit="1" customWidth="1"/>
    <col min="12813" max="12813" width="14.5703125" style="525" bestFit="1" customWidth="1"/>
    <col min="12814" max="13056" width="9.140625" style="525"/>
    <col min="13057" max="13057" width="24.7109375" style="525" customWidth="1"/>
    <col min="13058" max="13058" width="9.5703125" style="525" customWidth="1"/>
    <col min="13059" max="13060" width="9.28515625" style="525" customWidth="1"/>
    <col min="13061" max="13061" width="13.85546875" style="525" customWidth="1"/>
    <col min="13062" max="13062" width="8.28515625" style="525" customWidth="1"/>
    <col min="13063" max="13063" width="12.5703125" style="525" customWidth="1"/>
    <col min="13064" max="13064" width="13.42578125" style="525" customWidth="1"/>
    <col min="13065" max="13065" width="9.28515625" style="525" customWidth="1"/>
    <col min="13066" max="13066" width="12.7109375" style="525" customWidth="1"/>
    <col min="13067" max="13067" width="10.140625" style="525" bestFit="1" customWidth="1"/>
    <col min="13068" max="13068" width="16.85546875" style="525" bestFit="1" customWidth="1"/>
    <col min="13069" max="13069" width="14.5703125" style="525" bestFit="1" customWidth="1"/>
    <col min="13070" max="13312" width="9.140625" style="525"/>
    <col min="13313" max="13313" width="24.7109375" style="525" customWidth="1"/>
    <col min="13314" max="13314" width="9.5703125" style="525" customWidth="1"/>
    <col min="13315" max="13316" width="9.28515625" style="525" customWidth="1"/>
    <col min="13317" max="13317" width="13.85546875" style="525" customWidth="1"/>
    <col min="13318" max="13318" width="8.28515625" style="525" customWidth="1"/>
    <col min="13319" max="13319" width="12.5703125" style="525" customWidth="1"/>
    <col min="13320" max="13320" width="13.42578125" style="525" customWidth="1"/>
    <col min="13321" max="13321" width="9.28515625" style="525" customWidth="1"/>
    <col min="13322" max="13322" width="12.7109375" style="525" customWidth="1"/>
    <col min="13323" max="13323" width="10.140625" style="525" bestFit="1" customWidth="1"/>
    <col min="13324" max="13324" width="16.85546875" style="525" bestFit="1" customWidth="1"/>
    <col min="13325" max="13325" width="14.5703125" style="525" bestFit="1" customWidth="1"/>
    <col min="13326" max="13568" width="9.140625" style="525"/>
    <col min="13569" max="13569" width="24.7109375" style="525" customWidth="1"/>
    <col min="13570" max="13570" width="9.5703125" style="525" customWidth="1"/>
    <col min="13571" max="13572" width="9.28515625" style="525" customWidth="1"/>
    <col min="13573" max="13573" width="13.85546875" style="525" customWidth="1"/>
    <col min="13574" max="13574" width="8.28515625" style="525" customWidth="1"/>
    <col min="13575" max="13575" width="12.5703125" style="525" customWidth="1"/>
    <col min="13576" max="13576" width="13.42578125" style="525" customWidth="1"/>
    <col min="13577" max="13577" width="9.28515625" style="525" customWidth="1"/>
    <col min="13578" max="13578" width="12.7109375" style="525" customWidth="1"/>
    <col min="13579" max="13579" width="10.140625" style="525" bestFit="1" customWidth="1"/>
    <col min="13580" max="13580" width="16.85546875" style="525" bestFit="1" customWidth="1"/>
    <col min="13581" max="13581" width="14.5703125" style="525" bestFit="1" customWidth="1"/>
    <col min="13582" max="13824" width="9.140625" style="525"/>
    <col min="13825" max="13825" width="24.7109375" style="525" customWidth="1"/>
    <col min="13826" max="13826" width="9.5703125" style="525" customWidth="1"/>
    <col min="13827" max="13828" width="9.28515625" style="525" customWidth="1"/>
    <col min="13829" max="13829" width="13.85546875" style="525" customWidth="1"/>
    <col min="13830" max="13830" width="8.28515625" style="525" customWidth="1"/>
    <col min="13831" max="13831" width="12.5703125" style="525" customWidth="1"/>
    <col min="13832" max="13832" width="13.42578125" style="525" customWidth="1"/>
    <col min="13833" max="13833" width="9.28515625" style="525" customWidth="1"/>
    <col min="13834" max="13834" width="12.7109375" style="525" customWidth="1"/>
    <col min="13835" max="13835" width="10.140625" style="525" bestFit="1" customWidth="1"/>
    <col min="13836" max="13836" width="16.85546875" style="525" bestFit="1" customWidth="1"/>
    <col min="13837" max="13837" width="14.5703125" style="525" bestFit="1" customWidth="1"/>
    <col min="13838" max="14080" width="9.140625" style="525"/>
    <col min="14081" max="14081" width="24.7109375" style="525" customWidth="1"/>
    <col min="14082" max="14082" width="9.5703125" style="525" customWidth="1"/>
    <col min="14083" max="14084" width="9.28515625" style="525" customWidth="1"/>
    <col min="14085" max="14085" width="13.85546875" style="525" customWidth="1"/>
    <col min="14086" max="14086" width="8.28515625" style="525" customWidth="1"/>
    <col min="14087" max="14087" width="12.5703125" style="525" customWidth="1"/>
    <col min="14088" max="14088" width="13.42578125" style="525" customWidth="1"/>
    <col min="14089" max="14089" width="9.28515625" style="525" customWidth="1"/>
    <col min="14090" max="14090" width="12.7109375" style="525" customWidth="1"/>
    <col min="14091" max="14091" width="10.140625" style="525" bestFit="1" customWidth="1"/>
    <col min="14092" max="14092" width="16.85546875" style="525" bestFit="1" customWidth="1"/>
    <col min="14093" max="14093" width="14.5703125" style="525" bestFit="1" customWidth="1"/>
    <col min="14094" max="14336" width="9.140625" style="525"/>
    <col min="14337" max="14337" width="24.7109375" style="525" customWidth="1"/>
    <col min="14338" max="14338" width="9.5703125" style="525" customWidth="1"/>
    <col min="14339" max="14340" width="9.28515625" style="525" customWidth="1"/>
    <col min="14341" max="14341" width="13.85546875" style="525" customWidth="1"/>
    <col min="14342" max="14342" width="8.28515625" style="525" customWidth="1"/>
    <col min="14343" max="14343" width="12.5703125" style="525" customWidth="1"/>
    <col min="14344" max="14344" width="13.42578125" style="525" customWidth="1"/>
    <col min="14345" max="14345" width="9.28515625" style="525" customWidth="1"/>
    <col min="14346" max="14346" width="12.7109375" style="525" customWidth="1"/>
    <col min="14347" max="14347" width="10.140625" style="525" bestFit="1" customWidth="1"/>
    <col min="14348" max="14348" width="16.85546875" style="525" bestFit="1" customWidth="1"/>
    <col min="14349" max="14349" width="14.5703125" style="525" bestFit="1" customWidth="1"/>
    <col min="14350" max="14592" width="9.140625" style="525"/>
    <col min="14593" max="14593" width="24.7109375" style="525" customWidth="1"/>
    <col min="14594" max="14594" width="9.5703125" style="525" customWidth="1"/>
    <col min="14595" max="14596" width="9.28515625" style="525" customWidth="1"/>
    <col min="14597" max="14597" width="13.85546875" style="525" customWidth="1"/>
    <col min="14598" max="14598" width="8.28515625" style="525" customWidth="1"/>
    <col min="14599" max="14599" width="12.5703125" style="525" customWidth="1"/>
    <col min="14600" max="14600" width="13.42578125" style="525" customWidth="1"/>
    <col min="14601" max="14601" width="9.28515625" style="525" customWidth="1"/>
    <col min="14602" max="14602" width="12.7109375" style="525" customWidth="1"/>
    <col min="14603" max="14603" width="10.140625" style="525" bestFit="1" customWidth="1"/>
    <col min="14604" max="14604" width="16.85546875" style="525" bestFit="1" customWidth="1"/>
    <col min="14605" max="14605" width="14.5703125" style="525" bestFit="1" customWidth="1"/>
    <col min="14606" max="14848" width="9.140625" style="525"/>
    <col min="14849" max="14849" width="24.7109375" style="525" customWidth="1"/>
    <col min="14850" max="14850" width="9.5703125" style="525" customWidth="1"/>
    <col min="14851" max="14852" width="9.28515625" style="525" customWidth="1"/>
    <col min="14853" max="14853" width="13.85546875" style="525" customWidth="1"/>
    <col min="14854" max="14854" width="8.28515625" style="525" customWidth="1"/>
    <col min="14855" max="14855" width="12.5703125" style="525" customWidth="1"/>
    <col min="14856" max="14856" width="13.42578125" style="525" customWidth="1"/>
    <col min="14857" max="14857" width="9.28515625" style="525" customWidth="1"/>
    <col min="14858" max="14858" width="12.7109375" style="525" customWidth="1"/>
    <col min="14859" max="14859" width="10.140625" style="525" bestFit="1" customWidth="1"/>
    <col min="14860" max="14860" width="16.85546875" style="525" bestFit="1" customWidth="1"/>
    <col min="14861" max="14861" width="14.5703125" style="525" bestFit="1" customWidth="1"/>
    <col min="14862" max="15104" width="9.140625" style="525"/>
    <col min="15105" max="15105" width="24.7109375" style="525" customWidth="1"/>
    <col min="15106" max="15106" width="9.5703125" style="525" customWidth="1"/>
    <col min="15107" max="15108" width="9.28515625" style="525" customWidth="1"/>
    <col min="15109" max="15109" width="13.85546875" style="525" customWidth="1"/>
    <col min="15110" max="15110" width="8.28515625" style="525" customWidth="1"/>
    <col min="15111" max="15111" width="12.5703125" style="525" customWidth="1"/>
    <col min="15112" max="15112" width="13.42578125" style="525" customWidth="1"/>
    <col min="15113" max="15113" width="9.28515625" style="525" customWidth="1"/>
    <col min="15114" max="15114" width="12.7109375" style="525" customWidth="1"/>
    <col min="15115" max="15115" width="10.140625" style="525" bestFit="1" customWidth="1"/>
    <col min="15116" max="15116" width="16.85546875" style="525" bestFit="1" customWidth="1"/>
    <col min="15117" max="15117" width="14.5703125" style="525" bestFit="1" customWidth="1"/>
    <col min="15118" max="15360" width="9.140625" style="525"/>
    <col min="15361" max="15361" width="24.7109375" style="525" customWidth="1"/>
    <col min="15362" max="15362" width="9.5703125" style="525" customWidth="1"/>
    <col min="15363" max="15364" width="9.28515625" style="525" customWidth="1"/>
    <col min="15365" max="15365" width="13.85546875" style="525" customWidth="1"/>
    <col min="15366" max="15366" width="8.28515625" style="525" customWidth="1"/>
    <col min="15367" max="15367" width="12.5703125" style="525" customWidth="1"/>
    <col min="15368" max="15368" width="13.42578125" style="525" customWidth="1"/>
    <col min="15369" max="15369" width="9.28515625" style="525" customWidth="1"/>
    <col min="15370" max="15370" width="12.7109375" style="525" customWidth="1"/>
    <col min="15371" max="15371" width="10.140625" style="525" bestFit="1" customWidth="1"/>
    <col min="15372" max="15372" width="16.85546875" style="525" bestFit="1" customWidth="1"/>
    <col min="15373" max="15373" width="14.5703125" style="525" bestFit="1" customWidth="1"/>
    <col min="15374" max="15616" width="9.140625" style="525"/>
    <col min="15617" max="15617" width="24.7109375" style="525" customWidth="1"/>
    <col min="15618" max="15618" width="9.5703125" style="525" customWidth="1"/>
    <col min="15619" max="15620" width="9.28515625" style="525" customWidth="1"/>
    <col min="15621" max="15621" width="13.85546875" style="525" customWidth="1"/>
    <col min="15622" max="15622" width="8.28515625" style="525" customWidth="1"/>
    <col min="15623" max="15623" width="12.5703125" style="525" customWidth="1"/>
    <col min="15624" max="15624" width="13.42578125" style="525" customWidth="1"/>
    <col min="15625" max="15625" width="9.28515625" style="525" customWidth="1"/>
    <col min="15626" max="15626" width="12.7109375" style="525" customWidth="1"/>
    <col min="15627" max="15627" width="10.140625" style="525" bestFit="1" customWidth="1"/>
    <col min="15628" max="15628" width="16.85546875" style="525" bestFit="1" customWidth="1"/>
    <col min="15629" max="15629" width="14.5703125" style="525" bestFit="1" customWidth="1"/>
    <col min="15630" max="15872" width="9.140625" style="525"/>
    <col min="15873" max="15873" width="24.7109375" style="525" customWidth="1"/>
    <col min="15874" max="15874" width="9.5703125" style="525" customWidth="1"/>
    <col min="15875" max="15876" width="9.28515625" style="525" customWidth="1"/>
    <col min="15877" max="15877" width="13.85546875" style="525" customWidth="1"/>
    <col min="15878" max="15878" width="8.28515625" style="525" customWidth="1"/>
    <col min="15879" max="15879" width="12.5703125" style="525" customWidth="1"/>
    <col min="15880" max="15880" width="13.42578125" style="525" customWidth="1"/>
    <col min="15881" max="15881" width="9.28515625" style="525" customWidth="1"/>
    <col min="15882" max="15882" width="12.7109375" style="525" customWidth="1"/>
    <col min="15883" max="15883" width="10.140625" style="525" bestFit="1" customWidth="1"/>
    <col min="15884" max="15884" width="16.85546875" style="525" bestFit="1" customWidth="1"/>
    <col min="15885" max="15885" width="14.5703125" style="525" bestFit="1" customWidth="1"/>
    <col min="15886" max="16128" width="9.140625" style="525"/>
    <col min="16129" max="16129" width="24.7109375" style="525" customWidth="1"/>
    <col min="16130" max="16130" width="9.5703125" style="525" customWidth="1"/>
    <col min="16131" max="16132" width="9.28515625" style="525" customWidth="1"/>
    <col min="16133" max="16133" width="13.85546875" style="525" customWidth="1"/>
    <col min="16134" max="16134" width="8.28515625" style="525" customWidth="1"/>
    <col min="16135" max="16135" width="12.5703125" style="525" customWidth="1"/>
    <col min="16136" max="16136" width="13.42578125" style="525" customWidth="1"/>
    <col min="16137" max="16137" width="9.28515625" style="525" customWidth="1"/>
    <col min="16138" max="16138" width="12.7109375" style="525" customWidth="1"/>
    <col min="16139" max="16139" width="10.140625" style="525" bestFit="1" customWidth="1"/>
    <col min="16140" max="16140" width="16.85546875" style="525" bestFit="1" customWidth="1"/>
    <col min="16141" max="16141" width="14.5703125" style="525" bestFit="1" customWidth="1"/>
    <col min="16142" max="16384" width="9.140625" style="525"/>
  </cols>
  <sheetData>
    <row r="1" spans="1:12">
      <c r="C1" s="526" t="s">
        <v>1454</v>
      </c>
      <c r="G1" s="1388" t="s">
        <v>1020</v>
      </c>
    </row>
    <row r="6" spans="1:12">
      <c r="A6" s="2740" t="s">
        <v>1453</v>
      </c>
      <c r="B6" s="2740"/>
      <c r="C6" s="2740"/>
      <c r="D6" s="2740"/>
      <c r="E6" s="2740"/>
      <c r="F6" s="2740"/>
      <c r="G6" s="2740"/>
      <c r="H6" s="2740"/>
      <c r="I6" s="2740"/>
      <c r="J6" s="2740"/>
    </row>
    <row r="7" spans="1:12" ht="17.25">
      <c r="A7" s="2741" t="s">
        <v>1361</v>
      </c>
      <c r="B7" s="2741"/>
      <c r="C7" s="2741"/>
      <c r="D7" s="2741"/>
      <c r="E7" s="2741"/>
      <c r="F7" s="2741"/>
      <c r="G7" s="2741"/>
      <c r="H7" s="2741"/>
      <c r="I7" s="2741"/>
      <c r="J7" s="2741"/>
    </row>
    <row r="8" spans="1:12">
      <c r="A8" s="2357"/>
      <c r="B8" s="2357"/>
      <c r="C8" s="2304"/>
      <c r="D8" s="2357"/>
      <c r="E8" s="2357"/>
      <c r="F8" s="2357"/>
      <c r="G8" s="2357"/>
      <c r="H8" s="2357"/>
      <c r="I8" s="2742" t="s">
        <v>1263</v>
      </c>
      <c r="J8" s="2742"/>
    </row>
    <row r="9" spans="1:12">
      <c r="A9" s="2743" t="s">
        <v>1294</v>
      </c>
      <c r="B9" s="2743" t="s">
        <v>1360</v>
      </c>
      <c r="C9" s="2746" t="s">
        <v>1359</v>
      </c>
      <c r="D9" s="2747" t="s">
        <v>1358</v>
      </c>
      <c r="E9" s="2748"/>
      <c r="F9" s="2748"/>
      <c r="G9" s="2748"/>
      <c r="H9" s="2743" t="s">
        <v>1452</v>
      </c>
      <c r="I9" s="2749" t="s">
        <v>1451</v>
      </c>
      <c r="J9" s="2750"/>
    </row>
    <row r="10" spans="1:12" ht="15.6" customHeight="1">
      <c r="A10" s="2744"/>
      <c r="B10" s="2744"/>
      <c r="C10" s="2746"/>
      <c r="D10" s="2747" t="s">
        <v>1355</v>
      </c>
      <c r="E10" s="2748"/>
      <c r="F10" s="2747" t="s">
        <v>1354</v>
      </c>
      <c r="G10" s="2748"/>
      <c r="H10" s="2744"/>
      <c r="I10" s="2751"/>
      <c r="J10" s="2752"/>
    </row>
    <row r="11" spans="1:12" ht="49.5">
      <c r="A11" s="2745"/>
      <c r="B11" s="2745"/>
      <c r="C11" s="2746"/>
      <c r="D11" s="569" t="s">
        <v>1352</v>
      </c>
      <c r="E11" s="569" t="s">
        <v>102</v>
      </c>
      <c r="F11" s="569" t="s">
        <v>1352</v>
      </c>
      <c r="G11" s="569" t="s">
        <v>102</v>
      </c>
      <c r="H11" s="2745"/>
      <c r="I11" s="569" t="s">
        <v>1352</v>
      </c>
      <c r="J11" s="569" t="s">
        <v>102</v>
      </c>
    </row>
    <row r="12" spans="1:12" s="540" customFormat="1">
      <c r="A12" s="567" t="s">
        <v>1351</v>
      </c>
      <c r="B12" s="529"/>
      <c r="C12" s="566"/>
      <c r="D12" s="565"/>
      <c r="E12" s="565">
        <f>SUM(E24+E26)</f>
        <v>69250000</v>
      </c>
      <c r="F12" s="565"/>
      <c r="G12" s="565">
        <f>SUM(G24+G26)</f>
        <v>59660000</v>
      </c>
      <c r="H12" s="565">
        <f>SUM(H24+H26)</f>
        <v>128910000</v>
      </c>
      <c r="I12" s="565"/>
      <c r="J12" s="565">
        <f>SUM(J24+J26)</f>
        <v>71660000</v>
      </c>
      <c r="L12" s="571"/>
    </row>
    <row r="13" spans="1:12">
      <c r="A13" s="552" t="s">
        <v>1450</v>
      </c>
      <c r="B13" s="554" t="s">
        <v>1449</v>
      </c>
      <c r="C13" s="553">
        <v>3300</v>
      </c>
      <c r="D13" s="552">
        <v>3300</v>
      </c>
      <c r="E13" s="557">
        <f t="shared" ref="E13:E22" si="0">$C13*D13</f>
        <v>10890000</v>
      </c>
      <c r="F13" s="552"/>
      <c r="G13" s="557">
        <f>$C13*F13</f>
        <v>0</v>
      </c>
      <c r="H13" s="557">
        <f t="shared" ref="H13:H22" si="1">G13+E13</f>
        <v>10890000</v>
      </c>
      <c r="I13" s="551"/>
      <c r="J13" s="557">
        <f t="shared" ref="J13:J23" si="2">$C13*I13</f>
        <v>0</v>
      </c>
    </row>
    <row r="14" spans="1:12">
      <c r="A14" s="552" t="s">
        <v>1448</v>
      </c>
      <c r="B14" s="554" t="s">
        <v>829</v>
      </c>
      <c r="C14" s="553">
        <v>7500</v>
      </c>
      <c r="D14" s="552">
        <v>860</v>
      </c>
      <c r="E14" s="557">
        <f t="shared" si="0"/>
        <v>6450000</v>
      </c>
      <c r="F14" s="552">
        <v>860</v>
      </c>
      <c r="G14" s="557">
        <f>$C14*F14</f>
        <v>6450000</v>
      </c>
      <c r="H14" s="557">
        <f t="shared" si="1"/>
        <v>12900000</v>
      </c>
      <c r="I14" s="552">
        <v>860</v>
      </c>
      <c r="J14" s="557">
        <f t="shared" si="2"/>
        <v>6450000</v>
      </c>
    </row>
    <row r="15" spans="1:12">
      <c r="A15" s="552" t="s">
        <v>1447</v>
      </c>
      <c r="B15" s="554" t="s">
        <v>829</v>
      </c>
      <c r="C15" s="553">
        <v>16000</v>
      </c>
      <c r="D15" s="552">
        <v>625</v>
      </c>
      <c r="E15" s="557">
        <f t="shared" si="0"/>
        <v>10000000</v>
      </c>
      <c r="F15" s="552">
        <v>625</v>
      </c>
      <c r="G15" s="557">
        <f>$C15*F15</f>
        <v>10000000</v>
      </c>
      <c r="H15" s="557">
        <f t="shared" si="1"/>
        <v>20000000</v>
      </c>
      <c r="I15" s="552">
        <v>625</v>
      </c>
      <c r="J15" s="557">
        <f t="shared" si="2"/>
        <v>10000000</v>
      </c>
    </row>
    <row r="16" spans="1:12">
      <c r="A16" s="552" t="s">
        <v>1446</v>
      </c>
      <c r="B16" s="554" t="s">
        <v>829</v>
      </c>
      <c r="C16" s="553">
        <v>14000</v>
      </c>
      <c r="D16" s="552">
        <v>415</v>
      </c>
      <c r="E16" s="557">
        <f t="shared" si="0"/>
        <v>5810000</v>
      </c>
      <c r="F16" s="552">
        <v>415</v>
      </c>
      <c r="G16" s="557">
        <f>$C16*F16</f>
        <v>5810000</v>
      </c>
      <c r="H16" s="557">
        <f t="shared" si="1"/>
        <v>11620000</v>
      </c>
      <c r="I16" s="552">
        <v>415</v>
      </c>
      <c r="J16" s="557">
        <f t="shared" si="2"/>
        <v>5810000</v>
      </c>
    </row>
    <row r="17" spans="1:13">
      <c r="A17" s="552" t="s">
        <v>1445</v>
      </c>
      <c r="B17" s="554" t="s">
        <v>1320</v>
      </c>
      <c r="C17" s="553">
        <v>20000</v>
      </c>
      <c r="D17" s="552">
        <v>300</v>
      </c>
      <c r="E17" s="557">
        <f t="shared" si="0"/>
        <v>6000000</v>
      </c>
      <c r="F17" s="552">
        <v>300</v>
      </c>
      <c r="G17" s="557">
        <f>$C17*F17</f>
        <v>6000000</v>
      </c>
      <c r="H17" s="557">
        <f t="shared" si="1"/>
        <v>12000000</v>
      </c>
      <c r="I17" s="552">
        <v>300</v>
      </c>
      <c r="J17" s="557">
        <f t="shared" si="2"/>
        <v>6000000</v>
      </c>
    </row>
    <row r="18" spans="1:13">
      <c r="A18" s="552" t="s">
        <v>1444</v>
      </c>
      <c r="B18" s="554" t="s">
        <v>513</v>
      </c>
      <c r="C18" s="553">
        <v>100000</v>
      </c>
      <c r="D18" s="552">
        <v>2</v>
      </c>
      <c r="E18" s="557">
        <f t="shared" si="0"/>
        <v>200000</v>
      </c>
      <c r="F18" s="552">
        <v>2</v>
      </c>
      <c r="G18" s="557">
        <f>$C$18*F18</f>
        <v>200000</v>
      </c>
      <c r="H18" s="557">
        <f t="shared" si="1"/>
        <v>400000</v>
      </c>
      <c r="I18" s="552">
        <v>2</v>
      </c>
      <c r="J18" s="557">
        <f t="shared" si="2"/>
        <v>200000</v>
      </c>
    </row>
    <row r="19" spans="1:13">
      <c r="A19" s="552" t="s">
        <v>1443</v>
      </c>
      <c r="B19" s="554" t="s">
        <v>1442</v>
      </c>
      <c r="C19" s="553">
        <v>250000</v>
      </c>
      <c r="D19" s="552">
        <v>8</v>
      </c>
      <c r="E19" s="557">
        <f t="shared" si="0"/>
        <v>2000000</v>
      </c>
      <c r="F19" s="552">
        <v>8</v>
      </c>
      <c r="G19" s="557">
        <f>$C19*F19</f>
        <v>2000000</v>
      </c>
      <c r="H19" s="557">
        <f t="shared" si="1"/>
        <v>4000000</v>
      </c>
      <c r="I19" s="552">
        <v>8</v>
      </c>
      <c r="J19" s="557">
        <f t="shared" si="2"/>
        <v>2000000</v>
      </c>
    </row>
    <row r="20" spans="1:13">
      <c r="A20" s="552" t="s">
        <v>1441</v>
      </c>
      <c r="B20" s="554" t="s">
        <v>1437</v>
      </c>
      <c r="C20" s="553">
        <v>150000</v>
      </c>
      <c r="D20" s="552">
        <v>90</v>
      </c>
      <c r="E20" s="557">
        <f t="shared" si="0"/>
        <v>13500000</v>
      </c>
      <c r="F20" s="552">
        <v>90</v>
      </c>
      <c r="G20" s="557">
        <f>F20*C20</f>
        <v>13500000</v>
      </c>
      <c r="H20" s="557">
        <f t="shared" si="1"/>
        <v>27000000</v>
      </c>
      <c r="I20" s="552">
        <v>90</v>
      </c>
      <c r="J20" s="557">
        <f t="shared" si="2"/>
        <v>13500000</v>
      </c>
    </row>
    <row r="21" spans="1:13">
      <c r="A21" s="552" t="s">
        <v>1440</v>
      </c>
      <c r="B21" s="554" t="s">
        <v>1437</v>
      </c>
      <c r="C21" s="553">
        <v>150000</v>
      </c>
      <c r="D21" s="552">
        <v>30</v>
      </c>
      <c r="E21" s="557">
        <f t="shared" si="0"/>
        <v>4500000</v>
      </c>
      <c r="F21" s="552">
        <v>30</v>
      </c>
      <c r="G21" s="557">
        <f>F21*C21</f>
        <v>4500000</v>
      </c>
      <c r="H21" s="557">
        <f t="shared" si="1"/>
        <v>9000000</v>
      </c>
      <c r="I21" s="552">
        <v>30</v>
      </c>
      <c r="J21" s="557">
        <f t="shared" si="2"/>
        <v>4500000</v>
      </c>
    </row>
    <row r="22" spans="1:13">
      <c r="A22" s="552" t="s">
        <v>1439</v>
      </c>
      <c r="B22" s="554" t="s">
        <v>149</v>
      </c>
      <c r="C22" s="553">
        <v>2000000</v>
      </c>
      <c r="D22" s="552">
        <v>3</v>
      </c>
      <c r="E22" s="557">
        <f t="shared" si="0"/>
        <v>6000000</v>
      </c>
      <c r="F22" s="552">
        <v>3</v>
      </c>
      <c r="G22" s="557">
        <f>F22*C22</f>
        <v>6000000</v>
      </c>
      <c r="H22" s="557">
        <f t="shared" si="1"/>
        <v>12000000</v>
      </c>
      <c r="I22" s="552">
        <v>3</v>
      </c>
      <c r="J22" s="557">
        <f t="shared" si="2"/>
        <v>6000000</v>
      </c>
    </row>
    <row r="23" spans="1:13">
      <c r="A23" s="552" t="s">
        <v>1438</v>
      </c>
      <c r="B23" s="554" t="s">
        <v>1437</v>
      </c>
      <c r="C23" s="553">
        <v>150000</v>
      </c>
      <c r="D23" s="552"/>
      <c r="E23" s="557"/>
      <c r="F23" s="552"/>
      <c r="G23" s="557"/>
      <c r="H23" s="557"/>
      <c r="I23" s="552">
        <v>80</v>
      </c>
      <c r="J23" s="557">
        <f t="shared" si="2"/>
        <v>12000000</v>
      </c>
    </row>
    <row r="24" spans="1:13" s="540" customFormat="1">
      <c r="A24" s="556" t="s">
        <v>1344</v>
      </c>
      <c r="B24" s="554"/>
      <c r="C24" s="553"/>
      <c r="D24" s="552"/>
      <c r="E24" s="564">
        <f>SUM(E13:E22)</f>
        <v>65350000</v>
      </c>
      <c r="F24" s="552"/>
      <c r="G24" s="564">
        <f>SUM(G13:G22)</f>
        <v>54460000</v>
      </c>
      <c r="H24" s="564">
        <f>SUM(H13:H22)</f>
        <v>119810000</v>
      </c>
      <c r="I24" s="555"/>
      <c r="J24" s="555">
        <f>SUM(J13:J23)</f>
        <v>66460000</v>
      </c>
      <c r="L24" s="570"/>
      <c r="M24" s="572"/>
    </row>
    <row r="25" spans="1:13" s="540" customFormat="1" ht="17.25">
      <c r="A25" s="563" t="s">
        <v>12</v>
      </c>
      <c r="B25" s="562"/>
      <c r="C25" s="561"/>
      <c r="D25" s="560"/>
      <c r="E25" s="559">
        <v>60000000</v>
      </c>
      <c r="F25" s="559"/>
      <c r="G25" s="559">
        <v>80000000</v>
      </c>
      <c r="H25" s="559"/>
      <c r="I25" s="558"/>
      <c r="J25" s="558"/>
      <c r="L25" s="570"/>
      <c r="M25" s="572"/>
    </row>
    <row r="26" spans="1:13">
      <c r="A26" s="552" t="s">
        <v>1342</v>
      </c>
      <c r="B26" s="554"/>
      <c r="C26" s="553"/>
      <c r="D26" s="552"/>
      <c r="E26" s="557">
        <f>E25*6.5%</f>
        <v>3900000</v>
      </c>
      <c r="F26" s="557"/>
      <c r="G26" s="557">
        <f>G25*6.5%</f>
        <v>5200000</v>
      </c>
      <c r="H26" s="553">
        <f>E26+G26</f>
        <v>9100000</v>
      </c>
      <c r="I26" s="551"/>
      <c r="J26" s="551">
        <f>G26</f>
        <v>5200000</v>
      </c>
      <c r="M26" s="572"/>
    </row>
    <row r="27" spans="1:13" s="540" customFormat="1">
      <c r="A27" s="556" t="s">
        <v>1341</v>
      </c>
      <c r="B27" s="554"/>
      <c r="C27" s="553"/>
      <c r="D27" s="552"/>
      <c r="E27" s="552"/>
      <c r="F27" s="552"/>
      <c r="G27" s="552"/>
      <c r="H27" s="552"/>
      <c r="I27" s="551"/>
      <c r="J27" s="555">
        <f>J29</f>
        <v>140000000</v>
      </c>
      <c r="L27" s="570"/>
      <c r="M27" s="574"/>
    </row>
    <row r="28" spans="1:13">
      <c r="A28" s="552" t="s">
        <v>1340</v>
      </c>
      <c r="B28" s="554" t="s">
        <v>11</v>
      </c>
      <c r="C28" s="553"/>
      <c r="D28" s="552"/>
      <c r="E28" s="552"/>
      <c r="F28" s="552"/>
      <c r="G28" s="552"/>
      <c r="H28" s="552"/>
      <c r="I28" s="551">
        <v>3500</v>
      </c>
      <c r="J28" s="551"/>
    </row>
    <row r="29" spans="1:13">
      <c r="A29" s="552" t="s">
        <v>1339</v>
      </c>
      <c r="B29" s="554" t="s">
        <v>1338</v>
      </c>
      <c r="C29" s="553">
        <v>40000</v>
      </c>
      <c r="D29" s="552"/>
      <c r="E29" s="552"/>
      <c r="F29" s="552"/>
      <c r="G29" s="552"/>
      <c r="H29" s="552"/>
      <c r="I29" s="551">
        <f>I28</f>
        <v>3500</v>
      </c>
      <c r="J29" s="551">
        <f>I29*C29</f>
        <v>140000000</v>
      </c>
    </row>
    <row r="30" spans="1:13" s="540" customFormat="1">
      <c r="A30" s="550" t="s">
        <v>1337</v>
      </c>
      <c r="B30" s="548"/>
      <c r="C30" s="549"/>
      <c r="D30" s="548"/>
      <c r="E30" s="548"/>
      <c r="F30" s="548"/>
      <c r="G30" s="548"/>
      <c r="H30" s="548"/>
      <c r="I30" s="547"/>
      <c r="J30" s="547">
        <f>J27-J12</f>
        <v>68340000</v>
      </c>
      <c r="L30" s="571"/>
    </row>
    <row r="31" spans="1:13" s="540" customFormat="1">
      <c r="A31" s="546" t="s">
        <v>1269</v>
      </c>
      <c r="B31" s="545" t="s">
        <v>90</v>
      </c>
      <c r="C31" s="544"/>
      <c r="D31" s="543"/>
      <c r="E31" s="543"/>
      <c r="F31" s="543"/>
      <c r="G31" s="543"/>
      <c r="H31" s="543"/>
      <c r="I31" s="542"/>
      <c r="J31" s="541">
        <f>J30/J27</f>
        <v>0.48814285714285716</v>
      </c>
      <c r="L31" s="571"/>
    </row>
    <row r="32" spans="1:13">
      <c r="A32" s="539"/>
      <c r="B32" s="537"/>
      <c r="C32" s="538"/>
      <c r="D32" s="537"/>
      <c r="E32" s="537"/>
      <c r="F32" s="537"/>
      <c r="G32" s="537"/>
      <c r="H32" s="537"/>
      <c r="I32" s="536"/>
      <c r="J32" s="536"/>
    </row>
    <row r="33" spans="1:8">
      <c r="A33" s="2753" t="s">
        <v>1336</v>
      </c>
      <c r="B33" s="2754"/>
      <c r="C33" s="2754"/>
    </row>
    <row r="34" spans="1:8">
      <c r="A34" s="530" t="s">
        <v>1335</v>
      </c>
      <c r="B34" s="2737"/>
      <c r="C34" s="2737"/>
    </row>
    <row r="35" spans="1:8">
      <c r="A35" s="529" t="s">
        <v>1330</v>
      </c>
      <c r="B35" s="2738">
        <v>80000000</v>
      </c>
      <c r="C35" s="2738"/>
      <c r="D35" s="535"/>
      <c r="E35" s="535"/>
      <c r="F35" s="535"/>
      <c r="G35" s="535"/>
      <c r="H35" s="534"/>
    </row>
    <row r="36" spans="1:8">
      <c r="A36" s="528" t="s">
        <v>1329</v>
      </c>
      <c r="B36" s="2739" t="s">
        <v>1420</v>
      </c>
      <c r="C36" s="2739"/>
      <c r="D36" s="533"/>
      <c r="E36" s="533"/>
      <c r="F36" s="533"/>
      <c r="G36" s="533"/>
      <c r="H36" s="533"/>
    </row>
    <row r="37" spans="1:8">
      <c r="A37" s="527" t="s">
        <v>1328</v>
      </c>
      <c r="B37" s="2735">
        <v>6.5000000000000002E-2</v>
      </c>
      <c r="C37" s="2735"/>
      <c r="D37" s="532"/>
      <c r="E37" s="532"/>
      <c r="F37" s="532"/>
      <c r="G37" s="532"/>
      <c r="H37" s="532"/>
    </row>
    <row r="38" spans="1:8">
      <c r="A38" s="531" t="s">
        <v>1333</v>
      </c>
      <c r="B38" s="2736" t="s">
        <v>1436</v>
      </c>
      <c r="C38" s="2736"/>
    </row>
    <row r="39" spans="1:8">
      <c r="A39" s="531"/>
      <c r="B39" s="2356"/>
      <c r="C39" s="2356"/>
    </row>
    <row r="40" spans="1:8">
      <c r="A40" s="530" t="s">
        <v>1331</v>
      </c>
      <c r="B40" s="2737"/>
      <c r="C40" s="2737"/>
    </row>
    <row r="41" spans="1:8">
      <c r="A41" s="529" t="s">
        <v>1330</v>
      </c>
      <c r="B41" s="2738">
        <v>4000000</v>
      </c>
      <c r="C41" s="2738"/>
    </row>
    <row r="42" spans="1:8">
      <c r="A42" s="528" t="s">
        <v>1329</v>
      </c>
      <c r="B42" s="2739" t="s">
        <v>1159</v>
      </c>
      <c r="C42" s="2739"/>
    </row>
    <row r="43" spans="1:8">
      <c r="A43" s="527" t="s">
        <v>1328</v>
      </c>
      <c r="B43" s="2735">
        <v>0.08</v>
      </c>
      <c r="C43" s="2735"/>
    </row>
  </sheetData>
  <mergeCells count="21">
    <mergeCell ref="B36:C36"/>
    <mergeCell ref="B43:C43"/>
    <mergeCell ref="A6:J6"/>
    <mergeCell ref="A7:J7"/>
    <mergeCell ref="I8:J8"/>
    <mergeCell ref="A9:A11"/>
    <mergeCell ref="B9:B11"/>
    <mergeCell ref="C9:C11"/>
    <mergeCell ref="D9:G9"/>
    <mergeCell ref="H9:H11"/>
    <mergeCell ref="I9:J10"/>
    <mergeCell ref="D10:E10"/>
    <mergeCell ref="F10:G10"/>
    <mergeCell ref="A33:C33"/>
    <mergeCell ref="B34:C34"/>
    <mergeCell ref="B35:C35"/>
    <mergeCell ref="B37:C37"/>
    <mergeCell ref="B38:C38"/>
    <mergeCell ref="B40:C40"/>
    <mergeCell ref="B41:C41"/>
    <mergeCell ref="B42:C42"/>
  </mergeCells>
  <pageMargins left="0.7" right="0.7" top="0.75" bottom="0.75" header="0.3" footer="0.3"/>
  <pageSetup orientation="landscape"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G31"/>
  <sheetViews>
    <sheetView zoomScaleNormal="100" workbookViewId="0">
      <selection activeCell="H20" sqref="H20"/>
    </sheetView>
  </sheetViews>
  <sheetFormatPr defaultRowHeight="16.5"/>
  <cols>
    <col min="1" max="1" width="27.140625" style="523" customWidth="1"/>
    <col min="2" max="2" width="11.7109375" style="523" customWidth="1"/>
    <col min="3" max="3" width="14" style="616" customWidth="1"/>
    <col min="4" max="4" width="16.7109375" style="523" customWidth="1"/>
    <col min="5" max="5" width="14.85546875" style="523" customWidth="1"/>
    <col min="6" max="256" width="9.140625" style="523"/>
    <col min="257" max="257" width="27.140625" style="523" customWidth="1"/>
    <col min="258" max="258" width="11.7109375" style="523" customWidth="1"/>
    <col min="259" max="259" width="14" style="523" customWidth="1"/>
    <col min="260" max="260" width="16.7109375" style="523" customWidth="1"/>
    <col min="261" max="261" width="14.85546875" style="523" customWidth="1"/>
    <col min="262" max="512" width="9.140625" style="523"/>
    <col min="513" max="513" width="27.140625" style="523" customWidth="1"/>
    <col min="514" max="514" width="11.7109375" style="523" customWidth="1"/>
    <col min="515" max="515" width="14" style="523" customWidth="1"/>
    <col min="516" max="516" width="16.7109375" style="523" customWidth="1"/>
    <col min="517" max="517" width="14.85546875" style="523" customWidth="1"/>
    <col min="518" max="768" width="9.140625" style="523"/>
    <col min="769" max="769" width="27.140625" style="523" customWidth="1"/>
    <col min="770" max="770" width="11.7109375" style="523" customWidth="1"/>
    <col min="771" max="771" width="14" style="523" customWidth="1"/>
    <col min="772" max="772" width="16.7109375" style="523" customWidth="1"/>
    <col min="773" max="773" width="14.85546875" style="523" customWidth="1"/>
    <col min="774" max="1024" width="9.140625" style="523"/>
    <col min="1025" max="1025" width="27.140625" style="523" customWidth="1"/>
    <col min="1026" max="1026" width="11.7109375" style="523" customWidth="1"/>
    <col min="1027" max="1027" width="14" style="523" customWidth="1"/>
    <col min="1028" max="1028" width="16.7109375" style="523" customWidth="1"/>
    <col min="1029" max="1029" width="14.85546875" style="523" customWidth="1"/>
    <col min="1030" max="1280" width="9.140625" style="523"/>
    <col min="1281" max="1281" width="27.140625" style="523" customWidth="1"/>
    <col min="1282" max="1282" width="11.7109375" style="523" customWidth="1"/>
    <col min="1283" max="1283" width="14" style="523" customWidth="1"/>
    <col min="1284" max="1284" width="16.7109375" style="523" customWidth="1"/>
    <col min="1285" max="1285" width="14.85546875" style="523" customWidth="1"/>
    <col min="1286" max="1536" width="9.140625" style="523"/>
    <col min="1537" max="1537" width="27.140625" style="523" customWidth="1"/>
    <col min="1538" max="1538" width="11.7109375" style="523" customWidth="1"/>
    <col min="1539" max="1539" width="14" style="523" customWidth="1"/>
    <col min="1540" max="1540" width="16.7109375" style="523" customWidth="1"/>
    <col min="1541" max="1541" width="14.85546875" style="523" customWidth="1"/>
    <col min="1542" max="1792" width="9.140625" style="523"/>
    <col min="1793" max="1793" width="27.140625" style="523" customWidth="1"/>
    <col min="1794" max="1794" width="11.7109375" style="523" customWidth="1"/>
    <col min="1795" max="1795" width="14" style="523" customWidth="1"/>
    <col min="1796" max="1796" width="16.7109375" style="523" customWidth="1"/>
    <col min="1797" max="1797" width="14.85546875" style="523" customWidth="1"/>
    <col min="1798" max="2048" width="9.140625" style="523"/>
    <col min="2049" max="2049" width="27.140625" style="523" customWidth="1"/>
    <col min="2050" max="2050" width="11.7109375" style="523" customWidth="1"/>
    <col min="2051" max="2051" width="14" style="523" customWidth="1"/>
    <col min="2052" max="2052" width="16.7109375" style="523" customWidth="1"/>
    <col min="2053" max="2053" width="14.85546875" style="523" customWidth="1"/>
    <col min="2054" max="2304" width="9.140625" style="523"/>
    <col min="2305" max="2305" width="27.140625" style="523" customWidth="1"/>
    <col min="2306" max="2306" width="11.7109375" style="523" customWidth="1"/>
    <col min="2307" max="2307" width="14" style="523" customWidth="1"/>
    <col min="2308" max="2308" width="16.7109375" style="523" customWidth="1"/>
    <col min="2309" max="2309" width="14.85546875" style="523" customWidth="1"/>
    <col min="2310" max="2560" width="9.140625" style="523"/>
    <col min="2561" max="2561" width="27.140625" style="523" customWidth="1"/>
    <col min="2562" max="2562" width="11.7109375" style="523" customWidth="1"/>
    <col min="2563" max="2563" width="14" style="523" customWidth="1"/>
    <col min="2564" max="2564" width="16.7109375" style="523" customWidth="1"/>
    <col min="2565" max="2565" width="14.85546875" style="523" customWidth="1"/>
    <col min="2566" max="2816" width="9.140625" style="523"/>
    <col min="2817" max="2817" width="27.140625" style="523" customWidth="1"/>
    <col min="2818" max="2818" width="11.7109375" style="523" customWidth="1"/>
    <col min="2819" max="2819" width="14" style="523" customWidth="1"/>
    <col min="2820" max="2820" width="16.7109375" style="523" customWidth="1"/>
    <col min="2821" max="2821" width="14.85546875" style="523" customWidth="1"/>
    <col min="2822" max="3072" width="9.140625" style="523"/>
    <col min="3073" max="3073" width="27.140625" style="523" customWidth="1"/>
    <col min="3074" max="3074" width="11.7109375" style="523" customWidth="1"/>
    <col min="3075" max="3075" width="14" style="523" customWidth="1"/>
    <col min="3076" max="3076" width="16.7109375" style="523" customWidth="1"/>
    <col min="3077" max="3077" width="14.85546875" style="523" customWidth="1"/>
    <col min="3078" max="3328" width="9.140625" style="523"/>
    <col min="3329" max="3329" width="27.140625" style="523" customWidth="1"/>
    <col min="3330" max="3330" width="11.7109375" style="523" customWidth="1"/>
    <col min="3331" max="3331" width="14" style="523" customWidth="1"/>
    <col min="3332" max="3332" width="16.7109375" style="523" customWidth="1"/>
    <col min="3333" max="3333" width="14.85546875" style="523" customWidth="1"/>
    <col min="3334" max="3584" width="9.140625" style="523"/>
    <col min="3585" max="3585" width="27.140625" style="523" customWidth="1"/>
    <col min="3586" max="3586" width="11.7109375" style="523" customWidth="1"/>
    <col min="3587" max="3587" width="14" style="523" customWidth="1"/>
    <col min="3588" max="3588" width="16.7109375" style="523" customWidth="1"/>
    <col min="3589" max="3589" width="14.85546875" style="523" customWidth="1"/>
    <col min="3590" max="3840" width="9.140625" style="523"/>
    <col min="3841" max="3841" width="27.140625" style="523" customWidth="1"/>
    <col min="3842" max="3842" width="11.7109375" style="523" customWidth="1"/>
    <col min="3843" max="3843" width="14" style="523" customWidth="1"/>
    <col min="3844" max="3844" width="16.7109375" style="523" customWidth="1"/>
    <col min="3845" max="3845" width="14.85546875" style="523" customWidth="1"/>
    <col min="3846" max="4096" width="9.140625" style="523"/>
    <col min="4097" max="4097" width="27.140625" style="523" customWidth="1"/>
    <col min="4098" max="4098" width="11.7109375" style="523" customWidth="1"/>
    <col min="4099" max="4099" width="14" style="523" customWidth="1"/>
    <col min="4100" max="4100" width="16.7109375" style="523" customWidth="1"/>
    <col min="4101" max="4101" width="14.85546875" style="523" customWidth="1"/>
    <col min="4102" max="4352" width="9.140625" style="523"/>
    <col min="4353" max="4353" width="27.140625" style="523" customWidth="1"/>
    <col min="4354" max="4354" width="11.7109375" style="523" customWidth="1"/>
    <col min="4355" max="4355" width="14" style="523" customWidth="1"/>
    <col min="4356" max="4356" width="16.7109375" style="523" customWidth="1"/>
    <col min="4357" max="4357" width="14.85546875" style="523" customWidth="1"/>
    <col min="4358" max="4608" width="9.140625" style="523"/>
    <col min="4609" max="4609" width="27.140625" style="523" customWidth="1"/>
    <col min="4610" max="4610" width="11.7109375" style="523" customWidth="1"/>
    <col min="4611" max="4611" width="14" style="523" customWidth="1"/>
    <col min="4612" max="4612" width="16.7109375" style="523" customWidth="1"/>
    <col min="4613" max="4613" width="14.85546875" style="523" customWidth="1"/>
    <col min="4614" max="4864" width="9.140625" style="523"/>
    <col min="4865" max="4865" width="27.140625" style="523" customWidth="1"/>
    <col min="4866" max="4866" width="11.7109375" style="523" customWidth="1"/>
    <col min="4867" max="4867" width="14" style="523" customWidth="1"/>
    <col min="4868" max="4868" width="16.7109375" style="523" customWidth="1"/>
    <col min="4869" max="4869" width="14.85546875" style="523" customWidth="1"/>
    <col min="4870" max="5120" width="9.140625" style="523"/>
    <col min="5121" max="5121" width="27.140625" style="523" customWidth="1"/>
    <col min="5122" max="5122" width="11.7109375" style="523" customWidth="1"/>
    <col min="5123" max="5123" width="14" style="523" customWidth="1"/>
    <col min="5124" max="5124" width="16.7109375" style="523" customWidth="1"/>
    <col min="5125" max="5125" width="14.85546875" style="523" customWidth="1"/>
    <col min="5126" max="5376" width="9.140625" style="523"/>
    <col min="5377" max="5377" width="27.140625" style="523" customWidth="1"/>
    <col min="5378" max="5378" width="11.7109375" style="523" customWidth="1"/>
    <col min="5379" max="5379" width="14" style="523" customWidth="1"/>
    <col min="5380" max="5380" width="16.7109375" style="523" customWidth="1"/>
    <col min="5381" max="5381" width="14.85546875" style="523" customWidth="1"/>
    <col min="5382" max="5632" width="9.140625" style="523"/>
    <col min="5633" max="5633" width="27.140625" style="523" customWidth="1"/>
    <col min="5634" max="5634" width="11.7109375" style="523" customWidth="1"/>
    <col min="5635" max="5635" width="14" style="523" customWidth="1"/>
    <col min="5636" max="5636" width="16.7109375" style="523" customWidth="1"/>
    <col min="5637" max="5637" width="14.85546875" style="523" customWidth="1"/>
    <col min="5638" max="5888" width="9.140625" style="523"/>
    <col min="5889" max="5889" width="27.140625" style="523" customWidth="1"/>
    <col min="5890" max="5890" width="11.7109375" style="523" customWidth="1"/>
    <col min="5891" max="5891" width="14" style="523" customWidth="1"/>
    <col min="5892" max="5892" width="16.7109375" style="523" customWidth="1"/>
    <col min="5893" max="5893" width="14.85546875" style="523" customWidth="1"/>
    <col min="5894" max="6144" width="9.140625" style="523"/>
    <col min="6145" max="6145" width="27.140625" style="523" customWidth="1"/>
    <col min="6146" max="6146" width="11.7109375" style="523" customWidth="1"/>
    <col min="6147" max="6147" width="14" style="523" customWidth="1"/>
    <col min="6148" max="6148" width="16.7109375" style="523" customWidth="1"/>
    <col min="6149" max="6149" width="14.85546875" style="523" customWidth="1"/>
    <col min="6150" max="6400" width="9.140625" style="523"/>
    <col min="6401" max="6401" width="27.140625" style="523" customWidth="1"/>
    <col min="6402" max="6402" width="11.7109375" style="523" customWidth="1"/>
    <col min="6403" max="6403" width="14" style="523" customWidth="1"/>
    <col min="6404" max="6404" width="16.7109375" style="523" customWidth="1"/>
    <col min="6405" max="6405" width="14.85546875" style="523" customWidth="1"/>
    <col min="6406" max="6656" width="9.140625" style="523"/>
    <col min="6657" max="6657" width="27.140625" style="523" customWidth="1"/>
    <col min="6658" max="6658" width="11.7109375" style="523" customWidth="1"/>
    <col min="6659" max="6659" width="14" style="523" customWidth="1"/>
    <col min="6660" max="6660" width="16.7109375" style="523" customWidth="1"/>
    <col min="6661" max="6661" width="14.85546875" style="523" customWidth="1"/>
    <col min="6662" max="6912" width="9.140625" style="523"/>
    <col min="6913" max="6913" width="27.140625" style="523" customWidth="1"/>
    <col min="6914" max="6914" width="11.7109375" style="523" customWidth="1"/>
    <col min="6915" max="6915" width="14" style="523" customWidth="1"/>
    <col min="6916" max="6916" width="16.7109375" style="523" customWidth="1"/>
    <col min="6917" max="6917" width="14.85546875" style="523" customWidth="1"/>
    <col min="6918" max="7168" width="9.140625" style="523"/>
    <col min="7169" max="7169" width="27.140625" style="523" customWidth="1"/>
    <col min="7170" max="7170" width="11.7109375" style="523" customWidth="1"/>
    <col min="7171" max="7171" width="14" style="523" customWidth="1"/>
    <col min="7172" max="7172" width="16.7109375" style="523" customWidth="1"/>
    <col min="7173" max="7173" width="14.85546875" style="523" customWidth="1"/>
    <col min="7174" max="7424" width="9.140625" style="523"/>
    <col min="7425" max="7425" width="27.140625" style="523" customWidth="1"/>
    <col min="7426" max="7426" width="11.7109375" style="523" customWidth="1"/>
    <col min="7427" max="7427" width="14" style="523" customWidth="1"/>
    <col min="7428" max="7428" width="16.7109375" style="523" customWidth="1"/>
    <col min="7429" max="7429" width="14.85546875" style="523" customWidth="1"/>
    <col min="7430" max="7680" width="9.140625" style="523"/>
    <col min="7681" max="7681" width="27.140625" style="523" customWidth="1"/>
    <col min="7682" max="7682" width="11.7109375" style="523" customWidth="1"/>
    <col min="7683" max="7683" width="14" style="523" customWidth="1"/>
    <col min="7684" max="7684" width="16.7109375" style="523" customWidth="1"/>
    <col min="7685" max="7685" width="14.85546875" style="523" customWidth="1"/>
    <col min="7686" max="7936" width="9.140625" style="523"/>
    <col min="7937" max="7937" width="27.140625" style="523" customWidth="1"/>
    <col min="7938" max="7938" width="11.7109375" style="523" customWidth="1"/>
    <col min="7939" max="7939" width="14" style="523" customWidth="1"/>
    <col min="7940" max="7940" width="16.7109375" style="523" customWidth="1"/>
    <col min="7941" max="7941" width="14.85546875" style="523" customWidth="1"/>
    <col min="7942" max="8192" width="9.140625" style="523"/>
    <col min="8193" max="8193" width="27.140625" style="523" customWidth="1"/>
    <col min="8194" max="8194" width="11.7109375" style="523" customWidth="1"/>
    <col min="8195" max="8195" width="14" style="523" customWidth="1"/>
    <col min="8196" max="8196" width="16.7109375" style="523" customWidth="1"/>
    <col min="8197" max="8197" width="14.85546875" style="523" customWidth="1"/>
    <col min="8198" max="8448" width="9.140625" style="523"/>
    <col min="8449" max="8449" width="27.140625" style="523" customWidth="1"/>
    <col min="8450" max="8450" width="11.7109375" style="523" customWidth="1"/>
    <col min="8451" max="8451" width="14" style="523" customWidth="1"/>
    <col min="8452" max="8452" width="16.7109375" style="523" customWidth="1"/>
    <col min="8453" max="8453" width="14.85546875" style="523" customWidth="1"/>
    <col min="8454" max="8704" width="9.140625" style="523"/>
    <col min="8705" max="8705" width="27.140625" style="523" customWidth="1"/>
    <col min="8706" max="8706" width="11.7109375" style="523" customWidth="1"/>
    <col min="8707" max="8707" width="14" style="523" customWidth="1"/>
    <col min="8708" max="8708" width="16.7109375" style="523" customWidth="1"/>
    <col min="8709" max="8709" width="14.85546875" style="523" customWidth="1"/>
    <col min="8710" max="8960" width="9.140625" style="523"/>
    <col min="8961" max="8961" width="27.140625" style="523" customWidth="1"/>
    <col min="8962" max="8962" width="11.7109375" style="523" customWidth="1"/>
    <col min="8963" max="8963" width="14" style="523" customWidth="1"/>
    <col min="8964" max="8964" width="16.7109375" style="523" customWidth="1"/>
    <col min="8965" max="8965" width="14.85546875" style="523" customWidth="1"/>
    <col min="8966" max="9216" width="9.140625" style="523"/>
    <col min="9217" max="9217" width="27.140625" style="523" customWidth="1"/>
    <col min="9218" max="9218" width="11.7109375" style="523" customWidth="1"/>
    <col min="9219" max="9219" width="14" style="523" customWidth="1"/>
    <col min="9220" max="9220" width="16.7109375" style="523" customWidth="1"/>
    <col min="9221" max="9221" width="14.85546875" style="523" customWidth="1"/>
    <col min="9222" max="9472" width="9.140625" style="523"/>
    <col min="9473" max="9473" width="27.140625" style="523" customWidth="1"/>
    <col min="9474" max="9474" width="11.7109375" style="523" customWidth="1"/>
    <col min="9475" max="9475" width="14" style="523" customWidth="1"/>
    <col min="9476" max="9476" width="16.7109375" style="523" customWidth="1"/>
    <col min="9477" max="9477" width="14.85546875" style="523" customWidth="1"/>
    <col min="9478" max="9728" width="9.140625" style="523"/>
    <col min="9729" max="9729" width="27.140625" style="523" customWidth="1"/>
    <col min="9730" max="9730" width="11.7109375" style="523" customWidth="1"/>
    <col min="9731" max="9731" width="14" style="523" customWidth="1"/>
    <col min="9732" max="9732" width="16.7109375" style="523" customWidth="1"/>
    <col min="9733" max="9733" width="14.85546875" style="523" customWidth="1"/>
    <col min="9734" max="9984" width="9.140625" style="523"/>
    <col min="9985" max="9985" width="27.140625" style="523" customWidth="1"/>
    <col min="9986" max="9986" width="11.7109375" style="523" customWidth="1"/>
    <col min="9987" max="9987" width="14" style="523" customWidth="1"/>
    <col min="9988" max="9988" width="16.7109375" style="523" customWidth="1"/>
    <col min="9989" max="9989" width="14.85546875" style="523" customWidth="1"/>
    <col min="9990" max="10240" width="9.140625" style="523"/>
    <col min="10241" max="10241" width="27.140625" style="523" customWidth="1"/>
    <col min="10242" max="10242" width="11.7109375" style="523" customWidth="1"/>
    <col min="10243" max="10243" width="14" style="523" customWidth="1"/>
    <col min="10244" max="10244" width="16.7109375" style="523" customWidth="1"/>
    <col min="10245" max="10245" width="14.85546875" style="523" customWidth="1"/>
    <col min="10246" max="10496" width="9.140625" style="523"/>
    <col min="10497" max="10497" width="27.140625" style="523" customWidth="1"/>
    <col min="10498" max="10498" width="11.7109375" style="523" customWidth="1"/>
    <col min="10499" max="10499" width="14" style="523" customWidth="1"/>
    <col min="10500" max="10500" width="16.7109375" style="523" customWidth="1"/>
    <col min="10501" max="10501" width="14.85546875" style="523" customWidth="1"/>
    <col min="10502" max="10752" width="9.140625" style="523"/>
    <col min="10753" max="10753" width="27.140625" style="523" customWidth="1"/>
    <col min="10754" max="10754" width="11.7109375" style="523" customWidth="1"/>
    <col min="10755" max="10755" width="14" style="523" customWidth="1"/>
    <col min="10756" max="10756" width="16.7109375" style="523" customWidth="1"/>
    <col min="10757" max="10757" width="14.85546875" style="523" customWidth="1"/>
    <col min="10758" max="11008" width="9.140625" style="523"/>
    <col min="11009" max="11009" width="27.140625" style="523" customWidth="1"/>
    <col min="11010" max="11010" width="11.7109375" style="523" customWidth="1"/>
    <col min="11011" max="11011" width="14" style="523" customWidth="1"/>
    <col min="11012" max="11012" width="16.7109375" style="523" customWidth="1"/>
    <col min="11013" max="11013" width="14.85546875" style="523" customWidth="1"/>
    <col min="11014" max="11264" width="9.140625" style="523"/>
    <col min="11265" max="11265" width="27.140625" style="523" customWidth="1"/>
    <col min="11266" max="11266" width="11.7109375" style="523" customWidth="1"/>
    <col min="11267" max="11267" width="14" style="523" customWidth="1"/>
    <col min="11268" max="11268" width="16.7109375" style="523" customWidth="1"/>
    <col min="11269" max="11269" width="14.85546875" style="523" customWidth="1"/>
    <col min="11270" max="11520" width="9.140625" style="523"/>
    <col min="11521" max="11521" width="27.140625" style="523" customWidth="1"/>
    <col min="11522" max="11522" width="11.7109375" style="523" customWidth="1"/>
    <col min="11523" max="11523" width="14" style="523" customWidth="1"/>
    <col min="11524" max="11524" width="16.7109375" style="523" customWidth="1"/>
    <col min="11525" max="11525" width="14.85546875" style="523" customWidth="1"/>
    <col min="11526" max="11776" width="9.140625" style="523"/>
    <col min="11777" max="11777" width="27.140625" style="523" customWidth="1"/>
    <col min="11778" max="11778" width="11.7109375" style="523" customWidth="1"/>
    <col min="11779" max="11779" width="14" style="523" customWidth="1"/>
    <col min="11780" max="11780" width="16.7109375" style="523" customWidth="1"/>
    <col min="11781" max="11781" width="14.85546875" style="523" customWidth="1"/>
    <col min="11782" max="12032" width="9.140625" style="523"/>
    <col min="12033" max="12033" width="27.140625" style="523" customWidth="1"/>
    <col min="12034" max="12034" width="11.7109375" style="523" customWidth="1"/>
    <col min="12035" max="12035" width="14" style="523" customWidth="1"/>
    <col min="12036" max="12036" width="16.7109375" style="523" customWidth="1"/>
    <col min="12037" max="12037" width="14.85546875" style="523" customWidth="1"/>
    <col min="12038" max="12288" width="9.140625" style="523"/>
    <col min="12289" max="12289" width="27.140625" style="523" customWidth="1"/>
    <col min="12290" max="12290" width="11.7109375" style="523" customWidth="1"/>
    <col min="12291" max="12291" width="14" style="523" customWidth="1"/>
    <col min="12292" max="12292" width="16.7109375" style="523" customWidth="1"/>
    <col min="12293" max="12293" width="14.85546875" style="523" customWidth="1"/>
    <col min="12294" max="12544" width="9.140625" style="523"/>
    <col min="12545" max="12545" width="27.140625" style="523" customWidth="1"/>
    <col min="12546" max="12546" width="11.7109375" style="523" customWidth="1"/>
    <col min="12547" max="12547" width="14" style="523" customWidth="1"/>
    <col min="12548" max="12548" width="16.7109375" style="523" customWidth="1"/>
    <col min="12549" max="12549" width="14.85546875" style="523" customWidth="1"/>
    <col min="12550" max="12800" width="9.140625" style="523"/>
    <col min="12801" max="12801" width="27.140625" style="523" customWidth="1"/>
    <col min="12802" max="12802" width="11.7109375" style="523" customWidth="1"/>
    <col min="12803" max="12803" width="14" style="523" customWidth="1"/>
    <col min="12804" max="12804" width="16.7109375" style="523" customWidth="1"/>
    <col min="12805" max="12805" width="14.85546875" style="523" customWidth="1"/>
    <col min="12806" max="13056" width="9.140625" style="523"/>
    <col min="13057" max="13057" width="27.140625" style="523" customWidth="1"/>
    <col min="13058" max="13058" width="11.7109375" style="523" customWidth="1"/>
    <col min="13059" max="13059" width="14" style="523" customWidth="1"/>
    <col min="13060" max="13060" width="16.7109375" style="523" customWidth="1"/>
    <col min="13061" max="13061" width="14.85546875" style="523" customWidth="1"/>
    <col min="13062" max="13312" width="9.140625" style="523"/>
    <col min="13313" max="13313" width="27.140625" style="523" customWidth="1"/>
    <col min="13314" max="13314" width="11.7109375" style="523" customWidth="1"/>
    <col min="13315" max="13315" width="14" style="523" customWidth="1"/>
    <col min="13316" max="13316" width="16.7109375" style="523" customWidth="1"/>
    <col min="13317" max="13317" width="14.85546875" style="523" customWidth="1"/>
    <col min="13318" max="13568" width="9.140625" style="523"/>
    <col min="13569" max="13569" width="27.140625" style="523" customWidth="1"/>
    <col min="13570" max="13570" width="11.7109375" style="523" customWidth="1"/>
    <col min="13571" max="13571" width="14" style="523" customWidth="1"/>
    <col min="13572" max="13572" width="16.7109375" style="523" customWidth="1"/>
    <col min="13573" max="13573" width="14.85546875" style="523" customWidth="1"/>
    <col min="13574" max="13824" width="9.140625" style="523"/>
    <col min="13825" max="13825" width="27.140625" style="523" customWidth="1"/>
    <col min="13826" max="13826" width="11.7109375" style="523" customWidth="1"/>
    <col min="13827" max="13827" width="14" style="523" customWidth="1"/>
    <col min="13828" max="13828" width="16.7109375" style="523" customWidth="1"/>
    <col min="13829" max="13829" width="14.85546875" style="523" customWidth="1"/>
    <col min="13830" max="14080" width="9.140625" style="523"/>
    <col min="14081" max="14081" width="27.140625" style="523" customWidth="1"/>
    <col min="14082" max="14082" width="11.7109375" style="523" customWidth="1"/>
    <col min="14083" max="14083" width="14" style="523" customWidth="1"/>
    <col min="14084" max="14084" width="16.7109375" style="523" customWidth="1"/>
    <col min="14085" max="14085" width="14.85546875" style="523" customWidth="1"/>
    <col min="14086" max="14336" width="9.140625" style="523"/>
    <col min="14337" max="14337" width="27.140625" style="523" customWidth="1"/>
    <col min="14338" max="14338" width="11.7109375" style="523" customWidth="1"/>
    <col min="14339" max="14339" width="14" style="523" customWidth="1"/>
    <col min="14340" max="14340" width="16.7109375" style="523" customWidth="1"/>
    <col min="14341" max="14341" width="14.85546875" style="523" customWidth="1"/>
    <col min="14342" max="14592" width="9.140625" style="523"/>
    <col min="14593" max="14593" width="27.140625" style="523" customWidth="1"/>
    <col min="14594" max="14594" width="11.7109375" style="523" customWidth="1"/>
    <col min="14595" max="14595" width="14" style="523" customWidth="1"/>
    <col min="14596" max="14596" width="16.7109375" style="523" customWidth="1"/>
    <col min="14597" max="14597" width="14.85546875" style="523" customWidth="1"/>
    <col min="14598" max="14848" width="9.140625" style="523"/>
    <col min="14849" max="14849" width="27.140625" style="523" customWidth="1"/>
    <col min="14850" max="14850" width="11.7109375" style="523" customWidth="1"/>
    <col min="14851" max="14851" width="14" style="523" customWidth="1"/>
    <col min="14852" max="14852" width="16.7109375" style="523" customWidth="1"/>
    <col min="14853" max="14853" width="14.85546875" style="523" customWidth="1"/>
    <col min="14854" max="15104" width="9.140625" style="523"/>
    <col min="15105" max="15105" width="27.140625" style="523" customWidth="1"/>
    <col min="15106" max="15106" width="11.7109375" style="523" customWidth="1"/>
    <col min="15107" max="15107" width="14" style="523" customWidth="1"/>
    <col min="15108" max="15108" width="16.7109375" style="523" customWidth="1"/>
    <col min="15109" max="15109" width="14.85546875" style="523" customWidth="1"/>
    <col min="15110" max="15360" width="9.140625" style="523"/>
    <col min="15361" max="15361" width="27.140625" style="523" customWidth="1"/>
    <col min="15362" max="15362" width="11.7109375" style="523" customWidth="1"/>
    <col min="15363" max="15363" width="14" style="523" customWidth="1"/>
    <col min="15364" max="15364" width="16.7109375" style="523" customWidth="1"/>
    <col min="15365" max="15365" width="14.85546875" style="523" customWidth="1"/>
    <col min="15366" max="15616" width="9.140625" style="523"/>
    <col min="15617" max="15617" width="27.140625" style="523" customWidth="1"/>
    <col min="15618" max="15618" width="11.7109375" style="523" customWidth="1"/>
    <col min="15619" max="15619" width="14" style="523" customWidth="1"/>
    <col min="15620" max="15620" width="16.7109375" style="523" customWidth="1"/>
    <col min="15621" max="15621" width="14.85546875" style="523" customWidth="1"/>
    <col min="15622" max="15872" width="9.140625" style="523"/>
    <col min="15873" max="15873" width="27.140625" style="523" customWidth="1"/>
    <col min="15874" max="15874" width="11.7109375" style="523" customWidth="1"/>
    <col min="15875" max="15875" width="14" style="523" customWidth="1"/>
    <col min="15876" max="15876" width="16.7109375" style="523" customWidth="1"/>
    <col min="15877" max="15877" width="14.85546875" style="523" customWidth="1"/>
    <col min="15878" max="16128" width="9.140625" style="523"/>
    <col min="16129" max="16129" width="27.140625" style="523" customWidth="1"/>
    <col min="16130" max="16130" width="11.7109375" style="523" customWidth="1"/>
    <col min="16131" max="16131" width="14" style="523" customWidth="1"/>
    <col min="16132" max="16132" width="16.7109375" style="523" customWidth="1"/>
    <col min="16133" max="16133" width="14.85546875" style="523" customWidth="1"/>
    <col min="16134" max="16384" width="9.140625" style="523"/>
  </cols>
  <sheetData>
    <row r="1" spans="1:7">
      <c r="C1" s="616" t="s">
        <v>1732</v>
      </c>
      <c r="G1" s="1383" t="s">
        <v>1020</v>
      </c>
    </row>
    <row r="5" spans="1:7">
      <c r="A5" s="2409" t="s">
        <v>1731</v>
      </c>
      <c r="B5" s="2409"/>
      <c r="C5" s="2409"/>
      <c r="D5" s="2409"/>
      <c r="E5" s="2409"/>
    </row>
    <row r="6" spans="1:7" ht="17.25" thickBot="1">
      <c r="C6" s="621"/>
      <c r="E6" s="524" t="s">
        <v>1730</v>
      </c>
    </row>
    <row r="7" spans="1:7" ht="21.75" customHeight="1" thickTop="1">
      <c r="A7" s="2363" t="s">
        <v>1294</v>
      </c>
      <c r="B7" s="920" t="s">
        <v>235</v>
      </c>
      <c r="C7" s="919" t="s">
        <v>1729</v>
      </c>
      <c r="D7" s="2364" t="s">
        <v>1</v>
      </c>
      <c r="E7" s="918" t="s">
        <v>4</v>
      </c>
    </row>
    <row r="8" spans="1:7">
      <c r="A8" s="905" t="s">
        <v>1351</v>
      </c>
      <c r="B8" s="917"/>
      <c r="C8" s="916"/>
      <c r="D8" s="886"/>
      <c r="E8" s="903">
        <f>SUM(E21+E22)</f>
        <v>249800000</v>
      </c>
    </row>
    <row r="9" spans="1:7">
      <c r="A9" s="599" t="s">
        <v>1692</v>
      </c>
      <c r="B9" s="598" t="s">
        <v>1728</v>
      </c>
      <c r="C9" s="627">
        <v>6000</v>
      </c>
      <c r="D9" s="597">
        <v>10000</v>
      </c>
      <c r="E9" s="595">
        <f t="shared" ref="E9:E19" si="0">D9*C9</f>
        <v>60000000</v>
      </c>
    </row>
    <row r="10" spans="1:7">
      <c r="A10" s="599" t="s">
        <v>1691</v>
      </c>
      <c r="B10" s="598" t="s">
        <v>11</v>
      </c>
      <c r="C10" s="627">
        <v>1000</v>
      </c>
      <c r="D10" s="597">
        <v>1200</v>
      </c>
      <c r="E10" s="595">
        <f t="shared" si="0"/>
        <v>1200000</v>
      </c>
    </row>
    <row r="11" spans="1:7">
      <c r="A11" s="599" t="s">
        <v>1727</v>
      </c>
      <c r="B11" s="598" t="s">
        <v>228</v>
      </c>
      <c r="C11" s="627">
        <v>450000</v>
      </c>
      <c r="D11" s="597">
        <v>50</v>
      </c>
      <c r="E11" s="595">
        <f t="shared" si="0"/>
        <v>22500000</v>
      </c>
    </row>
    <row r="12" spans="1:7">
      <c r="A12" s="599" t="s">
        <v>1726</v>
      </c>
      <c r="B12" s="598" t="s">
        <v>11</v>
      </c>
      <c r="C12" s="627">
        <v>10000</v>
      </c>
      <c r="D12" s="597">
        <v>150</v>
      </c>
      <c r="E12" s="595">
        <f t="shared" si="0"/>
        <v>1500000</v>
      </c>
    </row>
    <row r="13" spans="1:7">
      <c r="A13" s="599" t="s">
        <v>1725</v>
      </c>
      <c r="B13" s="598" t="s">
        <v>513</v>
      </c>
      <c r="C13" s="627">
        <v>300000</v>
      </c>
      <c r="D13" s="597">
        <v>10</v>
      </c>
      <c r="E13" s="595">
        <f t="shared" si="0"/>
        <v>3000000</v>
      </c>
    </row>
    <row r="14" spans="1:7">
      <c r="A14" s="599" t="s">
        <v>1724</v>
      </c>
      <c r="B14" s="598" t="s">
        <v>11</v>
      </c>
      <c r="C14" s="627">
        <v>3000</v>
      </c>
      <c r="D14" s="597">
        <v>1500</v>
      </c>
      <c r="E14" s="595">
        <f t="shared" si="0"/>
        <v>4500000</v>
      </c>
    </row>
    <row r="15" spans="1:7">
      <c r="A15" s="599" t="s">
        <v>1723</v>
      </c>
      <c r="B15" s="598" t="s">
        <v>11</v>
      </c>
      <c r="C15" s="627">
        <v>15000</v>
      </c>
      <c r="D15" s="597">
        <v>800</v>
      </c>
      <c r="E15" s="595">
        <f t="shared" si="0"/>
        <v>12000000</v>
      </c>
    </row>
    <row r="16" spans="1:7">
      <c r="A16" s="599" t="s">
        <v>1722</v>
      </c>
      <c r="B16" s="598" t="s">
        <v>11</v>
      </c>
      <c r="C16" s="627">
        <v>12000</v>
      </c>
      <c r="D16" s="597">
        <v>1000</v>
      </c>
      <c r="E16" s="595">
        <f t="shared" si="0"/>
        <v>12000000</v>
      </c>
    </row>
    <row r="17" spans="1:5">
      <c r="A17" s="599" t="s">
        <v>1721</v>
      </c>
      <c r="B17" s="598" t="s">
        <v>11</v>
      </c>
      <c r="C17" s="627">
        <v>140000</v>
      </c>
      <c r="D17" s="597">
        <v>120</v>
      </c>
      <c r="E17" s="595">
        <f t="shared" si="0"/>
        <v>16800000</v>
      </c>
    </row>
    <row r="18" spans="1:5">
      <c r="A18" s="599" t="s">
        <v>1720</v>
      </c>
      <c r="B18" s="598" t="s">
        <v>1397</v>
      </c>
      <c r="C18" s="627">
        <v>60000</v>
      </c>
      <c r="D18" s="597">
        <v>100</v>
      </c>
      <c r="E18" s="595">
        <f t="shared" si="0"/>
        <v>6000000</v>
      </c>
    </row>
    <row r="19" spans="1:5">
      <c r="A19" s="599" t="s">
        <v>1719</v>
      </c>
      <c r="B19" s="598" t="s">
        <v>511</v>
      </c>
      <c r="C19" s="627">
        <v>180000</v>
      </c>
      <c r="D19" s="597">
        <v>500</v>
      </c>
      <c r="E19" s="595">
        <f t="shared" si="0"/>
        <v>90000000</v>
      </c>
    </row>
    <row r="20" spans="1:5">
      <c r="A20" s="599" t="s">
        <v>1718</v>
      </c>
      <c r="B20" s="598"/>
      <c r="C20" s="627"/>
      <c r="D20" s="597"/>
      <c r="E20" s="595">
        <v>500000</v>
      </c>
    </row>
    <row r="21" spans="1:5">
      <c r="A21" s="893" t="s">
        <v>1344</v>
      </c>
      <c r="B21" s="598"/>
      <c r="C21" s="627"/>
      <c r="D21" s="876"/>
      <c r="E21" s="879">
        <f>SUM(E9:E20)</f>
        <v>230000000</v>
      </c>
    </row>
    <row r="22" spans="1:5">
      <c r="A22" s="599" t="s">
        <v>1395</v>
      </c>
      <c r="B22" s="598" t="s">
        <v>1270</v>
      </c>
      <c r="C22" s="627"/>
      <c r="D22" s="597"/>
      <c r="E22" s="595">
        <f>180000000*11%</f>
        <v>19800000</v>
      </c>
    </row>
    <row r="23" spans="1:5">
      <c r="A23" s="893" t="s">
        <v>1341</v>
      </c>
      <c r="B23" s="598"/>
      <c r="C23" s="627"/>
      <c r="D23" s="597"/>
      <c r="E23" s="879">
        <f>E25</f>
        <v>280000000</v>
      </c>
    </row>
    <row r="24" spans="1:5">
      <c r="A24" s="599" t="s">
        <v>1340</v>
      </c>
      <c r="B24" s="598" t="s">
        <v>11</v>
      </c>
      <c r="C24" s="627"/>
      <c r="D24" s="597">
        <v>10000</v>
      </c>
      <c r="E24" s="595"/>
    </row>
    <row r="25" spans="1:5">
      <c r="A25" s="599" t="s">
        <v>1339</v>
      </c>
      <c r="B25" s="598" t="s">
        <v>1270</v>
      </c>
      <c r="C25" s="627">
        <v>28000</v>
      </c>
      <c r="D25" s="597">
        <v>10000</v>
      </c>
      <c r="E25" s="595">
        <f>D25*C25</f>
        <v>280000000</v>
      </c>
    </row>
    <row r="26" spans="1:5">
      <c r="A26" s="902" t="s">
        <v>1337</v>
      </c>
      <c r="B26" s="915"/>
      <c r="C26" s="914"/>
      <c r="D26" s="872"/>
      <c r="E26" s="870">
        <f>E23-E8</f>
        <v>30200000</v>
      </c>
    </row>
    <row r="27" spans="1:5" ht="17.25" thickBot="1">
      <c r="A27" s="789" t="s">
        <v>1269</v>
      </c>
      <c r="B27" s="892" t="s">
        <v>90</v>
      </c>
      <c r="C27" s="624"/>
      <c r="D27" s="869"/>
      <c r="E27" s="868">
        <f>E26/E23</f>
        <v>0.10785714285714286</v>
      </c>
    </row>
    <row r="28" spans="1:5" ht="17.25" thickTop="1">
      <c r="A28" s="652"/>
      <c r="B28" s="620"/>
      <c r="C28" s="621"/>
      <c r="D28" s="891"/>
      <c r="E28" s="891"/>
    </row>
    <row r="29" spans="1:5">
      <c r="A29" s="524" t="s">
        <v>1268</v>
      </c>
    </row>
    <row r="30" spans="1:5">
      <c r="A30" s="523" t="s">
        <v>1717</v>
      </c>
    </row>
    <row r="31" spans="1:5">
      <c r="A31" s="617" t="s">
        <v>1616</v>
      </c>
    </row>
  </sheetData>
  <mergeCells count="1">
    <mergeCell ref="A5:E5"/>
  </mergeCells>
  <pageMargins left="1" right="0.5" top="0.75" bottom="0.75" header="0.5" footer="0.5"/>
  <pageSetup paperSize="9" orientation="portrait" r:id="rId1"/>
  <headerFooter alignWithMargins="0">
    <oddFooter>&amp;CTrang</oddFooter>
  </headerFooter>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dimension ref="A1:G44"/>
  <sheetViews>
    <sheetView workbookViewId="0">
      <selection activeCell="C2" sqref="C2"/>
    </sheetView>
  </sheetViews>
  <sheetFormatPr defaultRowHeight="16.5"/>
  <cols>
    <col min="1" max="1" width="9.140625" style="311"/>
    <col min="2" max="2" width="52.5703125" style="311" customWidth="1"/>
    <col min="3" max="6" width="15.28515625" style="311" customWidth="1"/>
    <col min="7" max="16384" width="9.140625" style="311"/>
  </cols>
  <sheetData>
    <row r="1" spans="1:7">
      <c r="A1" s="2147"/>
      <c r="B1" s="2147"/>
      <c r="C1" s="2147" t="s">
        <v>2967</v>
      </c>
      <c r="D1" s="2147"/>
      <c r="E1" s="2147"/>
      <c r="F1" s="2147"/>
      <c r="G1" s="309" t="s">
        <v>1020</v>
      </c>
    </row>
    <row r="2" spans="1:7">
      <c r="A2" s="2147"/>
      <c r="B2" s="2147"/>
      <c r="C2" s="2147"/>
      <c r="D2" s="2147"/>
      <c r="E2" s="2147"/>
      <c r="F2" s="2147"/>
    </row>
    <row r="3" spans="1:7">
      <c r="A3" s="2341"/>
      <c r="B3" s="2341"/>
      <c r="C3" s="2341"/>
      <c r="D3" s="2341"/>
      <c r="E3" s="2341"/>
      <c r="F3" s="2341"/>
    </row>
    <row r="5" spans="1:7">
      <c r="A5" s="1495"/>
      <c r="B5" s="1497" t="s">
        <v>2966</v>
      </c>
      <c r="C5" s="2148"/>
      <c r="D5" s="2149"/>
      <c r="E5" s="151"/>
      <c r="F5" s="2148"/>
    </row>
    <row r="6" spans="1:7">
      <c r="A6" s="1495"/>
      <c r="B6" s="1497" t="s">
        <v>2965</v>
      </c>
      <c r="C6" s="2148"/>
      <c r="D6" s="2149"/>
      <c r="E6" s="151"/>
      <c r="F6" s="2148"/>
    </row>
    <row r="7" spans="1:7">
      <c r="A7" s="1495"/>
      <c r="B7" s="1497" t="s">
        <v>2964</v>
      </c>
      <c r="C7" s="2148"/>
      <c r="D7" s="2149"/>
      <c r="E7" s="151"/>
      <c r="F7" s="2148"/>
    </row>
    <row r="8" spans="1:7">
      <c r="A8" s="1495"/>
      <c r="B8" s="1497" t="s">
        <v>2963</v>
      </c>
      <c r="C8" s="2148"/>
      <c r="D8" s="2150">
        <v>280</v>
      </c>
      <c r="E8" s="151"/>
      <c r="F8" s="2148"/>
    </row>
    <row r="9" spans="1:7">
      <c r="A9" s="1495"/>
      <c r="B9" s="151"/>
      <c r="C9" s="1109"/>
      <c r="D9" s="2151"/>
      <c r="E9" s="2151"/>
      <c r="F9" s="2148" t="s">
        <v>2887</v>
      </c>
    </row>
    <row r="10" spans="1:7">
      <c r="A10" s="2333" t="s">
        <v>97</v>
      </c>
      <c r="B10" s="2333" t="s">
        <v>64</v>
      </c>
      <c r="C10" s="2333" t="s">
        <v>100</v>
      </c>
      <c r="D10" s="2152" t="s">
        <v>1</v>
      </c>
      <c r="E10" s="2153" t="s">
        <v>3</v>
      </c>
      <c r="F10" s="2152" t="s">
        <v>4</v>
      </c>
    </row>
    <row r="11" spans="1:7">
      <c r="A11" s="2154">
        <v>1</v>
      </c>
      <c r="B11" s="2155" t="s">
        <v>242</v>
      </c>
      <c r="C11" s="2154"/>
      <c r="D11" s="2156"/>
      <c r="E11" s="2157"/>
      <c r="F11" s="2158">
        <v>294000000</v>
      </c>
    </row>
    <row r="12" spans="1:7" ht="33">
      <c r="A12" s="2154"/>
      <c r="B12" s="2159" t="s">
        <v>3227</v>
      </c>
      <c r="C12" s="2160" t="s">
        <v>2959</v>
      </c>
      <c r="D12" s="2161">
        <v>50</v>
      </c>
      <c r="E12" s="2162">
        <v>30000</v>
      </c>
      <c r="F12" s="2158">
        <v>294000000</v>
      </c>
    </row>
    <row r="13" spans="1:7">
      <c r="A13" s="2154">
        <v>2</v>
      </c>
      <c r="B13" s="2155" t="s">
        <v>1103</v>
      </c>
      <c r="C13" s="2160"/>
      <c r="D13" s="2161"/>
      <c r="E13" s="2157"/>
      <c r="F13" s="2158">
        <v>186480000</v>
      </c>
    </row>
    <row r="14" spans="1:7" ht="17.25">
      <c r="A14" s="2163">
        <v>2.1</v>
      </c>
      <c r="B14" s="2164" t="s">
        <v>2962</v>
      </c>
      <c r="C14" s="2165"/>
      <c r="D14" s="2166"/>
      <c r="E14" s="2167"/>
      <c r="F14" s="2168">
        <v>151200000</v>
      </c>
    </row>
    <row r="15" spans="1:7">
      <c r="A15" s="2163"/>
      <c r="B15" s="2169" t="s">
        <v>2961</v>
      </c>
      <c r="C15" s="2170" t="s">
        <v>2959</v>
      </c>
      <c r="D15" s="2171">
        <v>8</v>
      </c>
      <c r="E15" s="2172">
        <v>20000</v>
      </c>
      <c r="F15" s="2173">
        <v>44800000</v>
      </c>
    </row>
    <row r="16" spans="1:7">
      <c r="A16" s="2163"/>
      <c r="B16" s="2169" t="s">
        <v>2960</v>
      </c>
      <c r="C16" s="2170" t="s">
        <v>2959</v>
      </c>
      <c r="D16" s="2171">
        <v>50</v>
      </c>
      <c r="E16" s="2172">
        <v>2000</v>
      </c>
      <c r="F16" s="2173">
        <v>28000000</v>
      </c>
    </row>
    <row r="17" spans="1:6">
      <c r="A17" s="2163"/>
      <c r="B17" s="2174" t="s">
        <v>2958</v>
      </c>
      <c r="C17" s="2170" t="s">
        <v>1428</v>
      </c>
      <c r="D17" s="2171">
        <v>1</v>
      </c>
      <c r="E17" s="2172">
        <v>220000</v>
      </c>
      <c r="F17" s="2173">
        <v>61600000</v>
      </c>
    </row>
    <row r="18" spans="1:6">
      <c r="A18" s="2163"/>
      <c r="B18" s="2174" t="s">
        <v>2957</v>
      </c>
      <c r="C18" s="2170" t="s">
        <v>2955</v>
      </c>
      <c r="D18" s="2171">
        <v>280</v>
      </c>
      <c r="E18" s="2172">
        <v>30000</v>
      </c>
      <c r="F18" s="2173">
        <v>8400000</v>
      </c>
    </row>
    <row r="19" spans="1:6" ht="33">
      <c r="A19" s="2163"/>
      <c r="B19" s="2174" t="s">
        <v>2956</v>
      </c>
      <c r="C19" s="2170" t="s">
        <v>2955</v>
      </c>
      <c r="D19" s="2171">
        <v>280</v>
      </c>
      <c r="E19" s="2172">
        <v>30000</v>
      </c>
      <c r="F19" s="2173">
        <v>8400000</v>
      </c>
    </row>
    <row r="20" spans="1:6" ht="17.25">
      <c r="A20" s="2163">
        <v>2.2000000000000002</v>
      </c>
      <c r="B20" s="2164" t="s">
        <v>1225</v>
      </c>
      <c r="C20" s="2165"/>
      <c r="D20" s="2166"/>
      <c r="E20" s="2167"/>
      <c r="F20" s="2168">
        <v>35280000</v>
      </c>
    </row>
    <row r="21" spans="1:6" ht="17.25">
      <c r="A21" s="2163"/>
      <c r="B21" s="2175" t="s">
        <v>2954</v>
      </c>
      <c r="C21" s="2176"/>
      <c r="D21" s="2177"/>
      <c r="E21" s="2178"/>
      <c r="F21" s="2204">
        <v>933333.33333333337</v>
      </c>
    </row>
    <row r="22" spans="1:6" ht="17.25">
      <c r="A22" s="2163"/>
      <c r="B22" s="2179" t="s">
        <v>2953</v>
      </c>
      <c r="C22" s="2176"/>
      <c r="D22" s="2177"/>
      <c r="E22" s="2178"/>
      <c r="F22" s="2204">
        <v>1866666.6666666667</v>
      </c>
    </row>
    <row r="23" spans="1:6" ht="17.25">
      <c r="A23" s="2163"/>
      <c r="B23" s="2179" t="s">
        <v>2952</v>
      </c>
      <c r="C23" s="2176"/>
      <c r="D23" s="2177"/>
      <c r="E23" s="2178"/>
      <c r="F23" s="2204">
        <v>8000000</v>
      </c>
    </row>
    <row r="24" spans="1:6">
      <c r="A24" s="2163"/>
      <c r="B24" s="2169" t="s">
        <v>2951</v>
      </c>
      <c r="C24" s="2170"/>
      <c r="D24" s="2171"/>
      <c r="E24" s="2180"/>
      <c r="F24" s="2173">
        <v>3000000</v>
      </c>
    </row>
    <row r="25" spans="1:6">
      <c r="A25" s="2181"/>
      <c r="B25" s="2182" t="s">
        <v>2950</v>
      </c>
      <c r="C25" s="2183"/>
      <c r="D25" s="2184"/>
      <c r="E25" s="2185"/>
      <c r="F25" s="2205">
        <v>10600000</v>
      </c>
    </row>
    <row r="26" spans="1:6" ht="66">
      <c r="A26" s="2154"/>
      <c r="B26" s="2186" t="s">
        <v>2949</v>
      </c>
      <c r="C26" s="2755" t="s">
        <v>2948</v>
      </c>
      <c r="D26" s="2756"/>
      <c r="E26" s="2756"/>
      <c r="F26" s="2757"/>
    </row>
    <row r="27" spans="1:6" ht="17.25">
      <c r="A27" s="2154"/>
      <c r="B27" s="2187" t="s">
        <v>3228</v>
      </c>
      <c r="C27" s="2160"/>
      <c r="D27" s="2161">
        <v>8</v>
      </c>
      <c r="E27" s="2188" t="s">
        <v>90</v>
      </c>
      <c r="F27" s="2189">
        <v>10880000</v>
      </c>
    </row>
    <row r="28" spans="1:6">
      <c r="A28" s="2190">
        <v>3</v>
      </c>
      <c r="B28" s="2191" t="s">
        <v>24</v>
      </c>
      <c r="C28" s="2192"/>
      <c r="D28" s="2193"/>
      <c r="E28" s="2194"/>
      <c r="F28" s="2195">
        <v>107520000</v>
      </c>
    </row>
    <row r="29" spans="1:6" ht="17.25">
      <c r="A29" s="2163">
        <v>3</v>
      </c>
      <c r="B29" s="2164" t="s">
        <v>1113</v>
      </c>
      <c r="C29" s="2170"/>
      <c r="D29" s="2166">
        <v>100</v>
      </c>
      <c r="E29" s="2167"/>
      <c r="F29" s="2168">
        <v>151200000</v>
      </c>
    </row>
    <row r="30" spans="1:6">
      <c r="A30" s="2196"/>
      <c r="B30" s="2169" t="s">
        <v>2947</v>
      </c>
      <c r="C30" s="2170" t="s">
        <v>90</v>
      </c>
      <c r="D30" s="2197">
        <v>10</v>
      </c>
      <c r="E30" s="2172"/>
      <c r="F30" s="2173">
        <v>15200000</v>
      </c>
    </row>
    <row r="31" spans="1:6">
      <c r="A31" s="2198"/>
      <c r="B31" s="2199" t="s">
        <v>2946</v>
      </c>
      <c r="C31" s="2200" t="s">
        <v>90</v>
      </c>
      <c r="D31" s="2201">
        <v>90</v>
      </c>
      <c r="E31" s="2202"/>
      <c r="F31" s="2203">
        <v>136000000</v>
      </c>
    </row>
    <row r="33" spans="2:2">
      <c r="B33" s="309" t="s">
        <v>3226</v>
      </c>
    </row>
    <row r="34" spans="2:2">
      <c r="B34" s="1395" t="s">
        <v>2945</v>
      </c>
    </row>
    <row r="35" spans="2:2">
      <c r="B35" s="1395" t="s">
        <v>2944</v>
      </c>
    </row>
    <row r="36" spans="2:2">
      <c r="B36" s="304" t="s">
        <v>2943</v>
      </c>
    </row>
    <row r="37" spans="2:2">
      <c r="B37" s="151"/>
    </row>
    <row r="39" spans="2:2">
      <c r="B39" s="318"/>
    </row>
    <row r="40" spans="2:2">
      <c r="B40" s="318"/>
    </row>
    <row r="41" spans="2:2">
      <c r="B41" s="318"/>
    </row>
    <row r="42" spans="2:2">
      <c r="B42" s="318"/>
    </row>
    <row r="43" spans="2:2">
      <c r="B43" s="318"/>
    </row>
    <row r="44" spans="2:2">
      <c r="B44" s="318"/>
    </row>
  </sheetData>
  <mergeCells count="1">
    <mergeCell ref="C26:F26"/>
  </mergeCell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G34"/>
  <sheetViews>
    <sheetView zoomScaleNormal="100" workbookViewId="0">
      <selection activeCell="H20" sqref="H20"/>
    </sheetView>
  </sheetViews>
  <sheetFormatPr defaultRowHeight="16.5"/>
  <cols>
    <col min="1" max="1" width="30.85546875" style="523" customWidth="1"/>
    <col min="2" max="2" width="13.7109375" style="523" customWidth="1"/>
    <col min="3" max="3" width="14.85546875" style="616" customWidth="1"/>
    <col min="4" max="4" width="14.5703125" style="523" customWidth="1"/>
    <col min="5" max="5" width="15.7109375" style="523" customWidth="1"/>
    <col min="6" max="256" width="9.140625" style="523"/>
    <col min="257" max="257" width="30.85546875" style="523" customWidth="1"/>
    <col min="258" max="258" width="13.7109375" style="523" customWidth="1"/>
    <col min="259" max="259" width="14.85546875" style="523" customWidth="1"/>
    <col min="260" max="260" width="14.5703125" style="523" customWidth="1"/>
    <col min="261" max="261" width="15.7109375" style="523" customWidth="1"/>
    <col min="262" max="512" width="9.140625" style="523"/>
    <col min="513" max="513" width="30.85546875" style="523" customWidth="1"/>
    <col min="514" max="514" width="13.7109375" style="523" customWidth="1"/>
    <col min="515" max="515" width="14.85546875" style="523" customWidth="1"/>
    <col min="516" max="516" width="14.5703125" style="523" customWidth="1"/>
    <col min="517" max="517" width="15.7109375" style="523" customWidth="1"/>
    <col min="518" max="768" width="9.140625" style="523"/>
    <col min="769" max="769" width="30.85546875" style="523" customWidth="1"/>
    <col min="770" max="770" width="13.7109375" style="523" customWidth="1"/>
    <col min="771" max="771" width="14.85546875" style="523" customWidth="1"/>
    <col min="772" max="772" width="14.5703125" style="523" customWidth="1"/>
    <col min="773" max="773" width="15.7109375" style="523" customWidth="1"/>
    <col min="774" max="1024" width="9.140625" style="523"/>
    <col min="1025" max="1025" width="30.85546875" style="523" customWidth="1"/>
    <col min="1026" max="1026" width="13.7109375" style="523" customWidth="1"/>
    <col min="1027" max="1027" width="14.85546875" style="523" customWidth="1"/>
    <col min="1028" max="1028" width="14.5703125" style="523" customWidth="1"/>
    <col min="1029" max="1029" width="15.7109375" style="523" customWidth="1"/>
    <col min="1030" max="1280" width="9.140625" style="523"/>
    <col min="1281" max="1281" width="30.85546875" style="523" customWidth="1"/>
    <col min="1282" max="1282" width="13.7109375" style="523" customWidth="1"/>
    <col min="1283" max="1283" width="14.85546875" style="523" customWidth="1"/>
    <col min="1284" max="1284" width="14.5703125" style="523" customWidth="1"/>
    <col min="1285" max="1285" width="15.7109375" style="523" customWidth="1"/>
    <col min="1286" max="1536" width="9.140625" style="523"/>
    <col min="1537" max="1537" width="30.85546875" style="523" customWidth="1"/>
    <col min="1538" max="1538" width="13.7109375" style="523" customWidth="1"/>
    <col min="1539" max="1539" width="14.85546875" style="523" customWidth="1"/>
    <col min="1540" max="1540" width="14.5703125" style="523" customWidth="1"/>
    <col min="1541" max="1541" width="15.7109375" style="523" customWidth="1"/>
    <col min="1542" max="1792" width="9.140625" style="523"/>
    <col min="1793" max="1793" width="30.85546875" style="523" customWidth="1"/>
    <col min="1794" max="1794" width="13.7109375" style="523" customWidth="1"/>
    <col min="1795" max="1795" width="14.85546875" style="523" customWidth="1"/>
    <col min="1796" max="1796" width="14.5703125" style="523" customWidth="1"/>
    <col min="1797" max="1797" width="15.7109375" style="523" customWidth="1"/>
    <col min="1798" max="2048" width="9.140625" style="523"/>
    <col min="2049" max="2049" width="30.85546875" style="523" customWidth="1"/>
    <col min="2050" max="2050" width="13.7109375" style="523" customWidth="1"/>
    <col min="2051" max="2051" width="14.85546875" style="523" customWidth="1"/>
    <col min="2052" max="2052" width="14.5703125" style="523" customWidth="1"/>
    <col min="2053" max="2053" width="15.7109375" style="523" customWidth="1"/>
    <col min="2054" max="2304" width="9.140625" style="523"/>
    <col min="2305" max="2305" width="30.85546875" style="523" customWidth="1"/>
    <col min="2306" max="2306" width="13.7109375" style="523" customWidth="1"/>
    <col min="2307" max="2307" width="14.85546875" style="523" customWidth="1"/>
    <col min="2308" max="2308" width="14.5703125" style="523" customWidth="1"/>
    <col min="2309" max="2309" width="15.7109375" style="523" customWidth="1"/>
    <col min="2310" max="2560" width="9.140625" style="523"/>
    <col min="2561" max="2561" width="30.85546875" style="523" customWidth="1"/>
    <col min="2562" max="2562" width="13.7109375" style="523" customWidth="1"/>
    <col min="2563" max="2563" width="14.85546875" style="523" customWidth="1"/>
    <col min="2564" max="2564" width="14.5703125" style="523" customWidth="1"/>
    <col min="2565" max="2565" width="15.7109375" style="523" customWidth="1"/>
    <col min="2566" max="2816" width="9.140625" style="523"/>
    <col min="2817" max="2817" width="30.85546875" style="523" customWidth="1"/>
    <col min="2818" max="2818" width="13.7109375" style="523" customWidth="1"/>
    <col min="2819" max="2819" width="14.85546875" style="523" customWidth="1"/>
    <col min="2820" max="2820" width="14.5703125" style="523" customWidth="1"/>
    <col min="2821" max="2821" width="15.7109375" style="523" customWidth="1"/>
    <col min="2822" max="3072" width="9.140625" style="523"/>
    <col min="3073" max="3073" width="30.85546875" style="523" customWidth="1"/>
    <col min="3074" max="3074" width="13.7109375" style="523" customWidth="1"/>
    <col min="3075" max="3075" width="14.85546875" style="523" customWidth="1"/>
    <col min="3076" max="3076" width="14.5703125" style="523" customWidth="1"/>
    <col min="3077" max="3077" width="15.7109375" style="523" customWidth="1"/>
    <col min="3078" max="3328" width="9.140625" style="523"/>
    <col min="3329" max="3329" width="30.85546875" style="523" customWidth="1"/>
    <col min="3330" max="3330" width="13.7109375" style="523" customWidth="1"/>
    <col min="3331" max="3331" width="14.85546875" style="523" customWidth="1"/>
    <col min="3332" max="3332" width="14.5703125" style="523" customWidth="1"/>
    <col min="3333" max="3333" width="15.7109375" style="523" customWidth="1"/>
    <col min="3334" max="3584" width="9.140625" style="523"/>
    <col min="3585" max="3585" width="30.85546875" style="523" customWidth="1"/>
    <col min="3586" max="3586" width="13.7109375" style="523" customWidth="1"/>
    <col min="3587" max="3587" width="14.85546875" style="523" customWidth="1"/>
    <col min="3588" max="3588" width="14.5703125" style="523" customWidth="1"/>
    <col min="3589" max="3589" width="15.7109375" style="523" customWidth="1"/>
    <col min="3590" max="3840" width="9.140625" style="523"/>
    <col min="3841" max="3841" width="30.85546875" style="523" customWidth="1"/>
    <col min="3842" max="3842" width="13.7109375" style="523" customWidth="1"/>
    <col min="3843" max="3843" width="14.85546875" style="523" customWidth="1"/>
    <col min="3844" max="3844" width="14.5703125" style="523" customWidth="1"/>
    <col min="3845" max="3845" width="15.7109375" style="523" customWidth="1"/>
    <col min="3846" max="4096" width="9.140625" style="523"/>
    <col min="4097" max="4097" width="30.85546875" style="523" customWidth="1"/>
    <col min="4098" max="4098" width="13.7109375" style="523" customWidth="1"/>
    <col min="4099" max="4099" width="14.85546875" style="523" customWidth="1"/>
    <col min="4100" max="4100" width="14.5703125" style="523" customWidth="1"/>
    <col min="4101" max="4101" width="15.7109375" style="523" customWidth="1"/>
    <col min="4102" max="4352" width="9.140625" style="523"/>
    <col min="4353" max="4353" width="30.85546875" style="523" customWidth="1"/>
    <col min="4354" max="4354" width="13.7109375" style="523" customWidth="1"/>
    <col min="4355" max="4355" width="14.85546875" style="523" customWidth="1"/>
    <col min="4356" max="4356" width="14.5703125" style="523" customWidth="1"/>
    <col min="4357" max="4357" width="15.7109375" style="523" customWidth="1"/>
    <col min="4358" max="4608" width="9.140625" style="523"/>
    <col min="4609" max="4609" width="30.85546875" style="523" customWidth="1"/>
    <col min="4610" max="4610" width="13.7109375" style="523" customWidth="1"/>
    <col min="4611" max="4611" width="14.85546875" style="523" customWidth="1"/>
    <col min="4612" max="4612" width="14.5703125" style="523" customWidth="1"/>
    <col min="4613" max="4613" width="15.7109375" style="523" customWidth="1"/>
    <col min="4614" max="4864" width="9.140625" style="523"/>
    <col min="4865" max="4865" width="30.85546875" style="523" customWidth="1"/>
    <col min="4866" max="4866" width="13.7109375" style="523" customWidth="1"/>
    <col min="4867" max="4867" width="14.85546875" style="523" customWidth="1"/>
    <col min="4868" max="4868" width="14.5703125" style="523" customWidth="1"/>
    <col min="4869" max="4869" width="15.7109375" style="523" customWidth="1"/>
    <col min="4870" max="5120" width="9.140625" style="523"/>
    <col min="5121" max="5121" width="30.85546875" style="523" customWidth="1"/>
    <col min="5122" max="5122" width="13.7109375" style="523" customWidth="1"/>
    <col min="5123" max="5123" width="14.85546875" style="523" customWidth="1"/>
    <col min="5124" max="5124" width="14.5703125" style="523" customWidth="1"/>
    <col min="5125" max="5125" width="15.7109375" style="523" customWidth="1"/>
    <col min="5126" max="5376" width="9.140625" style="523"/>
    <col min="5377" max="5377" width="30.85546875" style="523" customWidth="1"/>
    <col min="5378" max="5378" width="13.7109375" style="523" customWidth="1"/>
    <col min="5379" max="5379" width="14.85546875" style="523" customWidth="1"/>
    <col min="5380" max="5380" width="14.5703125" style="523" customWidth="1"/>
    <col min="5381" max="5381" width="15.7109375" style="523" customWidth="1"/>
    <col min="5382" max="5632" width="9.140625" style="523"/>
    <col min="5633" max="5633" width="30.85546875" style="523" customWidth="1"/>
    <col min="5634" max="5634" width="13.7109375" style="523" customWidth="1"/>
    <col min="5635" max="5635" width="14.85546875" style="523" customWidth="1"/>
    <col min="5636" max="5636" width="14.5703125" style="523" customWidth="1"/>
    <col min="5637" max="5637" width="15.7109375" style="523" customWidth="1"/>
    <col min="5638" max="5888" width="9.140625" style="523"/>
    <col min="5889" max="5889" width="30.85546875" style="523" customWidth="1"/>
    <col min="5890" max="5890" width="13.7109375" style="523" customWidth="1"/>
    <col min="5891" max="5891" width="14.85546875" style="523" customWidth="1"/>
    <col min="5892" max="5892" width="14.5703125" style="523" customWidth="1"/>
    <col min="5893" max="5893" width="15.7109375" style="523" customWidth="1"/>
    <col min="5894" max="6144" width="9.140625" style="523"/>
    <col min="6145" max="6145" width="30.85546875" style="523" customWidth="1"/>
    <col min="6146" max="6146" width="13.7109375" style="523" customWidth="1"/>
    <col min="6147" max="6147" width="14.85546875" style="523" customWidth="1"/>
    <col min="6148" max="6148" width="14.5703125" style="523" customWidth="1"/>
    <col min="6149" max="6149" width="15.7109375" style="523" customWidth="1"/>
    <col min="6150" max="6400" width="9.140625" style="523"/>
    <col min="6401" max="6401" width="30.85546875" style="523" customWidth="1"/>
    <col min="6402" max="6402" width="13.7109375" style="523" customWidth="1"/>
    <col min="6403" max="6403" width="14.85546875" style="523" customWidth="1"/>
    <col min="6404" max="6404" width="14.5703125" style="523" customWidth="1"/>
    <col min="6405" max="6405" width="15.7109375" style="523" customWidth="1"/>
    <col min="6406" max="6656" width="9.140625" style="523"/>
    <col min="6657" max="6657" width="30.85546875" style="523" customWidth="1"/>
    <col min="6658" max="6658" width="13.7109375" style="523" customWidth="1"/>
    <col min="6659" max="6659" width="14.85546875" style="523" customWidth="1"/>
    <col min="6660" max="6660" width="14.5703125" style="523" customWidth="1"/>
    <col min="6661" max="6661" width="15.7109375" style="523" customWidth="1"/>
    <col min="6662" max="6912" width="9.140625" style="523"/>
    <col min="6913" max="6913" width="30.85546875" style="523" customWidth="1"/>
    <col min="6914" max="6914" width="13.7109375" style="523" customWidth="1"/>
    <col min="6915" max="6915" width="14.85546875" style="523" customWidth="1"/>
    <col min="6916" max="6916" width="14.5703125" style="523" customWidth="1"/>
    <col min="6917" max="6917" width="15.7109375" style="523" customWidth="1"/>
    <col min="6918" max="7168" width="9.140625" style="523"/>
    <col min="7169" max="7169" width="30.85546875" style="523" customWidth="1"/>
    <col min="7170" max="7170" width="13.7109375" style="523" customWidth="1"/>
    <col min="7171" max="7171" width="14.85546875" style="523" customWidth="1"/>
    <col min="7172" max="7172" width="14.5703125" style="523" customWidth="1"/>
    <col min="7173" max="7173" width="15.7109375" style="523" customWidth="1"/>
    <col min="7174" max="7424" width="9.140625" style="523"/>
    <col min="7425" max="7425" width="30.85546875" style="523" customWidth="1"/>
    <col min="7426" max="7426" width="13.7109375" style="523" customWidth="1"/>
    <col min="7427" max="7427" width="14.85546875" style="523" customWidth="1"/>
    <col min="7428" max="7428" width="14.5703125" style="523" customWidth="1"/>
    <col min="7429" max="7429" width="15.7109375" style="523" customWidth="1"/>
    <col min="7430" max="7680" width="9.140625" style="523"/>
    <col min="7681" max="7681" width="30.85546875" style="523" customWidth="1"/>
    <col min="7682" max="7682" width="13.7109375" style="523" customWidth="1"/>
    <col min="7683" max="7683" width="14.85546875" style="523" customWidth="1"/>
    <col min="7684" max="7684" width="14.5703125" style="523" customWidth="1"/>
    <col min="7685" max="7685" width="15.7109375" style="523" customWidth="1"/>
    <col min="7686" max="7936" width="9.140625" style="523"/>
    <col min="7937" max="7937" width="30.85546875" style="523" customWidth="1"/>
    <col min="7938" max="7938" width="13.7109375" style="523" customWidth="1"/>
    <col min="7939" max="7939" width="14.85546875" style="523" customWidth="1"/>
    <col min="7940" max="7940" width="14.5703125" style="523" customWidth="1"/>
    <col min="7941" max="7941" width="15.7109375" style="523" customWidth="1"/>
    <col min="7942" max="8192" width="9.140625" style="523"/>
    <col min="8193" max="8193" width="30.85546875" style="523" customWidth="1"/>
    <col min="8194" max="8194" width="13.7109375" style="523" customWidth="1"/>
    <col min="8195" max="8195" width="14.85546875" style="523" customWidth="1"/>
    <col min="8196" max="8196" width="14.5703125" style="523" customWidth="1"/>
    <col min="8197" max="8197" width="15.7109375" style="523" customWidth="1"/>
    <col min="8198" max="8448" width="9.140625" style="523"/>
    <col min="8449" max="8449" width="30.85546875" style="523" customWidth="1"/>
    <col min="8450" max="8450" width="13.7109375" style="523" customWidth="1"/>
    <col min="8451" max="8451" width="14.85546875" style="523" customWidth="1"/>
    <col min="8452" max="8452" width="14.5703125" style="523" customWidth="1"/>
    <col min="8453" max="8453" width="15.7109375" style="523" customWidth="1"/>
    <col min="8454" max="8704" width="9.140625" style="523"/>
    <col min="8705" max="8705" width="30.85546875" style="523" customWidth="1"/>
    <col min="8706" max="8706" width="13.7109375" style="523" customWidth="1"/>
    <col min="8707" max="8707" width="14.85546875" style="523" customWidth="1"/>
    <col min="8708" max="8708" width="14.5703125" style="523" customWidth="1"/>
    <col min="8709" max="8709" width="15.7109375" style="523" customWidth="1"/>
    <col min="8710" max="8960" width="9.140625" style="523"/>
    <col min="8961" max="8961" width="30.85546875" style="523" customWidth="1"/>
    <col min="8962" max="8962" width="13.7109375" style="523" customWidth="1"/>
    <col min="8963" max="8963" width="14.85546875" style="523" customWidth="1"/>
    <col min="8964" max="8964" width="14.5703125" style="523" customWidth="1"/>
    <col min="8965" max="8965" width="15.7109375" style="523" customWidth="1"/>
    <col min="8966" max="9216" width="9.140625" style="523"/>
    <col min="9217" max="9217" width="30.85546875" style="523" customWidth="1"/>
    <col min="9218" max="9218" width="13.7109375" style="523" customWidth="1"/>
    <col min="9219" max="9219" width="14.85546875" style="523" customWidth="1"/>
    <col min="9220" max="9220" width="14.5703125" style="523" customWidth="1"/>
    <col min="9221" max="9221" width="15.7109375" style="523" customWidth="1"/>
    <col min="9222" max="9472" width="9.140625" style="523"/>
    <col min="9473" max="9473" width="30.85546875" style="523" customWidth="1"/>
    <col min="9474" max="9474" width="13.7109375" style="523" customWidth="1"/>
    <col min="9475" max="9475" width="14.85546875" style="523" customWidth="1"/>
    <col min="9476" max="9476" width="14.5703125" style="523" customWidth="1"/>
    <col min="9477" max="9477" width="15.7109375" style="523" customWidth="1"/>
    <col min="9478" max="9728" width="9.140625" style="523"/>
    <col min="9729" max="9729" width="30.85546875" style="523" customWidth="1"/>
    <col min="9730" max="9730" width="13.7109375" style="523" customWidth="1"/>
    <col min="9731" max="9731" width="14.85546875" style="523" customWidth="1"/>
    <col min="9732" max="9732" width="14.5703125" style="523" customWidth="1"/>
    <col min="9733" max="9733" width="15.7109375" style="523" customWidth="1"/>
    <col min="9734" max="9984" width="9.140625" style="523"/>
    <col min="9985" max="9985" width="30.85546875" style="523" customWidth="1"/>
    <col min="9986" max="9986" width="13.7109375" style="523" customWidth="1"/>
    <col min="9987" max="9987" width="14.85546875" style="523" customWidth="1"/>
    <col min="9988" max="9988" width="14.5703125" style="523" customWidth="1"/>
    <col min="9989" max="9989" width="15.7109375" style="523" customWidth="1"/>
    <col min="9990" max="10240" width="9.140625" style="523"/>
    <col min="10241" max="10241" width="30.85546875" style="523" customWidth="1"/>
    <col min="10242" max="10242" width="13.7109375" style="523" customWidth="1"/>
    <col min="10243" max="10243" width="14.85546875" style="523" customWidth="1"/>
    <col min="10244" max="10244" width="14.5703125" style="523" customWidth="1"/>
    <col min="10245" max="10245" width="15.7109375" style="523" customWidth="1"/>
    <col min="10246" max="10496" width="9.140625" style="523"/>
    <col min="10497" max="10497" width="30.85546875" style="523" customWidth="1"/>
    <col min="10498" max="10498" width="13.7109375" style="523" customWidth="1"/>
    <col min="10499" max="10499" width="14.85546875" style="523" customWidth="1"/>
    <col min="10500" max="10500" width="14.5703125" style="523" customWidth="1"/>
    <col min="10501" max="10501" width="15.7109375" style="523" customWidth="1"/>
    <col min="10502" max="10752" width="9.140625" style="523"/>
    <col min="10753" max="10753" width="30.85546875" style="523" customWidth="1"/>
    <col min="10754" max="10754" width="13.7109375" style="523" customWidth="1"/>
    <col min="10755" max="10755" width="14.85546875" style="523" customWidth="1"/>
    <col min="10756" max="10756" width="14.5703125" style="523" customWidth="1"/>
    <col min="10757" max="10757" width="15.7109375" style="523" customWidth="1"/>
    <col min="10758" max="11008" width="9.140625" style="523"/>
    <col min="11009" max="11009" width="30.85546875" style="523" customWidth="1"/>
    <col min="11010" max="11010" width="13.7109375" style="523" customWidth="1"/>
    <col min="11011" max="11011" width="14.85546875" style="523" customWidth="1"/>
    <col min="11012" max="11012" width="14.5703125" style="523" customWidth="1"/>
    <col min="11013" max="11013" width="15.7109375" style="523" customWidth="1"/>
    <col min="11014" max="11264" width="9.140625" style="523"/>
    <col min="11265" max="11265" width="30.85546875" style="523" customWidth="1"/>
    <col min="11266" max="11266" width="13.7109375" style="523" customWidth="1"/>
    <col min="11267" max="11267" width="14.85546875" style="523" customWidth="1"/>
    <col min="11268" max="11268" width="14.5703125" style="523" customWidth="1"/>
    <col min="11269" max="11269" width="15.7109375" style="523" customWidth="1"/>
    <col min="11270" max="11520" width="9.140625" style="523"/>
    <col min="11521" max="11521" width="30.85546875" style="523" customWidth="1"/>
    <col min="11522" max="11522" width="13.7109375" style="523" customWidth="1"/>
    <col min="11523" max="11523" width="14.85546875" style="523" customWidth="1"/>
    <col min="11524" max="11524" width="14.5703125" style="523" customWidth="1"/>
    <col min="11525" max="11525" width="15.7109375" style="523" customWidth="1"/>
    <col min="11526" max="11776" width="9.140625" style="523"/>
    <col min="11777" max="11777" width="30.85546875" style="523" customWidth="1"/>
    <col min="11778" max="11778" width="13.7109375" style="523" customWidth="1"/>
    <col min="11779" max="11779" width="14.85546875" style="523" customWidth="1"/>
    <col min="11780" max="11780" width="14.5703125" style="523" customWidth="1"/>
    <col min="11781" max="11781" width="15.7109375" style="523" customWidth="1"/>
    <col min="11782" max="12032" width="9.140625" style="523"/>
    <col min="12033" max="12033" width="30.85546875" style="523" customWidth="1"/>
    <col min="12034" max="12034" width="13.7109375" style="523" customWidth="1"/>
    <col min="12035" max="12035" width="14.85546875" style="523" customWidth="1"/>
    <col min="12036" max="12036" width="14.5703125" style="523" customWidth="1"/>
    <col min="12037" max="12037" width="15.7109375" style="523" customWidth="1"/>
    <col min="12038" max="12288" width="9.140625" style="523"/>
    <col min="12289" max="12289" width="30.85546875" style="523" customWidth="1"/>
    <col min="12290" max="12290" width="13.7109375" style="523" customWidth="1"/>
    <col min="12291" max="12291" width="14.85546875" style="523" customWidth="1"/>
    <col min="12292" max="12292" width="14.5703125" style="523" customWidth="1"/>
    <col min="12293" max="12293" width="15.7109375" style="523" customWidth="1"/>
    <col min="12294" max="12544" width="9.140625" style="523"/>
    <col min="12545" max="12545" width="30.85546875" style="523" customWidth="1"/>
    <col min="12546" max="12546" width="13.7109375" style="523" customWidth="1"/>
    <col min="12547" max="12547" width="14.85546875" style="523" customWidth="1"/>
    <col min="12548" max="12548" width="14.5703125" style="523" customWidth="1"/>
    <col min="12549" max="12549" width="15.7109375" style="523" customWidth="1"/>
    <col min="12550" max="12800" width="9.140625" style="523"/>
    <col min="12801" max="12801" width="30.85546875" style="523" customWidth="1"/>
    <col min="12802" max="12802" width="13.7109375" style="523" customWidth="1"/>
    <col min="12803" max="12803" width="14.85546875" style="523" customWidth="1"/>
    <col min="12804" max="12804" width="14.5703125" style="523" customWidth="1"/>
    <col min="12805" max="12805" width="15.7109375" style="523" customWidth="1"/>
    <col min="12806" max="13056" width="9.140625" style="523"/>
    <col min="13057" max="13057" width="30.85546875" style="523" customWidth="1"/>
    <col min="13058" max="13058" width="13.7109375" style="523" customWidth="1"/>
    <col min="13059" max="13059" width="14.85546875" style="523" customWidth="1"/>
    <col min="13060" max="13060" width="14.5703125" style="523" customWidth="1"/>
    <col min="13061" max="13061" width="15.7109375" style="523" customWidth="1"/>
    <col min="13062" max="13312" width="9.140625" style="523"/>
    <col min="13313" max="13313" width="30.85546875" style="523" customWidth="1"/>
    <col min="13314" max="13314" width="13.7109375" style="523" customWidth="1"/>
    <col min="13315" max="13315" width="14.85546875" style="523" customWidth="1"/>
    <col min="13316" max="13316" width="14.5703125" style="523" customWidth="1"/>
    <col min="13317" max="13317" width="15.7109375" style="523" customWidth="1"/>
    <col min="13318" max="13568" width="9.140625" style="523"/>
    <col min="13569" max="13569" width="30.85546875" style="523" customWidth="1"/>
    <col min="13570" max="13570" width="13.7109375" style="523" customWidth="1"/>
    <col min="13571" max="13571" width="14.85546875" style="523" customWidth="1"/>
    <col min="13572" max="13572" width="14.5703125" style="523" customWidth="1"/>
    <col min="13573" max="13573" width="15.7109375" style="523" customWidth="1"/>
    <col min="13574" max="13824" width="9.140625" style="523"/>
    <col min="13825" max="13825" width="30.85546875" style="523" customWidth="1"/>
    <col min="13826" max="13826" width="13.7109375" style="523" customWidth="1"/>
    <col min="13827" max="13827" width="14.85546875" style="523" customWidth="1"/>
    <col min="13828" max="13828" width="14.5703125" style="523" customWidth="1"/>
    <col min="13829" max="13829" width="15.7109375" style="523" customWidth="1"/>
    <col min="13830" max="14080" width="9.140625" style="523"/>
    <col min="14081" max="14081" width="30.85546875" style="523" customWidth="1"/>
    <col min="14082" max="14082" width="13.7109375" style="523" customWidth="1"/>
    <col min="14083" max="14083" width="14.85546875" style="523" customWidth="1"/>
    <col min="14084" max="14084" width="14.5703125" style="523" customWidth="1"/>
    <col min="14085" max="14085" width="15.7109375" style="523" customWidth="1"/>
    <col min="14086" max="14336" width="9.140625" style="523"/>
    <col min="14337" max="14337" width="30.85546875" style="523" customWidth="1"/>
    <col min="14338" max="14338" width="13.7109375" style="523" customWidth="1"/>
    <col min="14339" max="14339" width="14.85546875" style="523" customWidth="1"/>
    <col min="14340" max="14340" width="14.5703125" style="523" customWidth="1"/>
    <col min="14341" max="14341" width="15.7109375" style="523" customWidth="1"/>
    <col min="14342" max="14592" width="9.140625" style="523"/>
    <col min="14593" max="14593" width="30.85546875" style="523" customWidth="1"/>
    <col min="14594" max="14594" width="13.7109375" style="523" customWidth="1"/>
    <col min="14595" max="14595" width="14.85546875" style="523" customWidth="1"/>
    <col min="14596" max="14596" width="14.5703125" style="523" customWidth="1"/>
    <col min="14597" max="14597" width="15.7109375" style="523" customWidth="1"/>
    <col min="14598" max="14848" width="9.140625" style="523"/>
    <col min="14849" max="14849" width="30.85546875" style="523" customWidth="1"/>
    <col min="14850" max="14850" width="13.7109375" style="523" customWidth="1"/>
    <col min="14851" max="14851" width="14.85546875" style="523" customWidth="1"/>
    <col min="14852" max="14852" width="14.5703125" style="523" customWidth="1"/>
    <col min="14853" max="14853" width="15.7109375" style="523" customWidth="1"/>
    <col min="14854" max="15104" width="9.140625" style="523"/>
    <col min="15105" max="15105" width="30.85546875" style="523" customWidth="1"/>
    <col min="15106" max="15106" width="13.7109375" style="523" customWidth="1"/>
    <col min="15107" max="15107" width="14.85546875" style="523" customWidth="1"/>
    <col min="15108" max="15108" width="14.5703125" style="523" customWidth="1"/>
    <col min="15109" max="15109" width="15.7109375" style="523" customWidth="1"/>
    <col min="15110" max="15360" width="9.140625" style="523"/>
    <col min="15361" max="15361" width="30.85546875" style="523" customWidth="1"/>
    <col min="15362" max="15362" width="13.7109375" style="523" customWidth="1"/>
    <col min="15363" max="15363" width="14.85546875" style="523" customWidth="1"/>
    <col min="15364" max="15364" width="14.5703125" style="523" customWidth="1"/>
    <col min="15365" max="15365" width="15.7109375" style="523" customWidth="1"/>
    <col min="15366" max="15616" width="9.140625" style="523"/>
    <col min="15617" max="15617" width="30.85546875" style="523" customWidth="1"/>
    <col min="15618" max="15618" width="13.7109375" style="523" customWidth="1"/>
    <col min="15619" max="15619" width="14.85546875" style="523" customWidth="1"/>
    <col min="15620" max="15620" width="14.5703125" style="523" customWidth="1"/>
    <col min="15621" max="15621" width="15.7109375" style="523" customWidth="1"/>
    <col min="15622" max="15872" width="9.140625" style="523"/>
    <col min="15873" max="15873" width="30.85546875" style="523" customWidth="1"/>
    <col min="15874" max="15874" width="13.7109375" style="523" customWidth="1"/>
    <col min="15875" max="15875" width="14.85546875" style="523" customWidth="1"/>
    <col min="15876" max="15876" width="14.5703125" style="523" customWidth="1"/>
    <col min="15877" max="15877" width="15.7109375" style="523" customWidth="1"/>
    <col min="15878" max="16128" width="9.140625" style="523"/>
    <col min="16129" max="16129" width="30.85546875" style="523" customWidth="1"/>
    <col min="16130" max="16130" width="13.7109375" style="523" customWidth="1"/>
    <col min="16131" max="16131" width="14.85546875" style="523" customWidth="1"/>
    <col min="16132" max="16132" width="14.5703125" style="523" customWidth="1"/>
    <col min="16133" max="16133" width="15.7109375" style="523" customWidth="1"/>
    <col min="16134" max="16384" width="9.140625" style="523"/>
  </cols>
  <sheetData>
    <row r="1" spans="1:7">
      <c r="C1" s="616" t="s">
        <v>1797</v>
      </c>
      <c r="G1" s="1383" t="s">
        <v>1020</v>
      </c>
    </row>
    <row r="6" spans="1:7">
      <c r="A6" s="2409" t="s">
        <v>1796</v>
      </c>
      <c r="B6" s="2409"/>
      <c r="C6" s="2409"/>
      <c r="D6" s="2409"/>
      <c r="E6" s="2409"/>
    </row>
    <row r="7" spans="1:7" ht="15.75" customHeight="1">
      <c r="A7" s="2409" t="s">
        <v>1753</v>
      </c>
      <c r="B7" s="2409"/>
      <c r="C7" s="2409"/>
      <c r="D7" s="2409"/>
      <c r="E7" s="2409"/>
    </row>
    <row r="8" spans="1:7" ht="17.25" thickBot="1">
      <c r="C8" s="621"/>
      <c r="D8" s="524"/>
      <c r="E8" s="2302" t="s">
        <v>1263</v>
      </c>
    </row>
    <row r="9" spans="1:7" ht="20.25" customHeight="1" thickTop="1">
      <c r="A9" s="930" t="s">
        <v>1294</v>
      </c>
      <c r="B9" s="929" t="s">
        <v>235</v>
      </c>
      <c r="C9" s="928" t="s">
        <v>3</v>
      </c>
      <c r="D9" s="2310" t="s">
        <v>1</v>
      </c>
      <c r="E9" s="709" t="s">
        <v>4</v>
      </c>
    </row>
    <row r="10" spans="1:7" ht="22.5" customHeight="1">
      <c r="A10" s="905" t="s">
        <v>1351</v>
      </c>
      <c r="B10" s="904"/>
      <c r="C10" s="916"/>
      <c r="D10" s="886"/>
      <c r="E10" s="903">
        <f>SUM(E23+E24)</f>
        <v>19155000</v>
      </c>
    </row>
    <row r="11" spans="1:7" ht="22.5" customHeight="1">
      <c r="A11" s="599" t="s">
        <v>1692</v>
      </c>
      <c r="B11" s="598" t="s">
        <v>1287</v>
      </c>
      <c r="C11" s="627">
        <v>750</v>
      </c>
      <c r="D11" s="597">
        <v>3000</v>
      </c>
      <c r="E11" s="595">
        <f t="shared" ref="E11:E20" si="0">D11*C11</f>
        <v>2250000</v>
      </c>
    </row>
    <row r="12" spans="1:7" ht="22.5" customHeight="1">
      <c r="A12" s="599" t="s">
        <v>1779</v>
      </c>
      <c r="B12" s="598" t="s">
        <v>228</v>
      </c>
      <c r="C12" s="627">
        <v>450000</v>
      </c>
      <c r="D12" s="597">
        <v>4</v>
      </c>
      <c r="E12" s="595">
        <f t="shared" si="0"/>
        <v>1800000</v>
      </c>
    </row>
    <row r="13" spans="1:7" ht="22.5" customHeight="1">
      <c r="A13" s="599" t="s">
        <v>1778</v>
      </c>
      <c r="B13" s="598" t="s">
        <v>11</v>
      </c>
      <c r="C13" s="627">
        <v>10000</v>
      </c>
      <c r="D13" s="597">
        <v>60</v>
      </c>
      <c r="E13" s="595">
        <f t="shared" si="0"/>
        <v>600000</v>
      </c>
      <c r="F13" s="617"/>
    </row>
    <row r="14" spans="1:7" ht="22.5" customHeight="1">
      <c r="A14" s="599" t="s">
        <v>1777</v>
      </c>
      <c r="B14" s="598" t="s">
        <v>11</v>
      </c>
      <c r="C14" s="627">
        <v>2000</v>
      </c>
      <c r="D14" s="597">
        <v>150</v>
      </c>
      <c r="E14" s="595">
        <f t="shared" si="0"/>
        <v>300000</v>
      </c>
    </row>
    <row r="15" spans="1:7" ht="22.5" customHeight="1">
      <c r="A15" s="599" t="s">
        <v>1776</v>
      </c>
      <c r="B15" s="598" t="s">
        <v>11</v>
      </c>
      <c r="C15" s="627">
        <v>3000</v>
      </c>
      <c r="D15" s="597">
        <v>60</v>
      </c>
      <c r="E15" s="595">
        <f t="shared" si="0"/>
        <v>180000</v>
      </c>
    </row>
    <row r="16" spans="1:7" ht="22.5" customHeight="1">
      <c r="A16" s="599" t="s">
        <v>1402</v>
      </c>
      <c r="B16" s="598" t="s">
        <v>11</v>
      </c>
      <c r="C16" s="627">
        <v>15000</v>
      </c>
      <c r="D16" s="597">
        <v>25</v>
      </c>
      <c r="E16" s="595">
        <f t="shared" si="0"/>
        <v>375000</v>
      </c>
    </row>
    <row r="17" spans="1:5" ht="22.5" customHeight="1">
      <c r="A17" s="599" t="s">
        <v>1795</v>
      </c>
      <c r="B17" s="598" t="s">
        <v>11</v>
      </c>
      <c r="C17" s="627">
        <v>200000</v>
      </c>
      <c r="D17" s="597">
        <v>2</v>
      </c>
      <c r="E17" s="595">
        <f t="shared" si="0"/>
        <v>400000</v>
      </c>
    </row>
    <row r="18" spans="1:5" ht="22.5" customHeight="1">
      <c r="A18" s="599" t="s">
        <v>1736</v>
      </c>
      <c r="B18" s="598" t="s">
        <v>11</v>
      </c>
      <c r="C18" s="627">
        <v>200000</v>
      </c>
      <c r="D18" s="597">
        <v>2</v>
      </c>
      <c r="E18" s="595">
        <f t="shared" si="0"/>
        <v>400000</v>
      </c>
    </row>
    <row r="19" spans="1:5" ht="22.5" customHeight="1">
      <c r="A19" s="599" t="s">
        <v>1369</v>
      </c>
      <c r="B19" s="598" t="s">
        <v>1397</v>
      </c>
      <c r="C19" s="627">
        <v>70000</v>
      </c>
      <c r="D19" s="597">
        <v>40</v>
      </c>
      <c r="E19" s="595">
        <f t="shared" si="0"/>
        <v>2800000</v>
      </c>
    </row>
    <row r="20" spans="1:5" ht="22.5" customHeight="1">
      <c r="A20" s="599" t="s">
        <v>1368</v>
      </c>
      <c r="B20" s="598" t="s">
        <v>511</v>
      </c>
      <c r="C20" s="627">
        <v>180000</v>
      </c>
      <c r="D20" s="597">
        <v>40</v>
      </c>
      <c r="E20" s="595">
        <f t="shared" si="0"/>
        <v>7200000</v>
      </c>
    </row>
    <row r="21" spans="1:5" ht="22.5" customHeight="1">
      <c r="A21" s="599" t="s">
        <v>1794</v>
      </c>
      <c r="B21" s="598" t="s">
        <v>1287</v>
      </c>
      <c r="C21" s="627">
        <v>500</v>
      </c>
      <c r="D21" s="597">
        <v>5000</v>
      </c>
      <c r="E21" s="595">
        <f>D21*C21*50%</f>
        <v>1250000</v>
      </c>
    </row>
    <row r="22" spans="1:5" ht="22.5" customHeight="1">
      <c r="A22" s="599" t="s">
        <v>1793</v>
      </c>
      <c r="B22" s="598" t="s">
        <v>965</v>
      </c>
      <c r="C22" s="627">
        <v>500000</v>
      </c>
      <c r="D22" s="597">
        <v>2</v>
      </c>
      <c r="E22" s="595">
        <f>D22*C22</f>
        <v>1000000</v>
      </c>
    </row>
    <row r="23" spans="1:5" ht="22.5" customHeight="1">
      <c r="A23" s="893" t="s">
        <v>1344</v>
      </c>
      <c r="B23" s="598"/>
      <c r="C23" s="627"/>
      <c r="D23" s="876"/>
      <c r="E23" s="879">
        <f>SUM(E11:E22)</f>
        <v>18555000</v>
      </c>
    </row>
    <row r="24" spans="1:5" ht="22.5" customHeight="1">
      <c r="A24" s="599" t="s">
        <v>1395</v>
      </c>
      <c r="B24" s="598" t="s">
        <v>1270</v>
      </c>
      <c r="C24" s="627"/>
      <c r="D24" s="597"/>
      <c r="E24" s="595">
        <f>15000000*8%/2</f>
        <v>600000</v>
      </c>
    </row>
    <row r="25" spans="1:5" ht="22.5" customHeight="1">
      <c r="A25" s="893" t="s">
        <v>1341</v>
      </c>
      <c r="B25" s="598"/>
      <c r="C25" s="627"/>
      <c r="D25" s="597"/>
      <c r="E25" s="879">
        <f>E27</f>
        <v>22400000</v>
      </c>
    </row>
    <row r="26" spans="1:5" ht="22.5" customHeight="1">
      <c r="A26" s="599" t="s">
        <v>1340</v>
      </c>
      <c r="B26" s="598" t="s">
        <v>11</v>
      </c>
      <c r="C26" s="627"/>
      <c r="D26" s="597">
        <v>8000</v>
      </c>
      <c r="E26" s="595"/>
    </row>
    <row r="27" spans="1:5" ht="22.5" customHeight="1">
      <c r="A27" s="599" t="s">
        <v>1339</v>
      </c>
      <c r="B27" s="598" t="s">
        <v>1270</v>
      </c>
      <c r="C27" s="627">
        <v>2800</v>
      </c>
      <c r="D27" s="597">
        <f>D26</f>
        <v>8000</v>
      </c>
      <c r="E27" s="595">
        <f>D26*C27</f>
        <v>22400000</v>
      </c>
    </row>
    <row r="28" spans="1:5" ht="22.5" customHeight="1">
      <c r="A28" s="902" t="s">
        <v>1337</v>
      </c>
      <c r="B28" s="910"/>
      <c r="C28" s="914"/>
      <c r="D28" s="872"/>
      <c r="E28" s="870">
        <f>E25-E10</f>
        <v>3245000</v>
      </c>
    </row>
    <row r="29" spans="1:5" ht="22.5" customHeight="1" thickBot="1">
      <c r="A29" s="789" t="s">
        <v>1269</v>
      </c>
      <c r="B29" s="723" t="s">
        <v>90</v>
      </c>
      <c r="C29" s="624"/>
      <c r="D29" s="764"/>
      <c r="E29" s="622">
        <f>E28/E25</f>
        <v>0.14486607142857144</v>
      </c>
    </row>
    <row r="30" spans="1:5" ht="22.5" customHeight="1" thickTop="1">
      <c r="A30" s="652"/>
      <c r="B30" s="620"/>
      <c r="C30" s="621"/>
      <c r="D30" s="927"/>
      <c r="E30" s="927"/>
    </row>
    <row r="31" spans="1:5" ht="22.5" customHeight="1">
      <c r="A31" s="524" t="s">
        <v>1268</v>
      </c>
    </row>
    <row r="32" spans="1:5" ht="22.5" customHeight="1">
      <c r="A32" s="523" t="s">
        <v>1792</v>
      </c>
    </row>
    <row r="33" spans="1:1" ht="22.5" customHeight="1">
      <c r="A33" s="523" t="s">
        <v>1791</v>
      </c>
    </row>
    <row r="34" spans="1:1" ht="22.5" customHeight="1">
      <c r="A34" s="617" t="s">
        <v>1613</v>
      </c>
    </row>
  </sheetData>
  <mergeCells count="2">
    <mergeCell ref="A6:E6"/>
    <mergeCell ref="A7:E7"/>
  </mergeCells>
  <pageMargins left="1" right="0.5" top="0.75" bottom="0.75" header="0.5" footer="0.5"/>
  <pageSetup paperSize="9" scale="95" orientation="portrait" r:id="rId1"/>
  <headerFooter alignWithMargins="0">
    <oddFooter>&amp;CTrang</oddFooter>
  </headerFooter>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L39"/>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0.5703125" style="525" customWidth="1"/>
    <col min="9" max="9" width="16.28515625" style="525" customWidth="1"/>
    <col min="10" max="10" width="17.140625" style="525" bestFit="1" customWidth="1"/>
    <col min="11" max="11" width="11.140625" style="525" customWidth="1"/>
    <col min="12" max="12" width="16.42578125" style="525" customWidth="1"/>
    <col min="13"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0.5703125" style="525" customWidth="1"/>
    <col min="265" max="265" width="16.28515625" style="525" customWidth="1"/>
    <col min="266" max="266" width="17.140625" style="525" bestFit="1" customWidth="1"/>
    <col min="267" max="267" width="11.140625" style="525" customWidth="1"/>
    <col min="268" max="268" width="16.42578125" style="525" customWidth="1"/>
    <col min="269"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0.5703125" style="525" customWidth="1"/>
    <col min="521" max="521" width="16.28515625" style="525" customWidth="1"/>
    <col min="522" max="522" width="17.140625" style="525" bestFit="1" customWidth="1"/>
    <col min="523" max="523" width="11.140625" style="525" customWidth="1"/>
    <col min="524" max="524" width="16.42578125" style="525" customWidth="1"/>
    <col min="525"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0.5703125" style="525" customWidth="1"/>
    <col min="777" max="777" width="16.28515625" style="525" customWidth="1"/>
    <col min="778" max="778" width="17.140625" style="525" bestFit="1" customWidth="1"/>
    <col min="779" max="779" width="11.140625" style="525" customWidth="1"/>
    <col min="780" max="780" width="16.42578125" style="525" customWidth="1"/>
    <col min="781"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0.5703125" style="525" customWidth="1"/>
    <col min="1033" max="1033" width="16.28515625" style="525" customWidth="1"/>
    <col min="1034" max="1034" width="17.140625" style="525" bestFit="1" customWidth="1"/>
    <col min="1035" max="1035" width="11.140625" style="525" customWidth="1"/>
    <col min="1036" max="1036" width="16.42578125" style="525" customWidth="1"/>
    <col min="1037"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0.5703125" style="525" customWidth="1"/>
    <col min="1289" max="1289" width="16.28515625" style="525" customWidth="1"/>
    <col min="1290" max="1290" width="17.140625" style="525" bestFit="1" customWidth="1"/>
    <col min="1291" max="1291" width="11.140625" style="525" customWidth="1"/>
    <col min="1292" max="1292" width="16.42578125" style="525" customWidth="1"/>
    <col min="1293"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0.5703125" style="525" customWidth="1"/>
    <col min="1545" max="1545" width="16.28515625" style="525" customWidth="1"/>
    <col min="1546" max="1546" width="17.140625" style="525" bestFit="1" customWidth="1"/>
    <col min="1547" max="1547" width="11.140625" style="525" customWidth="1"/>
    <col min="1548" max="1548" width="16.42578125" style="525" customWidth="1"/>
    <col min="1549"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0.5703125" style="525" customWidth="1"/>
    <col min="1801" max="1801" width="16.28515625" style="525" customWidth="1"/>
    <col min="1802" max="1802" width="17.140625" style="525" bestFit="1" customWidth="1"/>
    <col min="1803" max="1803" width="11.140625" style="525" customWidth="1"/>
    <col min="1804" max="1804" width="16.42578125" style="525" customWidth="1"/>
    <col min="1805"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0.5703125" style="525" customWidth="1"/>
    <col min="2057" max="2057" width="16.28515625" style="525" customWidth="1"/>
    <col min="2058" max="2058" width="17.140625" style="525" bestFit="1" customWidth="1"/>
    <col min="2059" max="2059" width="11.140625" style="525" customWidth="1"/>
    <col min="2060" max="2060" width="16.42578125" style="525" customWidth="1"/>
    <col min="2061"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0.5703125" style="525" customWidth="1"/>
    <col min="2313" max="2313" width="16.28515625" style="525" customWidth="1"/>
    <col min="2314" max="2314" width="17.140625" style="525" bestFit="1" customWidth="1"/>
    <col min="2315" max="2315" width="11.140625" style="525" customWidth="1"/>
    <col min="2316" max="2316" width="16.42578125" style="525" customWidth="1"/>
    <col min="2317"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0.5703125" style="525" customWidth="1"/>
    <col min="2569" max="2569" width="16.28515625" style="525" customWidth="1"/>
    <col min="2570" max="2570" width="17.140625" style="525" bestFit="1" customWidth="1"/>
    <col min="2571" max="2571" width="11.140625" style="525" customWidth="1"/>
    <col min="2572" max="2572" width="16.42578125" style="525" customWidth="1"/>
    <col min="2573"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0.5703125" style="525" customWidth="1"/>
    <col min="2825" max="2825" width="16.28515625" style="525" customWidth="1"/>
    <col min="2826" max="2826" width="17.140625" style="525" bestFit="1" customWidth="1"/>
    <col min="2827" max="2827" width="11.140625" style="525" customWidth="1"/>
    <col min="2828" max="2828" width="16.42578125" style="525" customWidth="1"/>
    <col min="2829"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0.5703125" style="525" customWidth="1"/>
    <col min="3081" max="3081" width="16.28515625" style="525" customWidth="1"/>
    <col min="3082" max="3082" width="17.140625" style="525" bestFit="1" customWidth="1"/>
    <col min="3083" max="3083" width="11.140625" style="525" customWidth="1"/>
    <col min="3084" max="3084" width="16.42578125" style="525" customWidth="1"/>
    <col min="3085"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0.5703125" style="525" customWidth="1"/>
    <col min="3337" max="3337" width="16.28515625" style="525" customWidth="1"/>
    <col min="3338" max="3338" width="17.140625" style="525" bestFit="1" customWidth="1"/>
    <col min="3339" max="3339" width="11.140625" style="525" customWidth="1"/>
    <col min="3340" max="3340" width="16.42578125" style="525" customWidth="1"/>
    <col min="3341"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0.5703125" style="525" customWidth="1"/>
    <col min="3593" max="3593" width="16.28515625" style="525" customWidth="1"/>
    <col min="3594" max="3594" width="17.140625" style="525" bestFit="1" customWidth="1"/>
    <col min="3595" max="3595" width="11.140625" style="525" customWidth="1"/>
    <col min="3596" max="3596" width="16.42578125" style="525" customWidth="1"/>
    <col min="3597"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0.5703125" style="525" customWidth="1"/>
    <col min="3849" max="3849" width="16.28515625" style="525" customWidth="1"/>
    <col min="3850" max="3850" width="17.140625" style="525" bestFit="1" customWidth="1"/>
    <col min="3851" max="3851" width="11.140625" style="525" customWidth="1"/>
    <col min="3852" max="3852" width="16.42578125" style="525" customWidth="1"/>
    <col min="3853"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0.5703125" style="525" customWidth="1"/>
    <col min="4105" max="4105" width="16.28515625" style="525" customWidth="1"/>
    <col min="4106" max="4106" width="17.140625" style="525" bestFit="1" customWidth="1"/>
    <col min="4107" max="4107" width="11.140625" style="525" customWidth="1"/>
    <col min="4108" max="4108" width="16.42578125" style="525" customWidth="1"/>
    <col min="4109"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0.5703125" style="525" customWidth="1"/>
    <col min="4361" max="4361" width="16.28515625" style="525" customWidth="1"/>
    <col min="4362" max="4362" width="17.140625" style="525" bestFit="1" customWidth="1"/>
    <col min="4363" max="4363" width="11.140625" style="525" customWidth="1"/>
    <col min="4364" max="4364" width="16.42578125" style="525" customWidth="1"/>
    <col min="4365"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0.5703125" style="525" customWidth="1"/>
    <col min="4617" max="4617" width="16.28515625" style="525" customWidth="1"/>
    <col min="4618" max="4618" width="17.140625" style="525" bestFit="1" customWidth="1"/>
    <col min="4619" max="4619" width="11.140625" style="525" customWidth="1"/>
    <col min="4620" max="4620" width="16.42578125" style="525" customWidth="1"/>
    <col min="4621"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0.5703125" style="525" customWidth="1"/>
    <col min="4873" max="4873" width="16.28515625" style="525" customWidth="1"/>
    <col min="4874" max="4874" width="17.140625" style="525" bestFit="1" customWidth="1"/>
    <col min="4875" max="4875" width="11.140625" style="525" customWidth="1"/>
    <col min="4876" max="4876" width="16.42578125" style="525" customWidth="1"/>
    <col min="4877"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0.5703125" style="525" customWidth="1"/>
    <col min="5129" max="5129" width="16.28515625" style="525" customWidth="1"/>
    <col min="5130" max="5130" width="17.140625" style="525" bestFit="1" customWidth="1"/>
    <col min="5131" max="5131" width="11.140625" style="525" customWidth="1"/>
    <col min="5132" max="5132" width="16.42578125" style="525" customWidth="1"/>
    <col min="5133"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0.5703125" style="525" customWidth="1"/>
    <col min="5385" max="5385" width="16.28515625" style="525" customWidth="1"/>
    <col min="5386" max="5386" width="17.140625" style="525" bestFit="1" customWidth="1"/>
    <col min="5387" max="5387" width="11.140625" style="525" customWidth="1"/>
    <col min="5388" max="5388" width="16.42578125" style="525" customWidth="1"/>
    <col min="5389"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0.5703125" style="525" customWidth="1"/>
    <col min="5641" max="5641" width="16.28515625" style="525" customWidth="1"/>
    <col min="5642" max="5642" width="17.140625" style="525" bestFit="1" customWidth="1"/>
    <col min="5643" max="5643" width="11.140625" style="525" customWidth="1"/>
    <col min="5644" max="5644" width="16.42578125" style="525" customWidth="1"/>
    <col min="5645"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0.5703125" style="525" customWidth="1"/>
    <col min="5897" max="5897" width="16.28515625" style="525" customWidth="1"/>
    <col min="5898" max="5898" width="17.140625" style="525" bestFit="1" customWidth="1"/>
    <col min="5899" max="5899" width="11.140625" style="525" customWidth="1"/>
    <col min="5900" max="5900" width="16.42578125" style="525" customWidth="1"/>
    <col min="5901"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0.5703125" style="525" customWidth="1"/>
    <col min="6153" max="6153" width="16.28515625" style="525" customWidth="1"/>
    <col min="6154" max="6154" width="17.140625" style="525" bestFit="1" customWidth="1"/>
    <col min="6155" max="6155" width="11.140625" style="525" customWidth="1"/>
    <col min="6156" max="6156" width="16.42578125" style="525" customWidth="1"/>
    <col min="6157"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0.5703125" style="525" customWidth="1"/>
    <col min="6409" max="6409" width="16.28515625" style="525" customWidth="1"/>
    <col min="6410" max="6410" width="17.140625" style="525" bestFit="1" customWidth="1"/>
    <col min="6411" max="6411" width="11.140625" style="525" customWidth="1"/>
    <col min="6412" max="6412" width="16.42578125" style="525" customWidth="1"/>
    <col min="6413"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0.5703125" style="525" customWidth="1"/>
    <col min="6665" max="6665" width="16.28515625" style="525" customWidth="1"/>
    <col min="6666" max="6666" width="17.140625" style="525" bestFit="1" customWidth="1"/>
    <col min="6667" max="6667" width="11.140625" style="525" customWidth="1"/>
    <col min="6668" max="6668" width="16.42578125" style="525" customWidth="1"/>
    <col min="6669"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0.5703125" style="525" customWidth="1"/>
    <col min="6921" max="6921" width="16.28515625" style="525" customWidth="1"/>
    <col min="6922" max="6922" width="17.140625" style="525" bestFit="1" customWidth="1"/>
    <col min="6923" max="6923" width="11.140625" style="525" customWidth="1"/>
    <col min="6924" max="6924" width="16.42578125" style="525" customWidth="1"/>
    <col min="6925"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0.5703125" style="525" customWidth="1"/>
    <col min="7177" max="7177" width="16.28515625" style="525" customWidth="1"/>
    <col min="7178" max="7178" width="17.140625" style="525" bestFit="1" customWidth="1"/>
    <col min="7179" max="7179" width="11.140625" style="525" customWidth="1"/>
    <col min="7180" max="7180" width="16.42578125" style="525" customWidth="1"/>
    <col min="7181"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0.5703125" style="525" customWidth="1"/>
    <col min="7433" max="7433" width="16.28515625" style="525" customWidth="1"/>
    <col min="7434" max="7434" width="17.140625" style="525" bestFit="1" customWidth="1"/>
    <col min="7435" max="7435" width="11.140625" style="525" customWidth="1"/>
    <col min="7436" max="7436" width="16.42578125" style="525" customWidth="1"/>
    <col min="7437"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0.5703125" style="525" customWidth="1"/>
    <col min="7689" max="7689" width="16.28515625" style="525" customWidth="1"/>
    <col min="7690" max="7690" width="17.140625" style="525" bestFit="1" customWidth="1"/>
    <col min="7691" max="7691" width="11.140625" style="525" customWidth="1"/>
    <col min="7692" max="7692" width="16.42578125" style="525" customWidth="1"/>
    <col min="7693"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0.5703125" style="525" customWidth="1"/>
    <col min="7945" max="7945" width="16.28515625" style="525" customWidth="1"/>
    <col min="7946" max="7946" width="17.140625" style="525" bestFit="1" customWidth="1"/>
    <col min="7947" max="7947" width="11.140625" style="525" customWidth="1"/>
    <col min="7948" max="7948" width="16.42578125" style="525" customWidth="1"/>
    <col min="7949"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0.5703125" style="525" customWidth="1"/>
    <col min="8201" max="8201" width="16.28515625" style="525" customWidth="1"/>
    <col min="8202" max="8202" width="17.140625" style="525" bestFit="1" customWidth="1"/>
    <col min="8203" max="8203" width="11.140625" style="525" customWidth="1"/>
    <col min="8204" max="8204" width="16.42578125" style="525" customWidth="1"/>
    <col min="8205"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0.5703125" style="525" customWidth="1"/>
    <col min="8457" max="8457" width="16.28515625" style="525" customWidth="1"/>
    <col min="8458" max="8458" width="17.140625" style="525" bestFit="1" customWidth="1"/>
    <col min="8459" max="8459" width="11.140625" style="525" customWidth="1"/>
    <col min="8460" max="8460" width="16.42578125" style="525" customWidth="1"/>
    <col min="8461"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0.5703125" style="525" customWidth="1"/>
    <col min="8713" max="8713" width="16.28515625" style="525" customWidth="1"/>
    <col min="8714" max="8714" width="17.140625" style="525" bestFit="1" customWidth="1"/>
    <col min="8715" max="8715" width="11.140625" style="525" customWidth="1"/>
    <col min="8716" max="8716" width="16.42578125" style="525" customWidth="1"/>
    <col min="8717"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0.5703125" style="525" customWidth="1"/>
    <col min="8969" max="8969" width="16.28515625" style="525" customWidth="1"/>
    <col min="8970" max="8970" width="17.140625" style="525" bestFit="1" customWidth="1"/>
    <col min="8971" max="8971" width="11.140625" style="525" customWidth="1"/>
    <col min="8972" max="8972" width="16.42578125" style="525" customWidth="1"/>
    <col min="8973"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0.5703125" style="525" customWidth="1"/>
    <col min="9225" max="9225" width="16.28515625" style="525" customWidth="1"/>
    <col min="9226" max="9226" width="17.140625" style="525" bestFit="1" customWidth="1"/>
    <col min="9227" max="9227" width="11.140625" style="525" customWidth="1"/>
    <col min="9228" max="9228" width="16.42578125" style="525" customWidth="1"/>
    <col min="9229"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0.5703125" style="525" customWidth="1"/>
    <col min="9481" max="9481" width="16.28515625" style="525" customWidth="1"/>
    <col min="9482" max="9482" width="17.140625" style="525" bestFit="1" customWidth="1"/>
    <col min="9483" max="9483" width="11.140625" style="525" customWidth="1"/>
    <col min="9484" max="9484" width="16.42578125" style="525" customWidth="1"/>
    <col min="9485"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0.5703125" style="525" customWidth="1"/>
    <col min="9737" max="9737" width="16.28515625" style="525" customWidth="1"/>
    <col min="9738" max="9738" width="17.140625" style="525" bestFit="1" customWidth="1"/>
    <col min="9739" max="9739" width="11.140625" style="525" customWidth="1"/>
    <col min="9740" max="9740" width="16.42578125" style="525" customWidth="1"/>
    <col min="9741"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0.5703125" style="525" customWidth="1"/>
    <col min="9993" max="9993" width="16.28515625" style="525" customWidth="1"/>
    <col min="9994" max="9994" width="17.140625" style="525" bestFit="1" customWidth="1"/>
    <col min="9995" max="9995" width="11.140625" style="525" customWidth="1"/>
    <col min="9996" max="9996" width="16.42578125" style="525" customWidth="1"/>
    <col min="9997"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0.5703125" style="525" customWidth="1"/>
    <col min="10249" max="10249" width="16.28515625" style="525" customWidth="1"/>
    <col min="10250" max="10250" width="17.140625" style="525" bestFit="1" customWidth="1"/>
    <col min="10251" max="10251" width="11.140625" style="525" customWidth="1"/>
    <col min="10252" max="10252" width="16.42578125" style="525" customWidth="1"/>
    <col min="10253"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0.5703125" style="525" customWidth="1"/>
    <col min="10505" max="10505" width="16.28515625" style="525" customWidth="1"/>
    <col min="10506" max="10506" width="17.140625" style="525" bestFit="1" customWidth="1"/>
    <col min="10507" max="10507" width="11.140625" style="525" customWidth="1"/>
    <col min="10508" max="10508" width="16.42578125" style="525" customWidth="1"/>
    <col min="10509"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0.5703125" style="525" customWidth="1"/>
    <col min="10761" max="10761" width="16.28515625" style="525" customWidth="1"/>
    <col min="10762" max="10762" width="17.140625" style="525" bestFit="1" customWidth="1"/>
    <col min="10763" max="10763" width="11.140625" style="525" customWidth="1"/>
    <col min="10764" max="10764" width="16.42578125" style="525" customWidth="1"/>
    <col min="10765"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0.5703125" style="525" customWidth="1"/>
    <col min="11017" max="11017" width="16.28515625" style="525" customWidth="1"/>
    <col min="11018" max="11018" width="17.140625" style="525" bestFit="1" customWidth="1"/>
    <col min="11019" max="11019" width="11.140625" style="525" customWidth="1"/>
    <col min="11020" max="11020" width="16.42578125" style="525" customWidth="1"/>
    <col min="11021"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0.5703125" style="525" customWidth="1"/>
    <col min="11273" max="11273" width="16.28515625" style="525" customWidth="1"/>
    <col min="11274" max="11274" width="17.140625" style="525" bestFit="1" customWidth="1"/>
    <col min="11275" max="11275" width="11.140625" style="525" customWidth="1"/>
    <col min="11276" max="11276" width="16.42578125" style="525" customWidth="1"/>
    <col min="11277"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0.5703125" style="525" customWidth="1"/>
    <col min="11529" max="11529" width="16.28515625" style="525" customWidth="1"/>
    <col min="11530" max="11530" width="17.140625" style="525" bestFit="1" customWidth="1"/>
    <col min="11531" max="11531" width="11.140625" style="525" customWidth="1"/>
    <col min="11532" max="11532" width="16.42578125" style="525" customWidth="1"/>
    <col min="11533"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0.5703125" style="525" customWidth="1"/>
    <col min="11785" max="11785" width="16.28515625" style="525" customWidth="1"/>
    <col min="11786" max="11786" width="17.140625" style="525" bestFit="1" customWidth="1"/>
    <col min="11787" max="11787" width="11.140625" style="525" customWidth="1"/>
    <col min="11788" max="11788" width="16.42578125" style="525" customWidth="1"/>
    <col min="11789"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0.5703125" style="525" customWidth="1"/>
    <col min="12041" max="12041" width="16.28515625" style="525" customWidth="1"/>
    <col min="12042" max="12042" width="17.140625" style="525" bestFit="1" customWidth="1"/>
    <col min="12043" max="12043" width="11.140625" style="525" customWidth="1"/>
    <col min="12044" max="12044" width="16.42578125" style="525" customWidth="1"/>
    <col min="12045"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0.5703125" style="525" customWidth="1"/>
    <col min="12297" max="12297" width="16.28515625" style="525" customWidth="1"/>
    <col min="12298" max="12298" width="17.140625" style="525" bestFit="1" customWidth="1"/>
    <col min="12299" max="12299" width="11.140625" style="525" customWidth="1"/>
    <col min="12300" max="12300" width="16.42578125" style="525" customWidth="1"/>
    <col min="12301"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0.5703125" style="525" customWidth="1"/>
    <col min="12553" max="12553" width="16.28515625" style="525" customWidth="1"/>
    <col min="12554" max="12554" width="17.140625" style="525" bestFit="1" customWidth="1"/>
    <col min="12555" max="12555" width="11.140625" style="525" customWidth="1"/>
    <col min="12556" max="12556" width="16.42578125" style="525" customWidth="1"/>
    <col min="12557"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0.5703125" style="525" customWidth="1"/>
    <col min="12809" max="12809" width="16.28515625" style="525" customWidth="1"/>
    <col min="12810" max="12810" width="17.140625" style="525" bestFit="1" customWidth="1"/>
    <col min="12811" max="12811" width="11.140625" style="525" customWidth="1"/>
    <col min="12812" max="12812" width="16.42578125" style="525" customWidth="1"/>
    <col min="12813"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0.5703125" style="525" customWidth="1"/>
    <col min="13065" max="13065" width="16.28515625" style="525" customWidth="1"/>
    <col min="13066" max="13066" width="17.140625" style="525" bestFit="1" customWidth="1"/>
    <col min="13067" max="13067" width="11.140625" style="525" customWidth="1"/>
    <col min="13068" max="13068" width="16.42578125" style="525" customWidth="1"/>
    <col min="13069"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0.5703125" style="525" customWidth="1"/>
    <col min="13321" max="13321" width="16.28515625" style="525" customWidth="1"/>
    <col min="13322" max="13322" width="17.140625" style="525" bestFit="1" customWidth="1"/>
    <col min="13323" max="13323" width="11.140625" style="525" customWidth="1"/>
    <col min="13324" max="13324" width="16.42578125" style="525" customWidth="1"/>
    <col min="13325"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0.5703125" style="525" customWidth="1"/>
    <col min="13577" max="13577" width="16.28515625" style="525" customWidth="1"/>
    <col min="13578" max="13578" width="17.140625" style="525" bestFit="1" customWidth="1"/>
    <col min="13579" max="13579" width="11.140625" style="525" customWidth="1"/>
    <col min="13580" max="13580" width="16.42578125" style="525" customWidth="1"/>
    <col min="13581"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0.5703125" style="525" customWidth="1"/>
    <col min="13833" max="13833" width="16.28515625" style="525" customWidth="1"/>
    <col min="13834" max="13834" width="17.140625" style="525" bestFit="1" customWidth="1"/>
    <col min="13835" max="13835" width="11.140625" style="525" customWidth="1"/>
    <col min="13836" max="13836" width="16.42578125" style="525" customWidth="1"/>
    <col min="13837"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0.5703125" style="525" customWidth="1"/>
    <col min="14089" max="14089" width="16.28515625" style="525" customWidth="1"/>
    <col min="14090" max="14090" width="17.140625" style="525" bestFit="1" customWidth="1"/>
    <col min="14091" max="14091" width="11.140625" style="525" customWidth="1"/>
    <col min="14092" max="14092" width="16.42578125" style="525" customWidth="1"/>
    <col min="14093"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0.5703125" style="525" customWidth="1"/>
    <col min="14345" max="14345" width="16.28515625" style="525" customWidth="1"/>
    <col min="14346" max="14346" width="17.140625" style="525" bestFit="1" customWidth="1"/>
    <col min="14347" max="14347" width="11.140625" style="525" customWidth="1"/>
    <col min="14348" max="14348" width="16.42578125" style="525" customWidth="1"/>
    <col min="14349"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0.5703125" style="525" customWidth="1"/>
    <col min="14601" max="14601" width="16.28515625" style="525" customWidth="1"/>
    <col min="14602" max="14602" width="17.140625" style="525" bestFit="1" customWidth="1"/>
    <col min="14603" max="14603" width="11.140625" style="525" customWidth="1"/>
    <col min="14604" max="14604" width="16.42578125" style="525" customWidth="1"/>
    <col min="14605"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0.5703125" style="525" customWidth="1"/>
    <col min="14857" max="14857" width="16.28515625" style="525" customWidth="1"/>
    <col min="14858" max="14858" width="17.140625" style="525" bestFit="1" customWidth="1"/>
    <col min="14859" max="14859" width="11.140625" style="525" customWidth="1"/>
    <col min="14860" max="14860" width="16.42578125" style="525" customWidth="1"/>
    <col min="14861"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0.5703125" style="525" customWidth="1"/>
    <col min="15113" max="15113" width="16.28515625" style="525" customWidth="1"/>
    <col min="15114" max="15114" width="17.140625" style="525" bestFit="1" customWidth="1"/>
    <col min="15115" max="15115" width="11.140625" style="525" customWidth="1"/>
    <col min="15116" max="15116" width="16.42578125" style="525" customWidth="1"/>
    <col min="15117"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0.5703125" style="525" customWidth="1"/>
    <col min="15369" max="15369" width="16.28515625" style="525" customWidth="1"/>
    <col min="15370" max="15370" width="17.140625" style="525" bestFit="1" customWidth="1"/>
    <col min="15371" max="15371" width="11.140625" style="525" customWidth="1"/>
    <col min="15372" max="15372" width="16.42578125" style="525" customWidth="1"/>
    <col min="15373"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0.5703125" style="525" customWidth="1"/>
    <col min="15625" max="15625" width="16.28515625" style="525" customWidth="1"/>
    <col min="15626" max="15626" width="17.140625" style="525" bestFit="1" customWidth="1"/>
    <col min="15627" max="15627" width="11.140625" style="525" customWidth="1"/>
    <col min="15628" max="15628" width="16.42578125" style="525" customWidth="1"/>
    <col min="15629"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0.5703125" style="525" customWidth="1"/>
    <col min="15881" max="15881" width="16.28515625" style="525" customWidth="1"/>
    <col min="15882" max="15882" width="17.140625" style="525" bestFit="1" customWidth="1"/>
    <col min="15883" max="15883" width="11.140625" style="525" customWidth="1"/>
    <col min="15884" max="15884" width="16.42578125" style="525" customWidth="1"/>
    <col min="15885"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0.5703125" style="525" customWidth="1"/>
    <col min="16137" max="16137" width="16.28515625" style="525" customWidth="1"/>
    <col min="16138" max="16138" width="17.140625" style="525" bestFit="1" customWidth="1"/>
    <col min="16139" max="16139" width="11.140625" style="525" customWidth="1"/>
    <col min="16140" max="16140" width="16.42578125" style="525" customWidth="1"/>
    <col min="16141" max="16384" width="9.140625" style="525"/>
  </cols>
  <sheetData>
    <row r="1" spans="1:12">
      <c r="C1" s="526" t="s">
        <v>1363</v>
      </c>
      <c r="G1" s="1388" t="s">
        <v>1020</v>
      </c>
    </row>
    <row r="3" spans="1:12">
      <c r="A3" s="2740" t="s">
        <v>1362</v>
      </c>
      <c r="B3" s="2740"/>
      <c r="C3" s="2740"/>
      <c r="D3" s="2740"/>
      <c r="E3" s="2740"/>
      <c r="F3" s="2740"/>
      <c r="G3" s="2740"/>
      <c r="H3" s="2740"/>
      <c r="I3" s="2740"/>
      <c r="J3" s="2740"/>
      <c r="K3" s="2740"/>
      <c r="L3" s="2740"/>
    </row>
    <row r="4" spans="1:12" ht="17.25">
      <c r="A4" s="2741" t="s">
        <v>1361</v>
      </c>
      <c r="B4" s="2741"/>
      <c r="C4" s="2741"/>
      <c r="D4" s="2741"/>
      <c r="E4" s="2741"/>
      <c r="F4" s="2741"/>
      <c r="G4" s="2741"/>
      <c r="H4" s="2741"/>
      <c r="I4" s="2741"/>
      <c r="J4" s="2741"/>
      <c r="K4" s="2741"/>
      <c r="L4" s="2741"/>
    </row>
    <row r="5" spans="1:12">
      <c r="A5" s="2357"/>
      <c r="B5" s="2357"/>
      <c r="C5" s="2304"/>
      <c r="D5" s="2357"/>
      <c r="E5" s="2357"/>
      <c r="F5" s="2357"/>
      <c r="G5" s="2357"/>
      <c r="H5" s="2357"/>
      <c r="I5" s="2357"/>
      <c r="J5" s="2357"/>
      <c r="K5" s="2742" t="s">
        <v>1263</v>
      </c>
      <c r="L5" s="2742"/>
    </row>
    <row r="6" spans="1:12" s="568" customFormat="1" ht="15.75" customHeight="1">
      <c r="A6" s="2743" t="s">
        <v>1294</v>
      </c>
      <c r="B6" s="2743" t="s">
        <v>1360</v>
      </c>
      <c r="C6" s="2746" t="s">
        <v>1359</v>
      </c>
      <c r="D6" s="2747" t="s">
        <v>1358</v>
      </c>
      <c r="E6" s="2748"/>
      <c r="F6" s="2748"/>
      <c r="G6" s="2748"/>
      <c r="H6" s="2748"/>
      <c r="I6" s="2758"/>
      <c r="J6" s="2743" t="s">
        <v>1357</v>
      </c>
      <c r="K6" s="2749" t="s">
        <v>1356</v>
      </c>
      <c r="L6" s="2750"/>
    </row>
    <row r="7" spans="1:12" s="568" customFormat="1">
      <c r="A7" s="2744"/>
      <c r="B7" s="2744"/>
      <c r="C7" s="2746"/>
      <c r="D7" s="2747" t="s">
        <v>1355</v>
      </c>
      <c r="E7" s="2748"/>
      <c r="F7" s="2747" t="s">
        <v>1354</v>
      </c>
      <c r="G7" s="2748"/>
      <c r="H7" s="2747" t="s">
        <v>1353</v>
      </c>
      <c r="I7" s="2758"/>
      <c r="J7" s="2744"/>
      <c r="K7" s="2751"/>
      <c r="L7" s="2752"/>
    </row>
    <row r="8" spans="1:12" s="568" customFormat="1" ht="49.5">
      <c r="A8" s="2745"/>
      <c r="B8" s="2745"/>
      <c r="C8" s="2746"/>
      <c r="D8" s="569" t="s">
        <v>1352</v>
      </c>
      <c r="E8" s="569" t="s">
        <v>102</v>
      </c>
      <c r="F8" s="569" t="s">
        <v>1352</v>
      </c>
      <c r="G8" s="569" t="s">
        <v>102</v>
      </c>
      <c r="H8" s="569" t="s">
        <v>1352</v>
      </c>
      <c r="I8" s="569" t="s">
        <v>102</v>
      </c>
      <c r="J8" s="2745"/>
      <c r="K8" s="569" t="s">
        <v>1352</v>
      </c>
      <c r="L8" s="569" t="s">
        <v>102</v>
      </c>
    </row>
    <row r="9" spans="1:12" s="540" customFormat="1">
      <c r="A9" s="567" t="s">
        <v>1351</v>
      </c>
      <c r="B9" s="529"/>
      <c r="C9" s="566"/>
      <c r="D9" s="565"/>
      <c r="E9" s="565">
        <f>SUM(E21+E23)</f>
        <v>36810000</v>
      </c>
      <c r="F9" s="565"/>
      <c r="G9" s="565">
        <f>SUM(G21+G23)</f>
        <v>19830000</v>
      </c>
      <c r="H9" s="565"/>
      <c r="I9" s="565">
        <f>SUM(I21+I23)</f>
        <v>21150000</v>
      </c>
      <c r="J9" s="565">
        <f>SUM(J21+J23)</f>
        <v>77790000</v>
      </c>
      <c r="K9" s="565"/>
      <c r="L9" s="565">
        <f>SUM(L21+L23)</f>
        <v>21250000</v>
      </c>
    </row>
    <row r="10" spans="1:12">
      <c r="A10" s="552" t="s">
        <v>1308</v>
      </c>
      <c r="B10" s="554" t="s">
        <v>511</v>
      </c>
      <c r="C10" s="553">
        <v>150000</v>
      </c>
      <c r="D10" s="552">
        <v>60</v>
      </c>
      <c r="E10" s="557">
        <f t="shared" ref="E10:E20" si="0">$C10*D10</f>
        <v>9000000</v>
      </c>
      <c r="F10" s="552"/>
      <c r="G10" s="557">
        <f t="shared" ref="G10:G20" si="1">$C10*F10</f>
        <v>0</v>
      </c>
      <c r="H10" s="552"/>
      <c r="I10" s="557">
        <f t="shared" ref="I10:I20" si="2">$C10*H10</f>
        <v>0</v>
      </c>
      <c r="J10" s="557">
        <f t="shared" ref="J10:J20" si="3">E10+G10+I10</f>
        <v>9000000</v>
      </c>
      <c r="K10" s="551"/>
      <c r="L10" s="557">
        <f t="shared" ref="L10:L20" si="4">$C10*K10</f>
        <v>0</v>
      </c>
    </row>
    <row r="11" spans="1:12">
      <c r="A11" s="552" t="s">
        <v>1350</v>
      </c>
      <c r="B11" s="554" t="s">
        <v>1287</v>
      </c>
      <c r="C11" s="553">
        <v>8000</v>
      </c>
      <c r="D11" s="552">
        <v>630</v>
      </c>
      <c r="E11" s="557">
        <f t="shared" si="0"/>
        <v>5040000</v>
      </c>
      <c r="F11" s="552"/>
      <c r="G11" s="557">
        <f t="shared" si="1"/>
        <v>0</v>
      </c>
      <c r="H11" s="552"/>
      <c r="I11" s="557">
        <f t="shared" si="2"/>
        <v>0</v>
      </c>
      <c r="J11" s="557">
        <f t="shared" si="3"/>
        <v>5040000</v>
      </c>
      <c r="K11" s="551"/>
      <c r="L11" s="557">
        <f t="shared" si="4"/>
        <v>0</v>
      </c>
    </row>
    <row r="12" spans="1:12">
      <c r="A12" s="552" t="s">
        <v>1349</v>
      </c>
      <c r="B12" s="554" t="s">
        <v>228</v>
      </c>
      <c r="C12" s="553">
        <v>450000</v>
      </c>
      <c r="D12" s="552">
        <v>10</v>
      </c>
      <c r="E12" s="557">
        <f t="shared" si="0"/>
        <v>4500000</v>
      </c>
      <c r="F12" s="552">
        <v>5</v>
      </c>
      <c r="G12" s="557">
        <f t="shared" si="1"/>
        <v>2250000</v>
      </c>
      <c r="H12" s="552">
        <v>5</v>
      </c>
      <c r="I12" s="557">
        <f t="shared" si="2"/>
        <v>2250000</v>
      </c>
      <c r="J12" s="557">
        <f t="shared" si="3"/>
        <v>9000000</v>
      </c>
      <c r="K12" s="551">
        <v>5</v>
      </c>
      <c r="L12" s="557">
        <f t="shared" si="4"/>
        <v>2250000</v>
      </c>
    </row>
    <row r="13" spans="1:12">
      <c r="A13" s="552" t="s">
        <v>1348</v>
      </c>
      <c r="B13" s="554"/>
      <c r="C13" s="553"/>
      <c r="D13" s="552"/>
      <c r="E13" s="557">
        <f t="shared" si="0"/>
        <v>0</v>
      </c>
      <c r="F13" s="552"/>
      <c r="G13" s="557">
        <f t="shared" si="1"/>
        <v>0</v>
      </c>
      <c r="H13" s="552"/>
      <c r="I13" s="557">
        <f t="shared" si="2"/>
        <v>0</v>
      </c>
      <c r="J13" s="557">
        <f t="shared" si="3"/>
        <v>0</v>
      </c>
      <c r="K13" s="551"/>
      <c r="L13" s="557">
        <f t="shared" si="4"/>
        <v>0</v>
      </c>
    </row>
    <row r="14" spans="1:12">
      <c r="A14" s="552" t="s">
        <v>1284</v>
      </c>
      <c r="B14" s="554" t="s">
        <v>11</v>
      </c>
      <c r="C14" s="553">
        <v>10000</v>
      </c>
      <c r="D14" s="552">
        <v>150</v>
      </c>
      <c r="E14" s="557">
        <f t="shared" si="0"/>
        <v>1500000</v>
      </c>
      <c r="F14" s="552">
        <v>75</v>
      </c>
      <c r="G14" s="557">
        <f t="shared" si="1"/>
        <v>750000</v>
      </c>
      <c r="H14" s="552">
        <v>75</v>
      </c>
      <c r="I14" s="557">
        <f t="shared" si="2"/>
        <v>750000</v>
      </c>
      <c r="J14" s="557">
        <f t="shared" si="3"/>
        <v>3000000</v>
      </c>
      <c r="K14" s="551">
        <v>100</v>
      </c>
      <c r="L14" s="557">
        <f t="shared" si="4"/>
        <v>1000000</v>
      </c>
    </row>
    <row r="15" spans="1:12">
      <c r="A15" s="552" t="s">
        <v>1283</v>
      </c>
      <c r="B15" s="554" t="s">
        <v>11</v>
      </c>
      <c r="C15" s="553">
        <v>3000</v>
      </c>
      <c r="D15" s="552">
        <v>250</v>
      </c>
      <c r="E15" s="557">
        <f t="shared" si="0"/>
        <v>750000</v>
      </c>
      <c r="F15" s="552">
        <v>100</v>
      </c>
      <c r="G15" s="557">
        <f t="shared" si="1"/>
        <v>300000</v>
      </c>
      <c r="H15" s="552">
        <v>100</v>
      </c>
      <c r="I15" s="557">
        <f t="shared" si="2"/>
        <v>300000</v>
      </c>
      <c r="J15" s="557">
        <f t="shared" si="3"/>
        <v>1350000</v>
      </c>
      <c r="K15" s="552">
        <v>200</v>
      </c>
      <c r="L15" s="557">
        <f t="shared" si="4"/>
        <v>600000</v>
      </c>
    </row>
    <row r="16" spans="1:12">
      <c r="A16" s="552" t="s">
        <v>1282</v>
      </c>
      <c r="B16" s="554" t="s">
        <v>11</v>
      </c>
      <c r="C16" s="553">
        <v>15000</v>
      </c>
      <c r="D16" s="552">
        <v>80</v>
      </c>
      <c r="E16" s="557">
        <f t="shared" si="0"/>
        <v>1200000</v>
      </c>
      <c r="F16" s="552">
        <v>60</v>
      </c>
      <c r="G16" s="557">
        <f t="shared" si="1"/>
        <v>900000</v>
      </c>
      <c r="H16" s="552">
        <v>60</v>
      </c>
      <c r="I16" s="557">
        <f t="shared" si="2"/>
        <v>900000</v>
      </c>
      <c r="J16" s="557">
        <f t="shared" si="3"/>
        <v>3000000</v>
      </c>
      <c r="K16" s="552">
        <v>100</v>
      </c>
      <c r="L16" s="557">
        <f t="shared" si="4"/>
        <v>1500000</v>
      </c>
    </row>
    <row r="17" spans="1:12">
      <c r="A17" s="552" t="s">
        <v>1347</v>
      </c>
      <c r="B17" s="554" t="s">
        <v>11</v>
      </c>
      <c r="C17" s="553">
        <v>10000</v>
      </c>
      <c r="D17" s="552">
        <v>60</v>
      </c>
      <c r="E17" s="557">
        <f t="shared" si="0"/>
        <v>600000</v>
      </c>
      <c r="F17" s="552">
        <v>20</v>
      </c>
      <c r="G17" s="557">
        <f t="shared" si="1"/>
        <v>200000</v>
      </c>
      <c r="H17" s="552">
        <v>20</v>
      </c>
      <c r="I17" s="557">
        <f t="shared" si="2"/>
        <v>200000</v>
      </c>
      <c r="J17" s="557">
        <f t="shared" si="3"/>
        <v>1000000</v>
      </c>
      <c r="K17" s="552">
        <v>20</v>
      </c>
      <c r="L17" s="557">
        <f t="shared" si="4"/>
        <v>200000</v>
      </c>
    </row>
    <row r="18" spans="1:12">
      <c r="A18" s="552" t="s">
        <v>1346</v>
      </c>
      <c r="B18" s="554" t="s">
        <v>11</v>
      </c>
      <c r="C18" s="553">
        <v>1000</v>
      </c>
      <c r="D18" s="552">
        <v>110</v>
      </c>
      <c r="E18" s="557">
        <f t="shared" si="0"/>
        <v>110000</v>
      </c>
      <c r="F18" s="552"/>
      <c r="G18" s="557">
        <f t="shared" si="1"/>
        <v>0</v>
      </c>
      <c r="H18" s="552"/>
      <c r="I18" s="557">
        <f t="shared" si="2"/>
        <v>0</v>
      </c>
      <c r="J18" s="557">
        <f t="shared" si="3"/>
        <v>110000</v>
      </c>
      <c r="K18" s="552"/>
      <c r="L18" s="557">
        <f t="shared" si="4"/>
        <v>0</v>
      </c>
    </row>
    <row r="19" spans="1:12">
      <c r="A19" s="552" t="s">
        <v>1318</v>
      </c>
      <c r="B19" s="554" t="s">
        <v>513</v>
      </c>
      <c r="C19" s="553">
        <v>250000</v>
      </c>
      <c r="D19" s="552">
        <v>5</v>
      </c>
      <c r="E19" s="557">
        <f t="shared" si="0"/>
        <v>1250000</v>
      </c>
      <c r="F19" s="552">
        <v>5</v>
      </c>
      <c r="G19" s="557">
        <f t="shared" si="1"/>
        <v>1250000</v>
      </c>
      <c r="H19" s="552">
        <v>5</v>
      </c>
      <c r="I19" s="557">
        <f t="shared" si="2"/>
        <v>1250000</v>
      </c>
      <c r="J19" s="557">
        <f t="shared" si="3"/>
        <v>3750000</v>
      </c>
      <c r="K19" s="552">
        <v>8</v>
      </c>
      <c r="L19" s="557">
        <f t="shared" si="4"/>
        <v>2000000</v>
      </c>
    </row>
    <row r="20" spans="1:12">
      <c r="A20" s="552" t="s">
        <v>1345</v>
      </c>
      <c r="B20" s="554" t="s">
        <v>511</v>
      </c>
      <c r="C20" s="553">
        <v>250000</v>
      </c>
      <c r="D20" s="552">
        <v>40</v>
      </c>
      <c r="E20" s="557">
        <f t="shared" si="0"/>
        <v>10000000</v>
      </c>
      <c r="F20" s="552">
        <v>40</v>
      </c>
      <c r="G20" s="557">
        <f t="shared" si="1"/>
        <v>10000000</v>
      </c>
      <c r="H20" s="552">
        <v>40</v>
      </c>
      <c r="I20" s="557">
        <f t="shared" si="2"/>
        <v>10000000</v>
      </c>
      <c r="J20" s="557">
        <f t="shared" si="3"/>
        <v>30000000</v>
      </c>
      <c r="K20" s="552">
        <v>50</v>
      </c>
      <c r="L20" s="557">
        <f t="shared" si="4"/>
        <v>12500000</v>
      </c>
    </row>
    <row r="21" spans="1:12" s="540" customFormat="1">
      <c r="A21" s="556" t="s">
        <v>1344</v>
      </c>
      <c r="B21" s="554"/>
      <c r="C21" s="553"/>
      <c r="D21" s="552"/>
      <c r="E21" s="564">
        <f>SUM(E10:E20)</f>
        <v>33950000</v>
      </c>
      <c r="F21" s="552"/>
      <c r="G21" s="564">
        <f>SUM(G10:G20)</f>
        <v>15650000</v>
      </c>
      <c r="H21" s="552"/>
      <c r="I21" s="564">
        <f>SUM(I10:I20)</f>
        <v>15650000</v>
      </c>
      <c r="J21" s="564">
        <f>SUM(J10:J20)</f>
        <v>65250000</v>
      </c>
      <c r="K21" s="555"/>
      <c r="L21" s="555">
        <f>SUM(L10:L20)</f>
        <v>20050000</v>
      </c>
    </row>
    <row r="22" spans="1:12" s="540" customFormat="1" ht="17.25">
      <c r="A22" s="563" t="s">
        <v>1343</v>
      </c>
      <c r="B22" s="562"/>
      <c r="C22" s="561"/>
      <c r="D22" s="560"/>
      <c r="E22" s="559">
        <v>26000000</v>
      </c>
      <c r="F22" s="559"/>
      <c r="G22" s="559">
        <v>38000000</v>
      </c>
      <c r="H22" s="559"/>
      <c r="I22" s="559">
        <f>B32</f>
        <v>50000000</v>
      </c>
      <c r="J22" s="559"/>
      <c r="K22" s="558"/>
      <c r="L22" s="558"/>
    </row>
    <row r="23" spans="1:12">
      <c r="A23" s="552" t="s">
        <v>1342</v>
      </c>
      <c r="B23" s="554"/>
      <c r="C23" s="553"/>
      <c r="D23" s="552"/>
      <c r="E23" s="557">
        <f>E22*$B$34</f>
        <v>2860000</v>
      </c>
      <c r="F23" s="557"/>
      <c r="G23" s="557">
        <f>G22*$B$34</f>
        <v>4180000</v>
      </c>
      <c r="H23" s="557"/>
      <c r="I23" s="557">
        <f>I22*$B$34</f>
        <v>5500000</v>
      </c>
      <c r="J23" s="553">
        <f>E23+G23+I23</f>
        <v>12540000</v>
      </c>
      <c r="K23" s="551"/>
      <c r="L23" s="551">
        <f>B37*B39</f>
        <v>1200000</v>
      </c>
    </row>
    <row r="24" spans="1:12" s="540" customFormat="1">
      <c r="A24" s="556" t="s">
        <v>1341</v>
      </c>
      <c r="B24" s="554"/>
      <c r="C24" s="553"/>
      <c r="D24" s="552"/>
      <c r="E24" s="552"/>
      <c r="F24" s="552"/>
      <c r="G24" s="552"/>
      <c r="H24" s="552"/>
      <c r="I24" s="552"/>
      <c r="J24" s="552"/>
      <c r="K24" s="551"/>
      <c r="L24" s="555">
        <f>L26</f>
        <v>56000000</v>
      </c>
    </row>
    <row r="25" spans="1:12">
      <c r="A25" s="552" t="s">
        <v>1340</v>
      </c>
      <c r="B25" s="554" t="s">
        <v>11</v>
      </c>
      <c r="C25" s="553"/>
      <c r="D25" s="552"/>
      <c r="E25" s="552"/>
      <c r="F25" s="552"/>
      <c r="G25" s="552"/>
      <c r="H25" s="552"/>
      <c r="I25" s="552"/>
      <c r="J25" s="552"/>
      <c r="K25" s="551">
        <v>14000</v>
      </c>
      <c r="L25" s="551"/>
    </row>
    <row r="26" spans="1:12">
      <c r="A26" s="552" t="s">
        <v>1339</v>
      </c>
      <c r="B26" s="554" t="s">
        <v>1338</v>
      </c>
      <c r="C26" s="553">
        <v>4000</v>
      </c>
      <c r="D26" s="552"/>
      <c r="E26" s="552"/>
      <c r="F26" s="552"/>
      <c r="G26" s="552"/>
      <c r="H26" s="552"/>
      <c r="I26" s="552"/>
      <c r="J26" s="552"/>
      <c r="K26" s="551">
        <f>K25</f>
        <v>14000</v>
      </c>
      <c r="L26" s="551">
        <f>K26*C26</f>
        <v>56000000</v>
      </c>
    </row>
    <row r="27" spans="1:12" s="540" customFormat="1">
      <c r="A27" s="550" t="s">
        <v>1337</v>
      </c>
      <c r="B27" s="548"/>
      <c r="C27" s="549"/>
      <c r="D27" s="548"/>
      <c r="E27" s="548"/>
      <c r="F27" s="548"/>
      <c r="G27" s="548"/>
      <c r="H27" s="548"/>
      <c r="I27" s="548"/>
      <c r="J27" s="548"/>
      <c r="K27" s="547"/>
      <c r="L27" s="547">
        <f>L24-L9</f>
        <v>34750000</v>
      </c>
    </row>
    <row r="28" spans="1:12" s="540" customFormat="1">
      <c r="A28" s="546" t="s">
        <v>1269</v>
      </c>
      <c r="B28" s="545" t="s">
        <v>90</v>
      </c>
      <c r="C28" s="544"/>
      <c r="D28" s="543"/>
      <c r="E28" s="543"/>
      <c r="F28" s="543"/>
      <c r="G28" s="543"/>
      <c r="H28" s="543"/>
      <c r="I28" s="543"/>
      <c r="J28" s="543"/>
      <c r="K28" s="542"/>
      <c r="L28" s="541">
        <f>L27/L24</f>
        <v>0.6205357142857143</v>
      </c>
    </row>
    <row r="29" spans="1:12">
      <c r="A29" s="539"/>
      <c r="B29" s="537"/>
      <c r="C29" s="538"/>
      <c r="D29" s="537"/>
      <c r="E29" s="537"/>
      <c r="F29" s="537"/>
      <c r="G29" s="537"/>
      <c r="H29" s="537"/>
      <c r="I29" s="537"/>
      <c r="J29" s="537"/>
      <c r="K29" s="536"/>
      <c r="L29" s="536"/>
    </row>
    <row r="30" spans="1:12">
      <c r="A30" s="2753" t="s">
        <v>1336</v>
      </c>
      <c r="B30" s="2754"/>
      <c r="C30" s="2754"/>
    </row>
    <row r="31" spans="1:12">
      <c r="A31" s="530" t="s">
        <v>1335</v>
      </c>
      <c r="B31" s="2737"/>
      <c r="C31" s="2737"/>
    </row>
    <row r="32" spans="1:12">
      <c r="A32" s="529" t="s">
        <v>1330</v>
      </c>
      <c r="B32" s="2738">
        <v>50000000</v>
      </c>
      <c r="C32" s="2738"/>
      <c r="D32" s="535"/>
      <c r="E32" s="535"/>
      <c r="F32" s="535"/>
      <c r="G32" s="535"/>
      <c r="H32" s="535"/>
      <c r="I32" s="535"/>
      <c r="J32" s="534"/>
    </row>
    <row r="33" spans="1:10">
      <c r="A33" s="528" t="s">
        <v>1329</v>
      </c>
      <c r="B33" s="2739" t="s">
        <v>1334</v>
      </c>
      <c r="C33" s="2739"/>
      <c r="D33" s="533"/>
      <c r="E33" s="533"/>
      <c r="F33" s="533"/>
      <c r="G33" s="533"/>
      <c r="H33" s="533"/>
      <c r="I33" s="533"/>
      <c r="J33" s="533"/>
    </row>
    <row r="34" spans="1:10">
      <c r="A34" s="527" t="s">
        <v>1328</v>
      </c>
      <c r="B34" s="2735">
        <v>0.11</v>
      </c>
      <c r="C34" s="2735"/>
      <c r="D34" s="532"/>
      <c r="E34" s="532"/>
      <c r="F34" s="532"/>
      <c r="G34" s="532"/>
      <c r="H34" s="532"/>
      <c r="I34" s="532"/>
      <c r="J34" s="532"/>
    </row>
    <row r="35" spans="1:10">
      <c r="A35" s="531" t="s">
        <v>1333</v>
      </c>
      <c r="B35" s="2736" t="s">
        <v>1332</v>
      </c>
      <c r="C35" s="2736"/>
    </row>
    <row r="36" spans="1:10">
      <c r="A36" s="530" t="s">
        <v>1331</v>
      </c>
      <c r="B36" s="2737"/>
      <c r="C36" s="2737"/>
    </row>
    <row r="37" spans="1:10">
      <c r="A37" s="529" t="s">
        <v>1330</v>
      </c>
      <c r="B37" s="2738">
        <v>15000000</v>
      </c>
      <c r="C37" s="2738"/>
    </row>
    <row r="38" spans="1:10">
      <c r="A38" s="528" t="s">
        <v>1329</v>
      </c>
      <c r="B38" s="2739" t="s">
        <v>1159</v>
      </c>
      <c r="C38" s="2739"/>
    </row>
    <row r="39" spans="1:10">
      <c r="A39" s="527" t="s">
        <v>1328</v>
      </c>
      <c r="B39" s="2735">
        <v>0.08</v>
      </c>
      <c r="C39" s="2735"/>
    </row>
  </sheetData>
  <mergeCells count="22">
    <mergeCell ref="K6:L7"/>
    <mergeCell ref="D7:E7"/>
    <mergeCell ref="B37:C37"/>
    <mergeCell ref="B38:C38"/>
    <mergeCell ref="A3:L3"/>
    <mergeCell ref="A4:L4"/>
    <mergeCell ref="K5:L5"/>
    <mergeCell ref="A6:A8"/>
    <mergeCell ref="B6:B8"/>
    <mergeCell ref="C6:C8"/>
    <mergeCell ref="B35:C35"/>
    <mergeCell ref="B36:C36"/>
    <mergeCell ref="D6:I6"/>
    <mergeCell ref="J6:J8"/>
    <mergeCell ref="B39:C39"/>
    <mergeCell ref="F7:G7"/>
    <mergeCell ref="H7:I7"/>
    <mergeCell ref="A30:C30"/>
    <mergeCell ref="B31:C31"/>
    <mergeCell ref="B32:C32"/>
    <mergeCell ref="B33:C33"/>
    <mergeCell ref="B34:C34"/>
  </mergeCells>
  <pageMargins left="0.7" right="0.3" top="0.4" bottom="0.75" header="0.3" footer="0.3"/>
  <pageSetup paperSize="9" scale="75" orientation="landscape" r:id="rId1"/>
  <headerFooter>
    <oddFooter>&amp;CTrang</oddFooter>
  </headerFooter>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N30"/>
  <sheetViews>
    <sheetView zoomScaleNormal="100" workbookViewId="0">
      <selection activeCell="J13" sqref="J13"/>
    </sheetView>
  </sheetViews>
  <sheetFormatPr defaultRowHeight="16.5"/>
  <cols>
    <col min="1" max="1" width="22.42578125" style="525" customWidth="1"/>
    <col min="2" max="2" width="7" style="525" customWidth="1"/>
    <col min="3" max="3" width="11.28515625" style="526" bestFit="1" customWidth="1"/>
    <col min="4" max="4" width="9.28515625" style="525" bestFit="1" customWidth="1"/>
    <col min="5" max="5" width="14.140625" style="525" bestFit="1" customWidth="1"/>
    <col min="6" max="6" width="9.7109375" style="525" customWidth="1"/>
    <col min="7" max="7" width="12.7109375" style="525" bestFit="1" customWidth="1"/>
    <col min="8" max="8" width="9.42578125" style="525" customWidth="1"/>
    <col min="9" max="9" width="12.7109375" style="525" bestFit="1" customWidth="1"/>
    <col min="10" max="10" width="9.5703125" style="525" customWidth="1"/>
    <col min="11" max="11" width="12.7109375" style="525" customWidth="1"/>
    <col min="12" max="12" width="14.140625" style="525" bestFit="1" customWidth="1"/>
    <col min="13" max="13" width="9.85546875" style="525" customWidth="1"/>
    <col min="14" max="14" width="14.140625" style="525" customWidth="1"/>
    <col min="15" max="256" width="9.140625" style="525"/>
    <col min="257" max="257" width="22.42578125" style="525" customWidth="1"/>
    <col min="258" max="258" width="7" style="525" customWidth="1"/>
    <col min="259" max="259" width="10.140625" style="525" bestFit="1" customWidth="1"/>
    <col min="260" max="260" width="9.140625" style="525"/>
    <col min="261" max="261" width="12.42578125" style="525" bestFit="1" customWidth="1"/>
    <col min="262" max="262" width="9.7109375" style="525" customWidth="1"/>
    <col min="263" max="263" width="11.28515625" style="525" bestFit="1" customWidth="1"/>
    <col min="264" max="264" width="9.42578125" style="525" customWidth="1"/>
    <col min="265" max="265" width="12.42578125" style="525" bestFit="1" customWidth="1"/>
    <col min="266" max="266" width="9.5703125" style="525" customWidth="1"/>
    <col min="267" max="267" width="12.7109375" style="525" customWidth="1"/>
    <col min="268" max="268" width="12.42578125" style="525" bestFit="1" customWidth="1"/>
    <col min="269" max="269" width="9.85546875" style="525" customWidth="1"/>
    <col min="270" max="270" width="14.140625" style="525" customWidth="1"/>
    <col min="271" max="512" width="9.140625" style="525"/>
    <col min="513" max="513" width="22.42578125" style="525" customWidth="1"/>
    <col min="514" max="514" width="7" style="525" customWidth="1"/>
    <col min="515" max="515" width="10.140625" style="525" bestFit="1" customWidth="1"/>
    <col min="516" max="516" width="9.140625" style="525"/>
    <col min="517" max="517" width="12.42578125" style="525" bestFit="1" customWidth="1"/>
    <col min="518" max="518" width="9.7109375" style="525" customWidth="1"/>
    <col min="519" max="519" width="11.28515625" style="525" bestFit="1" customWidth="1"/>
    <col min="520" max="520" width="9.42578125" style="525" customWidth="1"/>
    <col min="521" max="521" width="12.42578125" style="525" bestFit="1" customWidth="1"/>
    <col min="522" max="522" width="9.5703125" style="525" customWidth="1"/>
    <col min="523" max="523" width="12.7109375" style="525" customWidth="1"/>
    <col min="524" max="524" width="12.42578125" style="525" bestFit="1" customWidth="1"/>
    <col min="525" max="525" width="9.85546875" style="525" customWidth="1"/>
    <col min="526" max="526" width="14.140625" style="525" customWidth="1"/>
    <col min="527" max="768" width="9.140625" style="525"/>
    <col min="769" max="769" width="22.42578125" style="525" customWidth="1"/>
    <col min="770" max="770" width="7" style="525" customWidth="1"/>
    <col min="771" max="771" width="10.140625" style="525" bestFit="1" customWidth="1"/>
    <col min="772" max="772" width="9.140625" style="525"/>
    <col min="773" max="773" width="12.42578125" style="525" bestFit="1" customWidth="1"/>
    <col min="774" max="774" width="9.7109375" style="525" customWidth="1"/>
    <col min="775" max="775" width="11.28515625" style="525" bestFit="1" customWidth="1"/>
    <col min="776" max="776" width="9.42578125" style="525" customWidth="1"/>
    <col min="777" max="777" width="12.42578125" style="525" bestFit="1" customWidth="1"/>
    <col min="778" max="778" width="9.5703125" style="525" customWidth="1"/>
    <col min="779" max="779" width="12.7109375" style="525" customWidth="1"/>
    <col min="780" max="780" width="12.42578125" style="525" bestFit="1" customWidth="1"/>
    <col min="781" max="781" width="9.85546875" style="525" customWidth="1"/>
    <col min="782" max="782" width="14.140625" style="525" customWidth="1"/>
    <col min="783" max="1024" width="9.140625" style="525"/>
    <col min="1025" max="1025" width="22.42578125" style="525" customWidth="1"/>
    <col min="1026" max="1026" width="7" style="525" customWidth="1"/>
    <col min="1027" max="1027" width="10.140625" style="525" bestFit="1" customWidth="1"/>
    <col min="1028" max="1028" width="9.140625" style="525"/>
    <col min="1029" max="1029" width="12.42578125" style="525" bestFit="1" customWidth="1"/>
    <col min="1030" max="1030" width="9.7109375" style="525" customWidth="1"/>
    <col min="1031" max="1031" width="11.28515625" style="525" bestFit="1" customWidth="1"/>
    <col min="1032" max="1032" width="9.42578125" style="525" customWidth="1"/>
    <col min="1033" max="1033" width="12.42578125" style="525" bestFit="1" customWidth="1"/>
    <col min="1034" max="1034" width="9.5703125" style="525" customWidth="1"/>
    <col min="1035" max="1035" width="12.7109375" style="525" customWidth="1"/>
    <col min="1036" max="1036" width="12.42578125" style="525" bestFit="1" customWidth="1"/>
    <col min="1037" max="1037" width="9.85546875" style="525" customWidth="1"/>
    <col min="1038" max="1038" width="14.140625" style="525" customWidth="1"/>
    <col min="1039" max="1280" width="9.140625" style="525"/>
    <col min="1281" max="1281" width="22.42578125" style="525" customWidth="1"/>
    <col min="1282" max="1282" width="7" style="525" customWidth="1"/>
    <col min="1283" max="1283" width="10.140625" style="525" bestFit="1" customWidth="1"/>
    <col min="1284" max="1284" width="9.140625" style="525"/>
    <col min="1285" max="1285" width="12.42578125" style="525" bestFit="1" customWidth="1"/>
    <col min="1286" max="1286" width="9.7109375" style="525" customWidth="1"/>
    <col min="1287" max="1287" width="11.28515625" style="525" bestFit="1" customWidth="1"/>
    <col min="1288" max="1288" width="9.42578125" style="525" customWidth="1"/>
    <col min="1289" max="1289" width="12.42578125" style="525" bestFit="1" customWidth="1"/>
    <col min="1290" max="1290" width="9.5703125" style="525" customWidth="1"/>
    <col min="1291" max="1291" width="12.7109375" style="525" customWidth="1"/>
    <col min="1292" max="1292" width="12.42578125" style="525" bestFit="1" customWidth="1"/>
    <col min="1293" max="1293" width="9.85546875" style="525" customWidth="1"/>
    <col min="1294" max="1294" width="14.140625" style="525" customWidth="1"/>
    <col min="1295" max="1536" width="9.140625" style="525"/>
    <col min="1537" max="1537" width="22.42578125" style="525" customWidth="1"/>
    <col min="1538" max="1538" width="7" style="525" customWidth="1"/>
    <col min="1539" max="1539" width="10.140625" style="525" bestFit="1" customWidth="1"/>
    <col min="1540" max="1540" width="9.140625" style="525"/>
    <col min="1541" max="1541" width="12.42578125" style="525" bestFit="1" customWidth="1"/>
    <col min="1542" max="1542" width="9.7109375" style="525" customWidth="1"/>
    <col min="1543" max="1543" width="11.28515625" style="525" bestFit="1" customWidth="1"/>
    <col min="1544" max="1544" width="9.42578125" style="525" customWidth="1"/>
    <col min="1545" max="1545" width="12.42578125" style="525" bestFit="1" customWidth="1"/>
    <col min="1546" max="1546" width="9.5703125" style="525" customWidth="1"/>
    <col min="1547" max="1547" width="12.7109375" style="525" customWidth="1"/>
    <col min="1548" max="1548" width="12.42578125" style="525" bestFit="1" customWidth="1"/>
    <col min="1549" max="1549" width="9.85546875" style="525" customWidth="1"/>
    <col min="1550" max="1550" width="14.140625" style="525" customWidth="1"/>
    <col min="1551" max="1792" width="9.140625" style="525"/>
    <col min="1793" max="1793" width="22.42578125" style="525" customWidth="1"/>
    <col min="1794" max="1794" width="7" style="525" customWidth="1"/>
    <col min="1795" max="1795" width="10.140625" style="525" bestFit="1" customWidth="1"/>
    <col min="1796" max="1796" width="9.140625" style="525"/>
    <col min="1797" max="1797" width="12.42578125" style="525" bestFit="1" customWidth="1"/>
    <col min="1798" max="1798" width="9.7109375" style="525" customWidth="1"/>
    <col min="1799" max="1799" width="11.28515625" style="525" bestFit="1" customWidth="1"/>
    <col min="1800" max="1800" width="9.42578125" style="525" customWidth="1"/>
    <col min="1801" max="1801" width="12.42578125" style="525" bestFit="1" customWidth="1"/>
    <col min="1802" max="1802" width="9.5703125" style="525" customWidth="1"/>
    <col min="1803" max="1803" width="12.7109375" style="525" customWidth="1"/>
    <col min="1804" max="1804" width="12.42578125" style="525" bestFit="1" customWidth="1"/>
    <col min="1805" max="1805" width="9.85546875" style="525" customWidth="1"/>
    <col min="1806" max="1806" width="14.140625" style="525" customWidth="1"/>
    <col min="1807" max="2048" width="9.140625" style="525"/>
    <col min="2049" max="2049" width="22.42578125" style="525" customWidth="1"/>
    <col min="2050" max="2050" width="7" style="525" customWidth="1"/>
    <col min="2051" max="2051" width="10.140625" style="525" bestFit="1" customWidth="1"/>
    <col min="2052" max="2052" width="9.140625" style="525"/>
    <col min="2053" max="2053" width="12.42578125" style="525" bestFit="1" customWidth="1"/>
    <col min="2054" max="2054" width="9.7109375" style="525" customWidth="1"/>
    <col min="2055" max="2055" width="11.28515625" style="525" bestFit="1" customWidth="1"/>
    <col min="2056" max="2056" width="9.42578125" style="525" customWidth="1"/>
    <col min="2057" max="2057" width="12.42578125" style="525" bestFit="1" customWidth="1"/>
    <col min="2058" max="2058" width="9.5703125" style="525" customWidth="1"/>
    <col min="2059" max="2059" width="12.7109375" style="525" customWidth="1"/>
    <col min="2060" max="2060" width="12.42578125" style="525" bestFit="1" customWidth="1"/>
    <col min="2061" max="2061" width="9.85546875" style="525" customWidth="1"/>
    <col min="2062" max="2062" width="14.140625" style="525" customWidth="1"/>
    <col min="2063" max="2304" width="9.140625" style="525"/>
    <col min="2305" max="2305" width="22.42578125" style="525" customWidth="1"/>
    <col min="2306" max="2306" width="7" style="525" customWidth="1"/>
    <col min="2307" max="2307" width="10.140625" style="525" bestFit="1" customWidth="1"/>
    <col min="2308" max="2308" width="9.140625" style="525"/>
    <col min="2309" max="2309" width="12.42578125" style="525" bestFit="1" customWidth="1"/>
    <col min="2310" max="2310" width="9.7109375" style="525" customWidth="1"/>
    <col min="2311" max="2311" width="11.28515625" style="525" bestFit="1" customWidth="1"/>
    <col min="2312" max="2312" width="9.42578125" style="525" customWidth="1"/>
    <col min="2313" max="2313" width="12.42578125" style="525" bestFit="1" customWidth="1"/>
    <col min="2314" max="2314" width="9.5703125" style="525" customWidth="1"/>
    <col min="2315" max="2315" width="12.7109375" style="525" customWidth="1"/>
    <col min="2316" max="2316" width="12.42578125" style="525" bestFit="1" customWidth="1"/>
    <col min="2317" max="2317" width="9.85546875" style="525" customWidth="1"/>
    <col min="2318" max="2318" width="14.140625" style="525" customWidth="1"/>
    <col min="2319" max="2560" width="9.140625" style="525"/>
    <col min="2561" max="2561" width="22.42578125" style="525" customWidth="1"/>
    <col min="2562" max="2562" width="7" style="525" customWidth="1"/>
    <col min="2563" max="2563" width="10.140625" style="525" bestFit="1" customWidth="1"/>
    <col min="2564" max="2564" width="9.140625" style="525"/>
    <col min="2565" max="2565" width="12.42578125" style="525" bestFit="1" customWidth="1"/>
    <col min="2566" max="2566" width="9.7109375" style="525" customWidth="1"/>
    <col min="2567" max="2567" width="11.28515625" style="525" bestFit="1" customWidth="1"/>
    <col min="2568" max="2568" width="9.42578125" style="525" customWidth="1"/>
    <col min="2569" max="2569" width="12.42578125" style="525" bestFit="1" customWidth="1"/>
    <col min="2570" max="2570" width="9.5703125" style="525" customWidth="1"/>
    <col min="2571" max="2571" width="12.7109375" style="525" customWidth="1"/>
    <col min="2572" max="2572" width="12.42578125" style="525" bestFit="1" customWidth="1"/>
    <col min="2573" max="2573" width="9.85546875" style="525" customWidth="1"/>
    <col min="2574" max="2574" width="14.140625" style="525" customWidth="1"/>
    <col min="2575" max="2816" width="9.140625" style="525"/>
    <col min="2817" max="2817" width="22.42578125" style="525" customWidth="1"/>
    <col min="2818" max="2818" width="7" style="525" customWidth="1"/>
    <col min="2819" max="2819" width="10.140625" style="525" bestFit="1" customWidth="1"/>
    <col min="2820" max="2820" width="9.140625" style="525"/>
    <col min="2821" max="2821" width="12.42578125" style="525" bestFit="1" customWidth="1"/>
    <col min="2822" max="2822" width="9.7109375" style="525" customWidth="1"/>
    <col min="2823" max="2823" width="11.28515625" style="525" bestFit="1" customWidth="1"/>
    <col min="2824" max="2824" width="9.42578125" style="525" customWidth="1"/>
    <col min="2825" max="2825" width="12.42578125" style="525" bestFit="1" customWidth="1"/>
    <col min="2826" max="2826" width="9.5703125" style="525" customWidth="1"/>
    <col min="2827" max="2827" width="12.7109375" style="525" customWidth="1"/>
    <col min="2828" max="2828" width="12.42578125" style="525" bestFit="1" customWidth="1"/>
    <col min="2829" max="2829" width="9.85546875" style="525" customWidth="1"/>
    <col min="2830" max="2830" width="14.140625" style="525" customWidth="1"/>
    <col min="2831" max="3072" width="9.140625" style="525"/>
    <col min="3073" max="3073" width="22.42578125" style="525" customWidth="1"/>
    <col min="3074" max="3074" width="7" style="525" customWidth="1"/>
    <col min="3075" max="3075" width="10.140625" style="525" bestFit="1" customWidth="1"/>
    <col min="3076" max="3076" width="9.140625" style="525"/>
    <col min="3077" max="3077" width="12.42578125" style="525" bestFit="1" customWidth="1"/>
    <col min="3078" max="3078" width="9.7109375" style="525" customWidth="1"/>
    <col min="3079" max="3079" width="11.28515625" style="525" bestFit="1" customWidth="1"/>
    <col min="3080" max="3080" width="9.42578125" style="525" customWidth="1"/>
    <col min="3081" max="3081" width="12.42578125" style="525" bestFit="1" customWidth="1"/>
    <col min="3082" max="3082" width="9.5703125" style="525" customWidth="1"/>
    <col min="3083" max="3083" width="12.7109375" style="525" customWidth="1"/>
    <col min="3084" max="3084" width="12.42578125" style="525" bestFit="1" customWidth="1"/>
    <col min="3085" max="3085" width="9.85546875" style="525" customWidth="1"/>
    <col min="3086" max="3086" width="14.140625" style="525" customWidth="1"/>
    <col min="3087" max="3328" width="9.140625" style="525"/>
    <col min="3329" max="3329" width="22.42578125" style="525" customWidth="1"/>
    <col min="3330" max="3330" width="7" style="525" customWidth="1"/>
    <col min="3331" max="3331" width="10.140625" style="525" bestFit="1" customWidth="1"/>
    <col min="3332" max="3332" width="9.140625" style="525"/>
    <col min="3333" max="3333" width="12.42578125" style="525" bestFit="1" customWidth="1"/>
    <col min="3334" max="3334" width="9.7109375" style="525" customWidth="1"/>
    <col min="3335" max="3335" width="11.28515625" style="525" bestFit="1" customWidth="1"/>
    <col min="3336" max="3336" width="9.42578125" style="525" customWidth="1"/>
    <col min="3337" max="3337" width="12.42578125" style="525" bestFit="1" customWidth="1"/>
    <col min="3338" max="3338" width="9.5703125" style="525" customWidth="1"/>
    <col min="3339" max="3339" width="12.7109375" style="525" customWidth="1"/>
    <col min="3340" max="3340" width="12.42578125" style="525" bestFit="1" customWidth="1"/>
    <col min="3341" max="3341" width="9.85546875" style="525" customWidth="1"/>
    <col min="3342" max="3342" width="14.140625" style="525" customWidth="1"/>
    <col min="3343" max="3584" width="9.140625" style="525"/>
    <col min="3585" max="3585" width="22.42578125" style="525" customWidth="1"/>
    <col min="3586" max="3586" width="7" style="525" customWidth="1"/>
    <col min="3587" max="3587" width="10.140625" style="525" bestFit="1" customWidth="1"/>
    <col min="3588" max="3588" width="9.140625" style="525"/>
    <col min="3589" max="3589" width="12.42578125" style="525" bestFit="1" customWidth="1"/>
    <col min="3590" max="3590" width="9.7109375" style="525" customWidth="1"/>
    <col min="3591" max="3591" width="11.28515625" style="525" bestFit="1" customWidth="1"/>
    <col min="3592" max="3592" width="9.42578125" style="525" customWidth="1"/>
    <col min="3593" max="3593" width="12.42578125" style="525" bestFit="1" customWidth="1"/>
    <col min="3594" max="3594" width="9.5703125" style="525" customWidth="1"/>
    <col min="3595" max="3595" width="12.7109375" style="525" customWidth="1"/>
    <col min="3596" max="3596" width="12.42578125" style="525" bestFit="1" customWidth="1"/>
    <col min="3597" max="3597" width="9.85546875" style="525" customWidth="1"/>
    <col min="3598" max="3598" width="14.140625" style="525" customWidth="1"/>
    <col min="3599" max="3840" width="9.140625" style="525"/>
    <col min="3841" max="3841" width="22.42578125" style="525" customWidth="1"/>
    <col min="3842" max="3842" width="7" style="525" customWidth="1"/>
    <col min="3843" max="3843" width="10.140625" style="525" bestFit="1" customWidth="1"/>
    <col min="3844" max="3844" width="9.140625" style="525"/>
    <col min="3845" max="3845" width="12.42578125" style="525" bestFit="1" customWidth="1"/>
    <col min="3846" max="3846" width="9.7109375" style="525" customWidth="1"/>
    <col min="3847" max="3847" width="11.28515625" style="525" bestFit="1" customWidth="1"/>
    <col min="3848" max="3848" width="9.42578125" style="525" customWidth="1"/>
    <col min="3849" max="3849" width="12.42578125" style="525" bestFit="1" customWidth="1"/>
    <col min="3850" max="3850" width="9.5703125" style="525" customWidth="1"/>
    <col min="3851" max="3851" width="12.7109375" style="525" customWidth="1"/>
    <col min="3852" max="3852" width="12.42578125" style="525" bestFit="1" customWidth="1"/>
    <col min="3853" max="3853" width="9.85546875" style="525" customWidth="1"/>
    <col min="3854" max="3854" width="14.140625" style="525" customWidth="1"/>
    <col min="3855" max="4096" width="9.140625" style="525"/>
    <col min="4097" max="4097" width="22.42578125" style="525" customWidth="1"/>
    <col min="4098" max="4098" width="7" style="525" customWidth="1"/>
    <col min="4099" max="4099" width="10.140625" style="525" bestFit="1" customWidth="1"/>
    <col min="4100" max="4100" width="9.140625" style="525"/>
    <col min="4101" max="4101" width="12.42578125" style="525" bestFit="1" customWidth="1"/>
    <col min="4102" max="4102" width="9.7109375" style="525" customWidth="1"/>
    <col min="4103" max="4103" width="11.28515625" style="525" bestFit="1" customWidth="1"/>
    <col min="4104" max="4104" width="9.42578125" style="525" customWidth="1"/>
    <col min="4105" max="4105" width="12.42578125" style="525" bestFit="1" customWidth="1"/>
    <col min="4106" max="4106" width="9.5703125" style="525" customWidth="1"/>
    <col min="4107" max="4107" width="12.7109375" style="525" customWidth="1"/>
    <col min="4108" max="4108" width="12.42578125" style="525" bestFit="1" customWidth="1"/>
    <col min="4109" max="4109" width="9.85546875" style="525" customWidth="1"/>
    <col min="4110" max="4110" width="14.140625" style="525" customWidth="1"/>
    <col min="4111" max="4352" width="9.140625" style="525"/>
    <col min="4353" max="4353" width="22.42578125" style="525" customWidth="1"/>
    <col min="4354" max="4354" width="7" style="525" customWidth="1"/>
    <col min="4355" max="4355" width="10.140625" style="525" bestFit="1" customWidth="1"/>
    <col min="4356" max="4356" width="9.140625" style="525"/>
    <col min="4357" max="4357" width="12.42578125" style="525" bestFit="1" customWidth="1"/>
    <col min="4358" max="4358" width="9.7109375" style="525" customWidth="1"/>
    <col min="4359" max="4359" width="11.28515625" style="525" bestFit="1" customWidth="1"/>
    <col min="4360" max="4360" width="9.42578125" style="525" customWidth="1"/>
    <col min="4361" max="4361" width="12.42578125" style="525" bestFit="1" customWidth="1"/>
    <col min="4362" max="4362" width="9.5703125" style="525" customWidth="1"/>
    <col min="4363" max="4363" width="12.7109375" style="525" customWidth="1"/>
    <col min="4364" max="4364" width="12.42578125" style="525" bestFit="1" customWidth="1"/>
    <col min="4365" max="4365" width="9.85546875" style="525" customWidth="1"/>
    <col min="4366" max="4366" width="14.140625" style="525" customWidth="1"/>
    <col min="4367" max="4608" width="9.140625" style="525"/>
    <col min="4609" max="4609" width="22.42578125" style="525" customWidth="1"/>
    <col min="4610" max="4610" width="7" style="525" customWidth="1"/>
    <col min="4611" max="4611" width="10.140625" style="525" bestFit="1" customWidth="1"/>
    <col min="4612" max="4612" width="9.140625" style="525"/>
    <col min="4613" max="4613" width="12.42578125" style="525" bestFit="1" customWidth="1"/>
    <col min="4614" max="4614" width="9.7109375" style="525" customWidth="1"/>
    <col min="4615" max="4615" width="11.28515625" style="525" bestFit="1" customWidth="1"/>
    <col min="4616" max="4616" width="9.42578125" style="525" customWidth="1"/>
    <col min="4617" max="4617" width="12.42578125" style="525" bestFit="1" customWidth="1"/>
    <col min="4618" max="4618" width="9.5703125" style="525" customWidth="1"/>
    <col min="4619" max="4619" width="12.7109375" style="525" customWidth="1"/>
    <col min="4620" max="4620" width="12.42578125" style="525" bestFit="1" customWidth="1"/>
    <col min="4621" max="4621" width="9.85546875" style="525" customWidth="1"/>
    <col min="4622" max="4622" width="14.140625" style="525" customWidth="1"/>
    <col min="4623" max="4864" width="9.140625" style="525"/>
    <col min="4865" max="4865" width="22.42578125" style="525" customWidth="1"/>
    <col min="4866" max="4866" width="7" style="525" customWidth="1"/>
    <col min="4867" max="4867" width="10.140625" style="525" bestFit="1" customWidth="1"/>
    <col min="4868" max="4868" width="9.140625" style="525"/>
    <col min="4869" max="4869" width="12.42578125" style="525" bestFit="1" customWidth="1"/>
    <col min="4870" max="4870" width="9.7109375" style="525" customWidth="1"/>
    <col min="4871" max="4871" width="11.28515625" style="525" bestFit="1" customWidth="1"/>
    <col min="4872" max="4872" width="9.42578125" style="525" customWidth="1"/>
    <col min="4873" max="4873" width="12.42578125" style="525" bestFit="1" customWidth="1"/>
    <col min="4874" max="4874" width="9.5703125" style="525" customWidth="1"/>
    <col min="4875" max="4875" width="12.7109375" style="525" customWidth="1"/>
    <col min="4876" max="4876" width="12.42578125" style="525" bestFit="1" customWidth="1"/>
    <col min="4877" max="4877" width="9.85546875" style="525" customWidth="1"/>
    <col min="4878" max="4878" width="14.140625" style="525" customWidth="1"/>
    <col min="4879" max="5120" width="9.140625" style="525"/>
    <col min="5121" max="5121" width="22.42578125" style="525" customWidth="1"/>
    <col min="5122" max="5122" width="7" style="525" customWidth="1"/>
    <col min="5123" max="5123" width="10.140625" style="525" bestFit="1" customWidth="1"/>
    <col min="5124" max="5124" width="9.140625" style="525"/>
    <col min="5125" max="5125" width="12.42578125" style="525" bestFit="1" customWidth="1"/>
    <col min="5126" max="5126" width="9.7109375" style="525" customWidth="1"/>
    <col min="5127" max="5127" width="11.28515625" style="525" bestFit="1" customWidth="1"/>
    <col min="5128" max="5128" width="9.42578125" style="525" customWidth="1"/>
    <col min="5129" max="5129" width="12.42578125" style="525" bestFit="1" customWidth="1"/>
    <col min="5130" max="5130" width="9.5703125" style="525" customWidth="1"/>
    <col min="5131" max="5131" width="12.7109375" style="525" customWidth="1"/>
    <col min="5132" max="5132" width="12.42578125" style="525" bestFit="1" customWidth="1"/>
    <col min="5133" max="5133" width="9.85546875" style="525" customWidth="1"/>
    <col min="5134" max="5134" width="14.140625" style="525" customWidth="1"/>
    <col min="5135" max="5376" width="9.140625" style="525"/>
    <col min="5377" max="5377" width="22.42578125" style="525" customWidth="1"/>
    <col min="5378" max="5378" width="7" style="525" customWidth="1"/>
    <col min="5379" max="5379" width="10.140625" style="525" bestFit="1" customWidth="1"/>
    <col min="5380" max="5380" width="9.140625" style="525"/>
    <col min="5381" max="5381" width="12.42578125" style="525" bestFit="1" customWidth="1"/>
    <col min="5382" max="5382" width="9.7109375" style="525" customWidth="1"/>
    <col min="5383" max="5383" width="11.28515625" style="525" bestFit="1" customWidth="1"/>
    <col min="5384" max="5384" width="9.42578125" style="525" customWidth="1"/>
    <col min="5385" max="5385" width="12.42578125" style="525" bestFit="1" customWidth="1"/>
    <col min="5386" max="5386" width="9.5703125" style="525" customWidth="1"/>
    <col min="5387" max="5387" width="12.7109375" style="525" customWidth="1"/>
    <col min="5388" max="5388" width="12.42578125" style="525" bestFit="1" customWidth="1"/>
    <col min="5389" max="5389" width="9.85546875" style="525" customWidth="1"/>
    <col min="5390" max="5390" width="14.140625" style="525" customWidth="1"/>
    <col min="5391" max="5632" width="9.140625" style="525"/>
    <col min="5633" max="5633" width="22.42578125" style="525" customWidth="1"/>
    <col min="5634" max="5634" width="7" style="525" customWidth="1"/>
    <col min="5635" max="5635" width="10.140625" style="525" bestFit="1" customWidth="1"/>
    <col min="5636" max="5636" width="9.140625" style="525"/>
    <col min="5637" max="5637" width="12.42578125" style="525" bestFit="1" customWidth="1"/>
    <col min="5638" max="5638" width="9.7109375" style="525" customWidth="1"/>
    <col min="5639" max="5639" width="11.28515625" style="525" bestFit="1" customWidth="1"/>
    <col min="5640" max="5640" width="9.42578125" style="525" customWidth="1"/>
    <col min="5641" max="5641" width="12.42578125" style="525" bestFit="1" customWidth="1"/>
    <col min="5642" max="5642" width="9.5703125" style="525" customWidth="1"/>
    <col min="5643" max="5643" width="12.7109375" style="525" customWidth="1"/>
    <col min="5644" max="5644" width="12.42578125" style="525" bestFit="1" customWidth="1"/>
    <col min="5645" max="5645" width="9.85546875" style="525" customWidth="1"/>
    <col min="5646" max="5646" width="14.140625" style="525" customWidth="1"/>
    <col min="5647" max="5888" width="9.140625" style="525"/>
    <col min="5889" max="5889" width="22.42578125" style="525" customWidth="1"/>
    <col min="5890" max="5890" width="7" style="525" customWidth="1"/>
    <col min="5891" max="5891" width="10.140625" style="525" bestFit="1" customWidth="1"/>
    <col min="5892" max="5892" width="9.140625" style="525"/>
    <col min="5893" max="5893" width="12.42578125" style="525" bestFit="1" customWidth="1"/>
    <col min="5894" max="5894" width="9.7109375" style="525" customWidth="1"/>
    <col min="5895" max="5895" width="11.28515625" style="525" bestFit="1" customWidth="1"/>
    <col min="5896" max="5896" width="9.42578125" style="525" customWidth="1"/>
    <col min="5897" max="5897" width="12.42578125" style="525" bestFit="1" customWidth="1"/>
    <col min="5898" max="5898" width="9.5703125" style="525" customWidth="1"/>
    <col min="5899" max="5899" width="12.7109375" style="525" customWidth="1"/>
    <col min="5900" max="5900" width="12.42578125" style="525" bestFit="1" customWidth="1"/>
    <col min="5901" max="5901" width="9.85546875" style="525" customWidth="1"/>
    <col min="5902" max="5902" width="14.140625" style="525" customWidth="1"/>
    <col min="5903" max="6144" width="9.140625" style="525"/>
    <col min="6145" max="6145" width="22.42578125" style="525" customWidth="1"/>
    <col min="6146" max="6146" width="7" style="525" customWidth="1"/>
    <col min="6147" max="6147" width="10.140625" style="525" bestFit="1" customWidth="1"/>
    <col min="6148" max="6148" width="9.140625" style="525"/>
    <col min="6149" max="6149" width="12.42578125" style="525" bestFit="1" customWidth="1"/>
    <col min="6150" max="6150" width="9.7109375" style="525" customWidth="1"/>
    <col min="6151" max="6151" width="11.28515625" style="525" bestFit="1" customWidth="1"/>
    <col min="6152" max="6152" width="9.42578125" style="525" customWidth="1"/>
    <col min="6153" max="6153" width="12.42578125" style="525" bestFit="1" customWidth="1"/>
    <col min="6154" max="6154" width="9.5703125" style="525" customWidth="1"/>
    <col min="6155" max="6155" width="12.7109375" style="525" customWidth="1"/>
    <col min="6156" max="6156" width="12.42578125" style="525" bestFit="1" customWidth="1"/>
    <col min="6157" max="6157" width="9.85546875" style="525" customWidth="1"/>
    <col min="6158" max="6158" width="14.140625" style="525" customWidth="1"/>
    <col min="6159" max="6400" width="9.140625" style="525"/>
    <col min="6401" max="6401" width="22.42578125" style="525" customWidth="1"/>
    <col min="6402" max="6402" width="7" style="525" customWidth="1"/>
    <col min="6403" max="6403" width="10.140625" style="525" bestFit="1" customWidth="1"/>
    <col min="6404" max="6404" width="9.140625" style="525"/>
    <col min="6405" max="6405" width="12.42578125" style="525" bestFit="1" customWidth="1"/>
    <col min="6406" max="6406" width="9.7109375" style="525" customWidth="1"/>
    <col min="6407" max="6407" width="11.28515625" style="525" bestFit="1" customWidth="1"/>
    <col min="6408" max="6408" width="9.42578125" style="525" customWidth="1"/>
    <col min="6409" max="6409" width="12.42578125" style="525" bestFit="1" customWidth="1"/>
    <col min="6410" max="6410" width="9.5703125" style="525" customWidth="1"/>
    <col min="6411" max="6411" width="12.7109375" style="525" customWidth="1"/>
    <col min="6412" max="6412" width="12.42578125" style="525" bestFit="1" customWidth="1"/>
    <col min="6413" max="6413" width="9.85546875" style="525" customWidth="1"/>
    <col min="6414" max="6414" width="14.140625" style="525" customWidth="1"/>
    <col min="6415" max="6656" width="9.140625" style="525"/>
    <col min="6657" max="6657" width="22.42578125" style="525" customWidth="1"/>
    <col min="6658" max="6658" width="7" style="525" customWidth="1"/>
    <col min="6659" max="6659" width="10.140625" style="525" bestFit="1" customWidth="1"/>
    <col min="6660" max="6660" width="9.140625" style="525"/>
    <col min="6661" max="6661" width="12.42578125" style="525" bestFit="1" customWidth="1"/>
    <col min="6662" max="6662" width="9.7109375" style="525" customWidth="1"/>
    <col min="6663" max="6663" width="11.28515625" style="525" bestFit="1" customWidth="1"/>
    <col min="6664" max="6664" width="9.42578125" style="525" customWidth="1"/>
    <col min="6665" max="6665" width="12.42578125" style="525" bestFit="1" customWidth="1"/>
    <col min="6666" max="6666" width="9.5703125" style="525" customWidth="1"/>
    <col min="6667" max="6667" width="12.7109375" style="525" customWidth="1"/>
    <col min="6668" max="6668" width="12.42578125" style="525" bestFit="1" customWidth="1"/>
    <col min="6669" max="6669" width="9.85546875" style="525" customWidth="1"/>
    <col min="6670" max="6670" width="14.140625" style="525" customWidth="1"/>
    <col min="6671" max="6912" width="9.140625" style="525"/>
    <col min="6913" max="6913" width="22.42578125" style="525" customWidth="1"/>
    <col min="6914" max="6914" width="7" style="525" customWidth="1"/>
    <col min="6915" max="6915" width="10.140625" style="525" bestFit="1" customWidth="1"/>
    <col min="6916" max="6916" width="9.140625" style="525"/>
    <col min="6917" max="6917" width="12.42578125" style="525" bestFit="1" customWidth="1"/>
    <col min="6918" max="6918" width="9.7109375" style="525" customWidth="1"/>
    <col min="6919" max="6919" width="11.28515625" style="525" bestFit="1" customWidth="1"/>
    <col min="6920" max="6920" width="9.42578125" style="525" customWidth="1"/>
    <col min="6921" max="6921" width="12.42578125" style="525" bestFit="1" customWidth="1"/>
    <col min="6922" max="6922" width="9.5703125" style="525" customWidth="1"/>
    <col min="6923" max="6923" width="12.7109375" style="525" customWidth="1"/>
    <col min="6924" max="6924" width="12.42578125" style="525" bestFit="1" customWidth="1"/>
    <col min="6925" max="6925" width="9.85546875" style="525" customWidth="1"/>
    <col min="6926" max="6926" width="14.140625" style="525" customWidth="1"/>
    <col min="6927" max="7168" width="9.140625" style="525"/>
    <col min="7169" max="7169" width="22.42578125" style="525" customWidth="1"/>
    <col min="7170" max="7170" width="7" style="525" customWidth="1"/>
    <col min="7171" max="7171" width="10.140625" style="525" bestFit="1" customWidth="1"/>
    <col min="7172" max="7172" width="9.140625" style="525"/>
    <col min="7173" max="7173" width="12.42578125" style="525" bestFit="1" customWidth="1"/>
    <col min="7174" max="7174" width="9.7109375" style="525" customWidth="1"/>
    <col min="7175" max="7175" width="11.28515625" style="525" bestFit="1" customWidth="1"/>
    <col min="7176" max="7176" width="9.42578125" style="525" customWidth="1"/>
    <col min="7177" max="7177" width="12.42578125" style="525" bestFit="1" customWidth="1"/>
    <col min="7178" max="7178" width="9.5703125" style="525" customWidth="1"/>
    <col min="7179" max="7179" width="12.7109375" style="525" customWidth="1"/>
    <col min="7180" max="7180" width="12.42578125" style="525" bestFit="1" customWidth="1"/>
    <col min="7181" max="7181" width="9.85546875" style="525" customWidth="1"/>
    <col min="7182" max="7182" width="14.140625" style="525" customWidth="1"/>
    <col min="7183" max="7424" width="9.140625" style="525"/>
    <col min="7425" max="7425" width="22.42578125" style="525" customWidth="1"/>
    <col min="7426" max="7426" width="7" style="525" customWidth="1"/>
    <col min="7427" max="7427" width="10.140625" style="525" bestFit="1" customWidth="1"/>
    <col min="7428" max="7428" width="9.140625" style="525"/>
    <col min="7429" max="7429" width="12.42578125" style="525" bestFit="1" customWidth="1"/>
    <col min="7430" max="7430" width="9.7109375" style="525" customWidth="1"/>
    <col min="7431" max="7431" width="11.28515625" style="525" bestFit="1" customWidth="1"/>
    <col min="7432" max="7432" width="9.42578125" style="525" customWidth="1"/>
    <col min="7433" max="7433" width="12.42578125" style="525" bestFit="1" customWidth="1"/>
    <col min="7434" max="7434" width="9.5703125" style="525" customWidth="1"/>
    <col min="7435" max="7435" width="12.7109375" style="525" customWidth="1"/>
    <col min="7436" max="7436" width="12.42578125" style="525" bestFit="1" customWidth="1"/>
    <col min="7437" max="7437" width="9.85546875" style="525" customWidth="1"/>
    <col min="7438" max="7438" width="14.140625" style="525" customWidth="1"/>
    <col min="7439" max="7680" width="9.140625" style="525"/>
    <col min="7681" max="7681" width="22.42578125" style="525" customWidth="1"/>
    <col min="7682" max="7682" width="7" style="525" customWidth="1"/>
    <col min="7683" max="7683" width="10.140625" style="525" bestFit="1" customWidth="1"/>
    <col min="7684" max="7684" width="9.140625" style="525"/>
    <col min="7685" max="7685" width="12.42578125" style="525" bestFit="1" customWidth="1"/>
    <col min="7686" max="7686" width="9.7109375" style="525" customWidth="1"/>
    <col min="7687" max="7687" width="11.28515625" style="525" bestFit="1" customWidth="1"/>
    <col min="7688" max="7688" width="9.42578125" style="525" customWidth="1"/>
    <col min="7689" max="7689" width="12.42578125" style="525" bestFit="1" customWidth="1"/>
    <col min="7690" max="7690" width="9.5703125" style="525" customWidth="1"/>
    <col min="7691" max="7691" width="12.7109375" style="525" customWidth="1"/>
    <col min="7692" max="7692" width="12.42578125" style="525" bestFit="1" customWidth="1"/>
    <col min="7693" max="7693" width="9.85546875" style="525" customWidth="1"/>
    <col min="7694" max="7694" width="14.140625" style="525" customWidth="1"/>
    <col min="7695" max="7936" width="9.140625" style="525"/>
    <col min="7937" max="7937" width="22.42578125" style="525" customWidth="1"/>
    <col min="7938" max="7938" width="7" style="525" customWidth="1"/>
    <col min="7939" max="7939" width="10.140625" style="525" bestFit="1" customWidth="1"/>
    <col min="7940" max="7940" width="9.140625" style="525"/>
    <col min="7941" max="7941" width="12.42578125" style="525" bestFit="1" customWidth="1"/>
    <col min="7942" max="7942" width="9.7109375" style="525" customWidth="1"/>
    <col min="7943" max="7943" width="11.28515625" style="525" bestFit="1" customWidth="1"/>
    <col min="7944" max="7944" width="9.42578125" style="525" customWidth="1"/>
    <col min="7945" max="7945" width="12.42578125" style="525" bestFit="1" customWidth="1"/>
    <col min="7946" max="7946" width="9.5703125" style="525" customWidth="1"/>
    <col min="7947" max="7947" width="12.7109375" style="525" customWidth="1"/>
    <col min="7948" max="7948" width="12.42578125" style="525" bestFit="1" customWidth="1"/>
    <col min="7949" max="7949" width="9.85546875" style="525" customWidth="1"/>
    <col min="7950" max="7950" width="14.140625" style="525" customWidth="1"/>
    <col min="7951" max="8192" width="9.140625" style="525"/>
    <col min="8193" max="8193" width="22.42578125" style="525" customWidth="1"/>
    <col min="8194" max="8194" width="7" style="525" customWidth="1"/>
    <col min="8195" max="8195" width="10.140625" style="525" bestFit="1" customWidth="1"/>
    <col min="8196" max="8196" width="9.140625" style="525"/>
    <col min="8197" max="8197" width="12.42578125" style="525" bestFit="1" customWidth="1"/>
    <col min="8198" max="8198" width="9.7109375" style="525" customWidth="1"/>
    <col min="8199" max="8199" width="11.28515625" style="525" bestFit="1" customWidth="1"/>
    <col min="8200" max="8200" width="9.42578125" style="525" customWidth="1"/>
    <col min="8201" max="8201" width="12.42578125" style="525" bestFit="1" customWidth="1"/>
    <col min="8202" max="8202" width="9.5703125" style="525" customWidth="1"/>
    <col min="8203" max="8203" width="12.7109375" style="525" customWidth="1"/>
    <col min="8204" max="8204" width="12.42578125" style="525" bestFit="1" customWidth="1"/>
    <col min="8205" max="8205" width="9.85546875" style="525" customWidth="1"/>
    <col min="8206" max="8206" width="14.140625" style="525" customWidth="1"/>
    <col min="8207" max="8448" width="9.140625" style="525"/>
    <col min="8449" max="8449" width="22.42578125" style="525" customWidth="1"/>
    <col min="8450" max="8450" width="7" style="525" customWidth="1"/>
    <col min="8451" max="8451" width="10.140625" style="525" bestFit="1" customWidth="1"/>
    <col min="8452" max="8452" width="9.140625" style="525"/>
    <col min="8453" max="8453" width="12.42578125" style="525" bestFit="1" customWidth="1"/>
    <col min="8454" max="8454" width="9.7109375" style="525" customWidth="1"/>
    <col min="8455" max="8455" width="11.28515625" style="525" bestFit="1" customWidth="1"/>
    <col min="8456" max="8456" width="9.42578125" style="525" customWidth="1"/>
    <col min="8457" max="8457" width="12.42578125" style="525" bestFit="1" customWidth="1"/>
    <col min="8458" max="8458" width="9.5703125" style="525" customWidth="1"/>
    <col min="8459" max="8459" width="12.7109375" style="525" customWidth="1"/>
    <col min="8460" max="8460" width="12.42578125" style="525" bestFit="1" customWidth="1"/>
    <col min="8461" max="8461" width="9.85546875" style="525" customWidth="1"/>
    <col min="8462" max="8462" width="14.140625" style="525" customWidth="1"/>
    <col min="8463" max="8704" width="9.140625" style="525"/>
    <col min="8705" max="8705" width="22.42578125" style="525" customWidth="1"/>
    <col min="8706" max="8706" width="7" style="525" customWidth="1"/>
    <col min="8707" max="8707" width="10.140625" style="525" bestFit="1" customWidth="1"/>
    <col min="8708" max="8708" width="9.140625" style="525"/>
    <col min="8709" max="8709" width="12.42578125" style="525" bestFit="1" customWidth="1"/>
    <col min="8710" max="8710" width="9.7109375" style="525" customWidth="1"/>
    <col min="8711" max="8711" width="11.28515625" style="525" bestFit="1" customWidth="1"/>
    <col min="8712" max="8712" width="9.42578125" style="525" customWidth="1"/>
    <col min="8713" max="8713" width="12.42578125" style="525" bestFit="1" customWidth="1"/>
    <col min="8714" max="8714" width="9.5703125" style="525" customWidth="1"/>
    <col min="8715" max="8715" width="12.7109375" style="525" customWidth="1"/>
    <col min="8716" max="8716" width="12.42578125" style="525" bestFit="1" customWidth="1"/>
    <col min="8717" max="8717" width="9.85546875" style="525" customWidth="1"/>
    <col min="8718" max="8718" width="14.140625" style="525" customWidth="1"/>
    <col min="8719" max="8960" width="9.140625" style="525"/>
    <col min="8961" max="8961" width="22.42578125" style="525" customWidth="1"/>
    <col min="8962" max="8962" width="7" style="525" customWidth="1"/>
    <col min="8963" max="8963" width="10.140625" style="525" bestFit="1" customWidth="1"/>
    <col min="8964" max="8964" width="9.140625" style="525"/>
    <col min="8965" max="8965" width="12.42578125" style="525" bestFit="1" customWidth="1"/>
    <col min="8966" max="8966" width="9.7109375" style="525" customWidth="1"/>
    <col min="8967" max="8967" width="11.28515625" style="525" bestFit="1" customWidth="1"/>
    <col min="8968" max="8968" width="9.42578125" style="525" customWidth="1"/>
    <col min="8969" max="8969" width="12.42578125" style="525" bestFit="1" customWidth="1"/>
    <col min="8970" max="8970" width="9.5703125" style="525" customWidth="1"/>
    <col min="8971" max="8971" width="12.7109375" style="525" customWidth="1"/>
    <col min="8972" max="8972" width="12.42578125" style="525" bestFit="1" customWidth="1"/>
    <col min="8973" max="8973" width="9.85546875" style="525" customWidth="1"/>
    <col min="8974" max="8974" width="14.140625" style="525" customWidth="1"/>
    <col min="8975" max="9216" width="9.140625" style="525"/>
    <col min="9217" max="9217" width="22.42578125" style="525" customWidth="1"/>
    <col min="9218" max="9218" width="7" style="525" customWidth="1"/>
    <col min="9219" max="9219" width="10.140625" style="525" bestFit="1" customWidth="1"/>
    <col min="9220" max="9220" width="9.140625" style="525"/>
    <col min="9221" max="9221" width="12.42578125" style="525" bestFit="1" customWidth="1"/>
    <col min="9222" max="9222" width="9.7109375" style="525" customWidth="1"/>
    <col min="9223" max="9223" width="11.28515625" style="525" bestFit="1" customWidth="1"/>
    <col min="9224" max="9224" width="9.42578125" style="525" customWidth="1"/>
    <col min="9225" max="9225" width="12.42578125" style="525" bestFit="1" customWidth="1"/>
    <col min="9226" max="9226" width="9.5703125" style="525" customWidth="1"/>
    <col min="9227" max="9227" width="12.7109375" style="525" customWidth="1"/>
    <col min="9228" max="9228" width="12.42578125" style="525" bestFit="1" customWidth="1"/>
    <col min="9229" max="9229" width="9.85546875" style="525" customWidth="1"/>
    <col min="9230" max="9230" width="14.140625" style="525" customWidth="1"/>
    <col min="9231" max="9472" width="9.140625" style="525"/>
    <col min="9473" max="9473" width="22.42578125" style="525" customWidth="1"/>
    <col min="9474" max="9474" width="7" style="525" customWidth="1"/>
    <col min="9475" max="9475" width="10.140625" style="525" bestFit="1" customWidth="1"/>
    <col min="9476" max="9476" width="9.140625" style="525"/>
    <col min="9477" max="9477" width="12.42578125" style="525" bestFit="1" customWidth="1"/>
    <col min="9478" max="9478" width="9.7109375" style="525" customWidth="1"/>
    <col min="9479" max="9479" width="11.28515625" style="525" bestFit="1" customWidth="1"/>
    <col min="9480" max="9480" width="9.42578125" style="525" customWidth="1"/>
    <col min="9481" max="9481" width="12.42578125" style="525" bestFit="1" customWidth="1"/>
    <col min="9482" max="9482" width="9.5703125" style="525" customWidth="1"/>
    <col min="9483" max="9483" width="12.7109375" style="525" customWidth="1"/>
    <col min="9484" max="9484" width="12.42578125" style="525" bestFit="1" customWidth="1"/>
    <col min="9485" max="9485" width="9.85546875" style="525" customWidth="1"/>
    <col min="9486" max="9486" width="14.140625" style="525" customWidth="1"/>
    <col min="9487" max="9728" width="9.140625" style="525"/>
    <col min="9729" max="9729" width="22.42578125" style="525" customWidth="1"/>
    <col min="9730" max="9730" width="7" style="525" customWidth="1"/>
    <col min="9731" max="9731" width="10.140625" style="525" bestFit="1" customWidth="1"/>
    <col min="9732" max="9732" width="9.140625" style="525"/>
    <col min="9733" max="9733" width="12.42578125" style="525" bestFit="1" customWidth="1"/>
    <col min="9734" max="9734" width="9.7109375" style="525" customWidth="1"/>
    <col min="9735" max="9735" width="11.28515625" style="525" bestFit="1" customWidth="1"/>
    <col min="9736" max="9736" width="9.42578125" style="525" customWidth="1"/>
    <col min="9737" max="9737" width="12.42578125" style="525" bestFit="1" customWidth="1"/>
    <col min="9738" max="9738" width="9.5703125" style="525" customWidth="1"/>
    <col min="9739" max="9739" width="12.7109375" style="525" customWidth="1"/>
    <col min="9740" max="9740" width="12.42578125" style="525" bestFit="1" customWidth="1"/>
    <col min="9741" max="9741" width="9.85546875" style="525" customWidth="1"/>
    <col min="9742" max="9742" width="14.140625" style="525" customWidth="1"/>
    <col min="9743" max="9984" width="9.140625" style="525"/>
    <col min="9985" max="9985" width="22.42578125" style="525" customWidth="1"/>
    <col min="9986" max="9986" width="7" style="525" customWidth="1"/>
    <col min="9987" max="9987" width="10.140625" style="525" bestFit="1" customWidth="1"/>
    <col min="9988" max="9988" width="9.140625" style="525"/>
    <col min="9989" max="9989" width="12.42578125" style="525" bestFit="1" customWidth="1"/>
    <col min="9990" max="9990" width="9.7109375" style="525" customWidth="1"/>
    <col min="9991" max="9991" width="11.28515625" style="525" bestFit="1" customWidth="1"/>
    <col min="9992" max="9992" width="9.42578125" style="525" customWidth="1"/>
    <col min="9993" max="9993" width="12.42578125" style="525" bestFit="1" customWidth="1"/>
    <col min="9994" max="9994" width="9.5703125" style="525" customWidth="1"/>
    <col min="9995" max="9995" width="12.7109375" style="525" customWidth="1"/>
    <col min="9996" max="9996" width="12.42578125" style="525" bestFit="1" customWidth="1"/>
    <col min="9997" max="9997" width="9.85546875" style="525" customWidth="1"/>
    <col min="9998" max="9998" width="14.140625" style="525" customWidth="1"/>
    <col min="9999" max="10240" width="9.140625" style="525"/>
    <col min="10241" max="10241" width="22.42578125" style="525" customWidth="1"/>
    <col min="10242" max="10242" width="7" style="525" customWidth="1"/>
    <col min="10243" max="10243" width="10.140625" style="525" bestFit="1" customWidth="1"/>
    <col min="10244" max="10244" width="9.140625" style="525"/>
    <col min="10245" max="10245" width="12.42578125" style="525" bestFit="1" customWidth="1"/>
    <col min="10246" max="10246" width="9.7109375" style="525" customWidth="1"/>
    <col min="10247" max="10247" width="11.28515625" style="525" bestFit="1" customWidth="1"/>
    <col min="10248" max="10248" width="9.42578125" style="525" customWidth="1"/>
    <col min="10249" max="10249" width="12.42578125" style="525" bestFit="1" customWidth="1"/>
    <col min="10250" max="10250" width="9.5703125" style="525" customWidth="1"/>
    <col min="10251" max="10251" width="12.7109375" style="525" customWidth="1"/>
    <col min="10252" max="10252" width="12.42578125" style="525" bestFit="1" customWidth="1"/>
    <col min="10253" max="10253" width="9.85546875" style="525" customWidth="1"/>
    <col min="10254" max="10254" width="14.140625" style="525" customWidth="1"/>
    <col min="10255" max="10496" width="9.140625" style="525"/>
    <col min="10497" max="10497" width="22.42578125" style="525" customWidth="1"/>
    <col min="10498" max="10498" width="7" style="525" customWidth="1"/>
    <col min="10499" max="10499" width="10.140625" style="525" bestFit="1" customWidth="1"/>
    <col min="10500" max="10500" width="9.140625" style="525"/>
    <col min="10501" max="10501" width="12.42578125" style="525" bestFit="1" customWidth="1"/>
    <col min="10502" max="10502" width="9.7109375" style="525" customWidth="1"/>
    <col min="10503" max="10503" width="11.28515625" style="525" bestFit="1" customWidth="1"/>
    <col min="10504" max="10504" width="9.42578125" style="525" customWidth="1"/>
    <col min="10505" max="10505" width="12.42578125" style="525" bestFit="1" customWidth="1"/>
    <col min="10506" max="10506" width="9.5703125" style="525" customWidth="1"/>
    <col min="10507" max="10507" width="12.7109375" style="525" customWidth="1"/>
    <col min="10508" max="10508" width="12.42578125" style="525" bestFit="1" customWidth="1"/>
    <col min="10509" max="10509" width="9.85546875" style="525" customWidth="1"/>
    <col min="10510" max="10510" width="14.140625" style="525" customWidth="1"/>
    <col min="10511" max="10752" width="9.140625" style="525"/>
    <col min="10753" max="10753" width="22.42578125" style="525" customWidth="1"/>
    <col min="10754" max="10754" width="7" style="525" customWidth="1"/>
    <col min="10755" max="10755" width="10.140625" style="525" bestFit="1" customWidth="1"/>
    <col min="10756" max="10756" width="9.140625" style="525"/>
    <col min="10757" max="10757" width="12.42578125" style="525" bestFit="1" customWidth="1"/>
    <col min="10758" max="10758" width="9.7109375" style="525" customWidth="1"/>
    <col min="10759" max="10759" width="11.28515625" style="525" bestFit="1" customWidth="1"/>
    <col min="10760" max="10760" width="9.42578125" style="525" customWidth="1"/>
    <col min="10761" max="10761" width="12.42578125" style="525" bestFit="1" customWidth="1"/>
    <col min="10762" max="10762" width="9.5703125" style="525" customWidth="1"/>
    <col min="10763" max="10763" width="12.7109375" style="525" customWidth="1"/>
    <col min="10764" max="10764" width="12.42578125" style="525" bestFit="1" customWidth="1"/>
    <col min="10765" max="10765" width="9.85546875" style="525" customWidth="1"/>
    <col min="10766" max="10766" width="14.140625" style="525" customWidth="1"/>
    <col min="10767" max="11008" width="9.140625" style="525"/>
    <col min="11009" max="11009" width="22.42578125" style="525" customWidth="1"/>
    <col min="11010" max="11010" width="7" style="525" customWidth="1"/>
    <col min="11011" max="11011" width="10.140625" style="525" bestFit="1" customWidth="1"/>
    <col min="11012" max="11012" width="9.140625" style="525"/>
    <col min="11013" max="11013" width="12.42578125" style="525" bestFit="1" customWidth="1"/>
    <col min="11014" max="11014" width="9.7109375" style="525" customWidth="1"/>
    <col min="11015" max="11015" width="11.28515625" style="525" bestFit="1" customWidth="1"/>
    <col min="11016" max="11016" width="9.42578125" style="525" customWidth="1"/>
    <col min="11017" max="11017" width="12.42578125" style="525" bestFit="1" customWidth="1"/>
    <col min="11018" max="11018" width="9.5703125" style="525" customWidth="1"/>
    <col min="11019" max="11019" width="12.7109375" style="525" customWidth="1"/>
    <col min="11020" max="11020" width="12.42578125" style="525" bestFit="1" customWidth="1"/>
    <col min="11021" max="11021" width="9.85546875" style="525" customWidth="1"/>
    <col min="11022" max="11022" width="14.140625" style="525" customWidth="1"/>
    <col min="11023" max="11264" width="9.140625" style="525"/>
    <col min="11265" max="11265" width="22.42578125" style="525" customWidth="1"/>
    <col min="11266" max="11266" width="7" style="525" customWidth="1"/>
    <col min="11267" max="11267" width="10.140625" style="525" bestFit="1" customWidth="1"/>
    <col min="11268" max="11268" width="9.140625" style="525"/>
    <col min="11269" max="11269" width="12.42578125" style="525" bestFit="1" customWidth="1"/>
    <col min="11270" max="11270" width="9.7109375" style="525" customWidth="1"/>
    <col min="11271" max="11271" width="11.28515625" style="525" bestFit="1" customWidth="1"/>
    <col min="11272" max="11272" width="9.42578125" style="525" customWidth="1"/>
    <col min="11273" max="11273" width="12.42578125" style="525" bestFit="1" customWidth="1"/>
    <col min="11274" max="11274" width="9.5703125" style="525" customWidth="1"/>
    <col min="11275" max="11275" width="12.7109375" style="525" customWidth="1"/>
    <col min="11276" max="11276" width="12.42578125" style="525" bestFit="1" customWidth="1"/>
    <col min="11277" max="11277" width="9.85546875" style="525" customWidth="1"/>
    <col min="11278" max="11278" width="14.140625" style="525" customWidth="1"/>
    <col min="11279" max="11520" width="9.140625" style="525"/>
    <col min="11521" max="11521" width="22.42578125" style="525" customWidth="1"/>
    <col min="11522" max="11522" width="7" style="525" customWidth="1"/>
    <col min="11523" max="11523" width="10.140625" style="525" bestFit="1" customWidth="1"/>
    <col min="11524" max="11524" width="9.140625" style="525"/>
    <col min="11525" max="11525" width="12.42578125" style="525" bestFit="1" customWidth="1"/>
    <col min="11526" max="11526" width="9.7109375" style="525" customWidth="1"/>
    <col min="11527" max="11527" width="11.28515625" style="525" bestFit="1" customWidth="1"/>
    <col min="11528" max="11528" width="9.42578125" style="525" customWidth="1"/>
    <col min="11529" max="11529" width="12.42578125" style="525" bestFit="1" customWidth="1"/>
    <col min="11530" max="11530" width="9.5703125" style="525" customWidth="1"/>
    <col min="11531" max="11531" width="12.7109375" style="525" customWidth="1"/>
    <col min="11532" max="11532" width="12.42578125" style="525" bestFit="1" customWidth="1"/>
    <col min="11533" max="11533" width="9.85546875" style="525" customWidth="1"/>
    <col min="11534" max="11534" width="14.140625" style="525" customWidth="1"/>
    <col min="11535" max="11776" width="9.140625" style="525"/>
    <col min="11777" max="11777" width="22.42578125" style="525" customWidth="1"/>
    <col min="11778" max="11778" width="7" style="525" customWidth="1"/>
    <col min="11779" max="11779" width="10.140625" style="525" bestFit="1" customWidth="1"/>
    <col min="11780" max="11780" width="9.140625" style="525"/>
    <col min="11781" max="11781" width="12.42578125" style="525" bestFit="1" customWidth="1"/>
    <col min="11782" max="11782" width="9.7109375" style="525" customWidth="1"/>
    <col min="11783" max="11783" width="11.28515625" style="525" bestFit="1" customWidth="1"/>
    <col min="11784" max="11784" width="9.42578125" style="525" customWidth="1"/>
    <col min="11785" max="11785" width="12.42578125" style="525" bestFit="1" customWidth="1"/>
    <col min="11786" max="11786" width="9.5703125" style="525" customWidth="1"/>
    <col min="11787" max="11787" width="12.7109375" style="525" customWidth="1"/>
    <col min="11788" max="11788" width="12.42578125" style="525" bestFit="1" customWidth="1"/>
    <col min="11789" max="11789" width="9.85546875" style="525" customWidth="1"/>
    <col min="11790" max="11790" width="14.140625" style="525" customWidth="1"/>
    <col min="11791" max="12032" width="9.140625" style="525"/>
    <col min="12033" max="12033" width="22.42578125" style="525" customWidth="1"/>
    <col min="12034" max="12034" width="7" style="525" customWidth="1"/>
    <col min="12035" max="12035" width="10.140625" style="525" bestFit="1" customWidth="1"/>
    <col min="12036" max="12036" width="9.140625" style="525"/>
    <col min="12037" max="12037" width="12.42578125" style="525" bestFit="1" customWidth="1"/>
    <col min="12038" max="12038" width="9.7109375" style="525" customWidth="1"/>
    <col min="12039" max="12039" width="11.28515625" style="525" bestFit="1" customWidth="1"/>
    <col min="12040" max="12040" width="9.42578125" style="525" customWidth="1"/>
    <col min="12041" max="12041" width="12.42578125" style="525" bestFit="1" customWidth="1"/>
    <col min="12042" max="12042" width="9.5703125" style="525" customWidth="1"/>
    <col min="12043" max="12043" width="12.7109375" style="525" customWidth="1"/>
    <col min="12044" max="12044" width="12.42578125" style="525" bestFit="1" customWidth="1"/>
    <col min="12045" max="12045" width="9.85546875" style="525" customWidth="1"/>
    <col min="12046" max="12046" width="14.140625" style="525" customWidth="1"/>
    <col min="12047" max="12288" width="9.140625" style="525"/>
    <col min="12289" max="12289" width="22.42578125" style="525" customWidth="1"/>
    <col min="12290" max="12290" width="7" style="525" customWidth="1"/>
    <col min="12291" max="12291" width="10.140625" style="525" bestFit="1" customWidth="1"/>
    <col min="12292" max="12292" width="9.140625" style="525"/>
    <col min="12293" max="12293" width="12.42578125" style="525" bestFit="1" customWidth="1"/>
    <col min="12294" max="12294" width="9.7109375" style="525" customWidth="1"/>
    <col min="12295" max="12295" width="11.28515625" style="525" bestFit="1" customWidth="1"/>
    <col min="12296" max="12296" width="9.42578125" style="525" customWidth="1"/>
    <col min="12297" max="12297" width="12.42578125" style="525" bestFit="1" customWidth="1"/>
    <col min="12298" max="12298" width="9.5703125" style="525" customWidth="1"/>
    <col min="12299" max="12299" width="12.7109375" style="525" customWidth="1"/>
    <col min="12300" max="12300" width="12.42578125" style="525" bestFit="1" customWidth="1"/>
    <col min="12301" max="12301" width="9.85546875" style="525" customWidth="1"/>
    <col min="12302" max="12302" width="14.140625" style="525" customWidth="1"/>
    <col min="12303" max="12544" width="9.140625" style="525"/>
    <col min="12545" max="12545" width="22.42578125" style="525" customWidth="1"/>
    <col min="12546" max="12546" width="7" style="525" customWidth="1"/>
    <col min="12547" max="12547" width="10.140625" style="525" bestFit="1" customWidth="1"/>
    <col min="12548" max="12548" width="9.140625" style="525"/>
    <col min="12549" max="12549" width="12.42578125" style="525" bestFit="1" customWidth="1"/>
    <col min="12550" max="12550" width="9.7109375" style="525" customWidth="1"/>
    <col min="12551" max="12551" width="11.28515625" style="525" bestFit="1" customWidth="1"/>
    <col min="12552" max="12552" width="9.42578125" style="525" customWidth="1"/>
    <col min="12553" max="12553" width="12.42578125" style="525" bestFit="1" customWidth="1"/>
    <col min="12554" max="12554" width="9.5703125" style="525" customWidth="1"/>
    <col min="12555" max="12555" width="12.7109375" style="525" customWidth="1"/>
    <col min="12556" max="12556" width="12.42578125" style="525" bestFit="1" customWidth="1"/>
    <col min="12557" max="12557" width="9.85546875" style="525" customWidth="1"/>
    <col min="12558" max="12558" width="14.140625" style="525" customWidth="1"/>
    <col min="12559" max="12800" width="9.140625" style="525"/>
    <col min="12801" max="12801" width="22.42578125" style="525" customWidth="1"/>
    <col min="12802" max="12802" width="7" style="525" customWidth="1"/>
    <col min="12803" max="12803" width="10.140625" style="525" bestFit="1" customWidth="1"/>
    <col min="12804" max="12804" width="9.140625" style="525"/>
    <col min="12805" max="12805" width="12.42578125" style="525" bestFit="1" customWidth="1"/>
    <col min="12806" max="12806" width="9.7109375" style="525" customWidth="1"/>
    <col min="12807" max="12807" width="11.28515625" style="525" bestFit="1" customWidth="1"/>
    <col min="12808" max="12808" width="9.42578125" style="525" customWidth="1"/>
    <col min="12809" max="12809" width="12.42578125" style="525" bestFit="1" customWidth="1"/>
    <col min="12810" max="12810" width="9.5703125" style="525" customWidth="1"/>
    <col min="12811" max="12811" width="12.7109375" style="525" customWidth="1"/>
    <col min="12812" max="12812" width="12.42578125" style="525" bestFit="1" customWidth="1"/>
    <col min="12813" max="12813" width="9.85546875" style="525" customWidth="1"/>
    <col min="12814" max="12814" width="14.140625" style="525" customWidth="1"/>
    <col min="12815" max="13056" width="9.140625" style="525"/>
    <col min="13057" max="13057" width="22.42578125" style="525" customWidth="1"/>
    <col min="13058" max="13058" width="7" style="525" customWidth="1"/>
    <col min="13059" max="13059" width="10.140625" style="525" bestFit="1" customWidth="1"/>
    <col min="13060" max="13060" width="9.140625" style="525"/>
    <col min="13061" max="13061" width="12.42578125" style="525" bestFit="1" customWidth="1"/>
    <col min="13062" max="13062" width="9.7109375" style="525" customWidth="1"/>
    <col min="13063" max="13063" width="11.28515625" style="525" bestFit="1" customWidth="1"/>
    <col min="13064" max="13064" width="9.42578125" style="525" customWidth="1"/>
    <col min="13065" max="13065" width="12.42578125" style="525" bestFit="1" customWidth="1"/>
    <col min="13066" max="13066" width="9.5703125" style="525" customWidth="1"/>
    <col min="13067" max="13067" width="12.7109375" style="525" customWidth="1"/>
    <col min="13068" max="13068" width="12.42578125" style="525" bestFit="1" customWidth="1"/>
    <col min="13069" max="13069" width="9.85546875" style="525" customWidth="1"/>
    <col min="13070" max="13070" width="14.140625" style="525" customWidth="1"/>
    <col min="13071" max="13312" width="9.140625" style="525"/>
    <col min="13313" max="13313" width="22.42578125" style="525" customWidth="1"/>
    <col min="13314" max="13314" width="7" style="525" customWidth="1"/>
    <col min="13315" max="13315" width="10.140625" style="525" bestFit="1" customWidth="1"/>
    <col min="13316" max="13316" width="9.140625" style="525"/>
    <col min="13317" max="13317" width="12.42578125" style="525" bestFit="1" customWidth="1"/>
    <col min="13318" max="13318" width="9.7109375" style="525" customWidth="1"/>
    <col min="13319" max="13319" width="11.28515625" style="525" bestFit="1" customWidth="1"/>
    <col min="13320" max="13320" width="9.42578125" style="525" customWidth="1"/>
    <col min="13321" max="13321" width="12.42578125" style="525" bestFit="1" customWidth="1"/>
    <col min="13322" max="13322" width="9.5703125" style="525" customWidth="1"/>
    <col min="13323" max="13323" width="12.7109375" style="525" customWidth="1"/>
    <col min="13324" max="13324" width="12.42578125" style="525" bestFit="1" customWidth="1"/>
    <col min="13325" max="13325" width="9.85546875" style="525" customWidth="1"/>
    <col min="13326" max="13326" width="14.140625" style="525" customWidth="1"/>
    <col min="13327" max="13568" width="9.140625" style="525"/>
    <col min="13569" max="13569" width="22.42578125" style="525" customWidth="1"/>
    <col min="13570" max="13570" width="7" style="525" customWidth="1"/>
    <col min="13571" max="13571" width="10.140625" style="525" bestFit="1" customWidth="1"/>
    <col min="13572" max="13572" width="9.140625" style="525"/>
    <col min="13573" max="13573" width="12.42578125" style="525" bestFit="1" customWidth="1"/>
    <col min="13574" max="13574" width="9.7109375" style="525" customWidth="1"/>
    <col min="13575" max="13575" width="11.28515625" style="525" bestFit="1" customWidth="1"/>
    <col min="13576" max="13576" width="9.42578125" style="525" customWidth="1"/>
    <col min="13577" max="13577" width="12.42578125" style="525" bestFit="1" customWidth="1"/>
    <col min="13578" max="13578" width="9.5703125" style="525" customWidth="1"/>
    <col min="13579" max="13579" width="12.7109375" style="525" customWidth="1"/>
    <col min="13580" max="13580" width="12.42578125" style="525" bestFit="1" customWidth="1"/>
    <col min="13581" max="13581" width="9.85546875" style="525" customWidth="1"/>
    <col min="13582" max="13582" width="14.140625" style="525" customWidth="1"/>
    <col min="13583" max="13824" width="9.140625" style="525"/>
    <col min="13825" max="13825" width="22.42578125" style="525" customWidth="1"/>
    <col min="13826" max="13826" width="7" style="525" customWidth="1"/>
    <col min="13827" max="13827" width="10.140625" style="525" bestFit="1" customWidth="1"/>
    <col min="13828" max="13828" width="9.140625" style="525"/>
    <col min="13829" max="13829" width="12.42578125" style="525" bestFit="1" customWidth="1"/>
    <col min="13830" max="13830" width="9.7109375" style="525" customWidth="1"/>
    <col min="13831" max="13831" width="11.28515625" style="525" bestFit="1" customWidth="1"/>
    <col min="13832" max="13832" width="9.42578125" style="525" customWidth="1"/>
    <col min="13833" max="13833" width="12.42578125" style="525" bestFit="1" customWidth="1"/>
    <col min="13834" max="13834" width="9.5703125" style="525" customWidth="1"/>
    <col min="13835" max="13835" width="12.7109375" style="525" customWidth="1"/>
    <col min="13836" max="13836" width="12.42578125" style="525" bestFit="1" customWidth="1"/>
    <col min="13837" max="13837" width="9.85546875" style="525" customWidth="1"/>
    <col min="13838" max="13838" width="14.140625" style="525" customWidth="1"/>
    <col min="13839" max="14080" width="9.140625" style="525"/>
    <col min="14081" max="14081" width="22.42578125" style="525" customWidth="1"/>
    <col min="14082" max="14082" width="7" style="525" customWidth="1"/>
    <col min="14083" max="14083" width="10.140625" style="525" bestFit="1" customWidth="1"/>
    <col min="14084" max="14084" width="9.140625" style="525"/>
    <col min="14085" max="14085" width="12.42578125" style="525" bestFit="1" customWidth="1"/>
    <col min="14086" max="14086" width="9.7109375" style="525" customWidth="1"/>
    <col min="14087" max="14087" width="11.28515625" style="525" bestFit="1" customWidth="1"/>
    <col min="14088" max="14088" width="9.42578125" style="525" customWidth="1"/>
    <col min="14089" max="14089" width="12.42578125" style="525" bestFit="1" customWidth="1"/>
    <col min="14090" max="14090" width="9.5703125" style="525" customWidth="1"/>
    <col min="14091" max="14091" width="12.7109375" style="525" customWidth="1"/>
    <col min="14092" max="14092" width="12.42578125" style="525" bestFit="1" customWidth="1"/>
    <col min="14093" max="14093" width="9.85546875" style="525" customWidth="1"/>
    <col min="14094" max="14094" width="14.140625" style="525" customWidth="1"/>
    <col min="14095" max="14336" width="9.140625" style="525"/>
    <col min="14337" max="14337" width="22.42578125" style="525" customWidth="1"/>
    <col min="14338" max="14338" width="7" style="525" customWidth="1"/>
    <col min="14339" max="14339" width="10.140625" style="525" bestFit="1" customWidth="1"/>
    <col min="14340" max="14340" width="9.140625" style="525"/>
    <col min="14341" max="14341" width="12.42578125" style="525" bestFit="1" customWidth="1"/>
    <col min="14342" max="14342" width="9.7109375" style="525" customWidth="1"/>
    <col min="14343" max="14343" width="11.28515625" style="525" bestFit="1" customWidth="1"/>
    <col min="14344" max="14344" width="9.42578125" style="525" customWidth="1"/>
    <col min="14345" max="14345" width="12.42578125" style="525" bestFit="1" customWidth="1"/>
    <col min="14346" max="14346" width="9.5703125" style="525" customWidth="1"/>
    <col min="14347" max="14347" width="12.7109375" style="525" customWidth="1"/>
    <col min="14348" max="14348" width="12.42578125" style="525" bestFit="1" customWidth="1"/>
    <col min="14349" max="14349" width="9.85546875" style="525" customWidth="1"/>
    <col min="14350" max="14350" width="14.140625" style="525" customWidth="1"/>
    <col min="14351" max="14592" width="9.140625" style="525"/>
    <col min="14593" max="14593" width="22.42578125" style="525" customWidth="1"/>
    <col min="14594" max="14594" width="7" style="525" customWidth="1"/>
    <col min="14595" max="14595" width="10.140625" style="525" bestFit="1" customWidth="1"/>
    <col min="14596" max="14596" width="9.140625" style="525"/>
    <col min="14597" max="14597" width="12.42578125" style="525" bestFit="1" customWidth="1"/>
    <col min="14598" max="14598" width="9.7109375" style="525" customWidth="1"/>
    <col min="14599" max="14599" width="11.28515625" style="525" bestFit="1" customWidth="1"/>
    <col min="14600" max="14600" width="9.42578125" style="525" customWidth="1"/>
    <col min="14601" max="14601" width="12.42578125" style="525" bestFit="1" customWidth="1"/>
    <col min="14602" max="14602" width="9.5703125" style="525" customWidth="1"/>
    <col min="14603" max="14603" width="12.7109375" style="525" customWidth="1"/>
    <col min="14604" max="14604" width="12.42578125" style="525" bestFit="1" customWidth="1"/>
    <col min="14605" max="14605" width="9.85546875" style="525" customWidth="1"/>
    <col min="14606" max="14606" width="14.140625" style="525" customWidth="1"/>
    <col min="14607" max="14848" width="9.140625" style="525"/>
    <col min="14849" max="14849" width="22.42578125" style="525" customWidth="1"/>
    <col min="14850" max="14850" width="7" style="525" customWidth="1"/>
    <col min="14851" max="14851" width="10.140625" style="525" bestFit="1" customWidth="1"/>
    <col min="14852" max="14852" width="9.140625" style="525"/>
    <col min="14853" max="14853" width="12.42578125" style="525" bestFit="1" customWidth="1"/>
    <col min="14854" max="14854" width="9.7109375" style="525" customWidth="1"/>
    <col min="14855" max="14855" width="11.28515625" style="525" bestFit="1" customWidth="1"/>
    <col min="14856" max="14856" width="9.42578125" style="525" customWidth="1"/>
    <col min="14857" max="14857" width="12.42578125" style="525" bestFit="1" customWidth="1"/>
    <col min="14858" max="14858" width="9.5703125" style="525" customWidth="1"/>
    <col min="14859" max="14859" width="12.7109375" style="525" customWidth="1"/>
    <col min="14860" max="14860" width="12.42578125" style="525" bestFit="1" customWidth="1"/>
    <col min="14861" max="14861" width="9.85546875" style="525" customWidth="1"/>
    <col min="14862" max="14862" width="14.140625" style="525" customWidth="1"/>
    <col min="14863" max="15104" width="9.140625" style="525"/>
    <col min="15105" max="15105" width="22.42578125" style="525" customWidth="1"/>
    <col min="15106" max="15106" width="7" style="525" customWidth="1"/>
    <col min="15107" max="15107" width="10.140625" style="525" bestFit="1" customWidth="1"/>
    <col min="15108" max="15108" width="9.140625" style="525"/>
    <col min="15109" max="15109" width="12.42578125" style="525" bestFit="1" customWidth="1"/>
    <col min="15110" max="15110" width="9.7109375" style="525" customWidth="1"/>
    <col min="15111" max="15111" width="11.28515625" style="525" bestFit="1" customWidth="1"/>
    <col min="15112" max="15112" width="9.42578125" style="525" customWidth="1"/>
    <col min="15113" max="15113" width="12.42578125" style="525" bestFit="1" customWidth="1"/>
    <col min="15114" max="15114" width="9.5703125" style="525" customWidth="1"/>
    <col min="15115" max="15115" width="12.7109375" style="525" customWidth="1"/>
    <col min="15116" max="15116" width="12.42578125" style="525" bestFit="1" customWidth="1"/>
    <col min="15117" max="15117" width="9.85546875" style="525" customWidth="1"/>
    <col min="15118" max="15118" width="14.140625" style="525" customWidth="1"/>
    <col min="15119" max="15360" width="9.140625" style="525"/>
    <col min="15361" max="15361" width="22.42578125" style="525" customWidth="1"/>
    <col min="15362" max="15362" width="7" style="525" customWidth="1"/>
    <col min="15363" max="15363" width="10.140625" style="525" bestFit="1" customWidth="1"/>
    <col min="15364" max="15364" width="9.140625" style="525"/>
    <col min="15365" max="15365" width="12.42578125" style="525" bestFit="1" customWidth="1"/>
    <col min="15366" max="15366" width="9.7109375" style="525" customWidth="1"/>
    <col min="15367" max="15367" width="11.28515625" style="525" bestFit="1" customWidth="1"/>
    <col min="15368" max="15368" width="9.42578125" style="525" customWidth="1"/>
    <col min="15369" max="15369" width="12.42578125" style="525" bestFit="1" customWidth="1"/>
    <col min="15370" max="15370" width="9.5703125" style="525" customWidth="1"/>
    <col min="15371" max="15371" width="12.7109375" style="525" customWidth="1"/>
    <col min="15372" max="15372" width="12.42578125" style="525" bestFit="1" customWidth="1"/>
    <col min="15373" max="15373" width="9.85546875" style="525" customWidth="1"/>
    <col min="15374" max="15374" width="14.140625" style="525" customWidth="1"/>
    <col min="15375" max="15616" width="9.140625" style="525"/>
    <col min="15617" max="15617" width="22.42578125" style="525" customWidth="1"/>
    <col min="15618" max="15618" width="7" style="525" customWidth="1"/>
    <col min="15619" max="15619" width="10.140625" style="525" bestFit="1" customWidth="1"/>
    <col min="15620" max="15620" width="9.140625" style="525"/>
    <col min="15621" max="15621" width="12.42578125" style="525" bestFit="1" customWidth="1"/>
    <col min="15622" max="15622" width="9.7109375" style="525" customWidth="1"/>
    <col min="15623" max="15623" width="11.28515625" style="525" bestFit="1" customWidth="1"/>
    <col min="15624" max="15624" width="9.42578125" style="525" customWidth="1"/>
    <col min="15625" max="15625" width="12.42578125" style="525" bestFit="1" customWidth="1"/>
    <col min="15626" max="15626" width="9.5703125" style="525" customWidth="1"/>
    <col min="15627" max="15627" width="12.7109375" style="525" customWidth="1"/>
    <col min="15628" max="15628" width="12.42578125" style="525" bestFit="1" customWidth="1"/>
    <col min="15629" max="15629" width="9.85546875" style="525" customWidth="1"/>
    <col min="15630" max="15630" width="14.140625" style="525" customWidth="1"/>
    <col min="15631" max="15872" width="9.140625" style="525"/>
    <col min="15873" max="15873" width="22.42578125" style="525" customWidth="1"/>
    <col min="15874" max="15874" width="7" style="525" customWidth="1"/>
    <col min="15875" max="15875" width="10.140625" style="525" bestFit="1" customWidth="1"/>
    <col min="15876" max="15876" width="9.140625" style="525"/>
    <col min="15877" max="15877" width="12.42578125" style="525" bestFit="1" customWidth="1"/>
    <col min="15878" max="15878" width="9.7109375" style="525" customWidth="1"/>
    <col min="15879" max="15879" width="11.28515625" style="525" bestFit="1" customWidth="1"/>
    <col min="15880" max="15880" width="9.42578125" style="525" customWidth="1"/>
    <col min="15881" max="15881" width="12.42578125" style="525" bestFit="1" customWidth="1"/>
    <col min="15882" max="15882" width="9.5703125" style="525" customWidth="1"/>
    <col min="15883" max="15883" width="12.7109375" style="525" customWidth="1"/>
    <col min="15884" max="15884" width="12.42578125" style="525" bestFit="1" customWidth="1"/>
    <col min="15885" max="15885" width="9.85546875" style="525" customWidth="1"/>
    <col min="15886" max="15886" width="14.140625" style="525" customWidth="1"/>
    <col min="15887" max="16128" width="9.140625" style="525"/>
    <col min="16129" max="16129" width="22.42578125" style="525" customWidth="1"/>
    <col min="16130" max="16130" width="7" style="525" customWidth="1"/>
    <col min="16131" max="16131" width="10.140625" style="525" bestFit="1" customWidth="1"/>
    <col min="16132" max="16132" width="9.140625" style="525"/>
    <col min="16133" max="16133" width="12.42578125" style="525" bestFit="1" customWidth="1"/>
    <col min="16134" max="16134" width="9.7109375" style="525" customWidth="1"/>
    <col min="16135" max="16135" width="11.28515625" style="525" bestFit="1" customWidth="1"/>
    <col min="16136" max="16136" width="9.42578125" style="525" customWidth="1"/>
    <col min="16137" max="16137" width="12.42578125" style="525" bestFit="1" customWidth="1"/>
    <col min="16138" max="16138" width="9.5703125" style="525" customWidth="1"/>
    <col min="16139" max="16139" width="12.7109375" style="525" customWidth="1"/>
    <col min="16140" max="16140" width="12.42578125" style="525" bestFit="1" customWidth="1"/>
    <col min="16141" max="16141" width="9.85546875" style="525" customWidth="1"/>
    <col min="16142" max="16142" width="14.140625" style="525" customWidth="1"/>
    <col min="16143" max="16384" width="9.140625" style="525"/>
  </cols>
  <sheetData>
    <row r="1" spans="1:14">
      <c r="C1" s="526" t="s">
        <v>1410</v>
      </c>
      <c r="G1" s="1388" t="s">
        <v>1020</v>
      </c>
    </row>
    <row r="3" spans="1:14">
      <c r="A3" s="2740" t="s">
        <v>1409</v>
      </c>
      <c r="B3" s="2740"/>
      <c r="C3" s="2740"/>
      <c r="D3" s="2740"/>
      <c r="E3" s="2740"/>
      <c r="F3" s="2740"/>
      <c r="G3" s="2740"/>
      <c r="H3" s="2740"/>
      <c r="I3" s="2740"/>
      <c r="J3" s="2740"/>
      <c r="K3" s="2740"/>
      <c r="L3" s="2740"/>
      <c r="M3" s="2740"/>
      <c r="N3" s="2740"/>
    </row>
    <row r="4" spans="1:14">
      <c r="A4" s="537"/>
      <c r="M4" s="525" t="s">
        <v>1408</v>
      </c>
    </row>
    <row r="5" spans="1:14">
      <c r="A5" s="2358"/>
      <c r="B5" s="1102" t="s">
        <v>1388</v>
      </c>
      <c r="C5" s="674" t="s">
        <v>1387</v>
      </c>
      <c r="D5" s="2759" t="s">
        <v>677</v>
      </c>
      <c r="E5" s="2759"/>
      <c r="F5" s="2759" t="s">
        <v>1386</v>
      </c>
      <c r="G5" s="2759"/>
      <c r="H5" s="2759"/>
      <c r="I5" s="2759"/>
      <c r="J5" s="2759"/>
      <c r="K5" s="2759"/>
      <c r="L5" s="1102" t="s">
        <v>1385</v>
      </c>
      <c r="M5" s="2759" t="s">
        <v>677</v>
      </c>
      <c r="N5" s="2759"/>
    </row>
    <row r="6" spans="1:14">
      <c r="A6" s="1102" t="s">
        <v>1294</v>
      </c>
      <c r="B6" s="1102" t="s">
        <v>1384</v>
      </c>
      <c r="C6" s="674" t="s">
        <v>1407</v>
      </c>
      <c r="D6" s="2759" t="s">
        <v>1383</v>
      </c>
      <c r="E6" s="2759"/>
      <c r="F6" s="2759" t="s">
        <v>1035</v>
      </c>
      <c r="G6" s="2759"/>
      <c r="H6" s="2759" t="s">
        <v>1034</v>
      </c>
      <c r="I6" s="2759"/>
      <c r="J6" s="2760" t="s">
        <v>1033</v>
      </c>
      <c r="K6" s="2760"/>
      <c r="L6" s="2358" t="s">
        <v>1382</v>
      </c>
      <c r="M6" s="2759" t="s">
        <v>1406</v>
      </c>
      <c r="N6" s="2759"/>
    </row>
    <row r="7" spans="1:14">
      <c r="A7" s="2206"/>
      <c r="B7" s="1102" t="s">
        <v>1291</v>
      </c>
      <c r="C7" s="2207"/>
      <c r="D7" s="1102" t="s">
        <v>1</v>
      </c>
      <c r="E7" s="1102" t="s">
        <v>4</v>
      </c>
      <c r="F7" s="1102" t="s">
        <v>1</v>
      </c>
      <c r="G7" s="1102" t="s">
        <v>4</v>
      </c>
      <c r="H7" s="1102" t="s">
        <v>1</v>
      </c>
      <c r="I7" s="1102" t="s">
        <v>4</v>
      </c>
      <c r="J7" s="1102" t="s">
        <v>1</v>
      </c>
      <c r="K7" s="1102" t="s">
        <v>4</v>
      </c>
      <c r="L7" s="1102"/>
      <c r="M7" s="1102" t="s">
        <v>1</v>
      </c>
      <c r="N7" s="1102" t="s">
        <v>4</v>
      </c>
    </row>
    <row r="8" spans="1:14" s="1625" customFormat="1">
      <c r="A8" s="1102" t="s">
        <v>1351</v>
      </c>
      <c r="B8" s="1102"/>
      <c r="C8" s="670"/>
      <c r="D8" s="691"/>
      <c r="E8" s="691">
        <f>SUM(E20+E21)</f>
        <v>122645000</v>
      </c>
      <c r="F8" s="691"/>
      <c r="G8" s="691">
        <f>SUM(G20+G21)</f>
        <v>85875000</v>
      </c>
      <c r="H8" s="691"/>
      <c r="I8" s="691">
        <f>SUM(I20+I21)</f>
        <v>91475000</v>
      </c>
      <c r="J8" s="691"/>
      <c r="K8" s="691">
        <f>SUM(K20+K21)</f>
        <v>98675000</v>
      </c>
      <c r="L8" s="691">
        <f>SUM(L20+L21)</f>
        <v>398670000</v>
      </c>
      <c r="M8" s="691"/>
      <c r="N8" s="691">
        <f>N20+N21</f>
        <v>81395000</v>
      </c>
    </row>
    <row r="9" spans="1:14">
      <c r="A9" s="1102" t="s">
        <v>1405</v>
      </c>
      <c r="B9" s="1102" t="s">
        <v>202</v>
      </c>
      <c r="C9" s="674"/>
      <c r="D9" s="675"/>
      <c r="E9" s="675">
        <v>15000000</v>
      </c>
      <c r="F9" s="675"/>
      <c r="G9" s="675">
        <v>2000000</v>
      </c>
      <c r="H9" s="675"/>
      <c r="I9" s="675">
        <v>2000000</v>
      </c>
      <c r="J9" s="675"/>
      <c r="K9" s="675"/>
      <c r="L9" s="675">
        <f>E9+G9+I9+K9</f>
        <v>19000000</v>
      </c>
      <c r="M9" s="675"/>
      <c r="N9" s="686"/>
    </row>
    <row r="10" spans="1:14">
      <c r="A10" s="1102" t="s">
        <v>1350</v>
      </c>
      <c r="B10" s="1102" t="s">
        <v>1287</v>
      </c>
      <c r="C10" s="674">
        <v>1000</v>
      </c>
      <c r="D10" s="675">
        <v>10000</v>
      </c>
      <c r="E10" s="675">
        <f t="shared" ref="E10:E19" si="0">C10*D10</f>
        <v>10000000</v>
      </c>
      <c r="F10" s="675">
        <v>300</v>
      </c>
      <c r="G10" s="675">
        <f>C10*F10</f>
        <v>300000</v>
      </c>
      <c r="H10" s="675">
        <v>150</v>
      </c>
      <c r="I10" s="675">
        <f>H10*C10</f>
        <v>150000</v>
      </c>
      <c r="J10" s="675"/>
      <c r="K10" s="686"/>
      <c r="L10" s="686"/>
      <c r="M10" s="675"/>
      <c r="N10" s="686"/>
    </row>
    <row r="11" spans="1:14">
      <c r="A11" s="1102" t="s">
        <v>1349</v>
      </c>
      <c r="B11" s="1102" t="s">
        <v>228</v>
      </c>
      <c r="C11" s="674">
        <v>450000</v>
      </c>
      <c r="D11" s="675">
        <v>27</v>
      </c>
      <c r="E11" s="675">
        <f t="shared" si="0"/>
        <v>12150000</v>
      </c>
      <c r="F11" s="675">
        <v>13</v>
      </c>
      <c r="G11" s="675">
        <f>C11*F11</f>
        <v>5850000</v>
      </c>
      <c r="H11" s="675">
        <v>13</v>
      </c>
      <c r="I11" s="675">
        <f>C11*H11</f>
        <v>5850000</v>
      </c>
      <c r="J11" s="675">
        <v>20</v>
      </c>
      <c r="K11" s="675">
        <f t="shared" ref="K11:K19" si="1">J11*C11</f>
        <v>9000000</v>
      </c>
      <c r="L11" s="675">
        <f t="shared" ref="L11:L21" si="2">E11+G11+I11+K11</f>
        <v>32850000</v>
      </c>
      <c r="M11" s="675">
        <v>20</v>
      </c>
      <c r="N11" s="675">
        <f t="shared" ref="N11:N19" si="3">M11*C11</f>
        <v>9000000</v>
      </c>
    </row>
    <row r="12" spans="1:14">
      <c r="A12" s="1102" t="s">
        <v>1404</v>
      </c>
      <c r="B12" s="1102" t="s">
        <v>11</v>
      </c>
      <c r="C12" s="674">
        <v>10000</v>
      </c>
      <c r="D12" s="675">
        <v>150</v>
      </c>
      <c r="E12" s="675">
        <f t="shared" si="0"/>
        <v>1500000</v>
      </c>
      <c r="F12" s="675">
        <v>850</v>
      </c>
      <c r="G12" s="675">
        <f t="shared" ref="G12:G19" si="4">F12*C12</f>
        <v>8500000</v>
      </c>
      <c r="H12" s="675">
        <v>1000</v>
      </c>
      <c r="I12" s="675">
        <f t="shared" ref="I12:I19" si="5">H12*C12</f>
        <v>10000000</v>
      </c>
      <c r="J12" s="675">
        <v>1200</v>
      </c>
      <c r="K12" s="675">
        <f t="shared" si="1"/>
        <v>12000000</v>
      </c>
      <c r="L12" s="675">
        <f t="shared" si="2"/>
        <v>32000000</v>
      </c>
      <c r="M12" s="675">
        <v>1200</v>
      </c>
      <c r="N12" s="675">
        <f t="shared" si="3"/>
        <v>12000000</v>
      </c>
    </row>
    <row r="13" spans="1:14">
      <c r="A13" s="1102" t="s">
        <v>1403</v>
      </c>
      <c r="B13" s="1102" t="s">
        <v>11</v>
      </c>
      <c r="C13" s="674">
        <v>3000</v>
      </c>
      <c r="D13" s="675">
        <v>870</v>
      </c>
      <c r="E13" s="675">
        <f t="shared" si="0"/>
        <v>2610000</v>
      </c>
      <c r="F13" s="675">
        <v>800</v>
      </c>
      <c r="G13" s="675">
        <f t="shared" si="4"/>
        <v>2400000</v>
      </c>
      <c r="H13" s="675">
        <v>950</v>
      </c>
      <c r="I13" s="675">
        <f t="shared" si="5"/>
        <v>2850000</v>
      </c>
      <c r="J13" s="675">
        <v>1000</v>
      </c>
      <c r="K13" s="675">
        <f t="shared" si="1"/>
        <v>3000000</v>
      </c>
      <c r="L13" s="675">
        <f t="shared" si="2"/>
        <v>10860000</v>
      </c>
      <c r="M13" s="675">
        <v>1000</v>
      </c>
      <c r="N13" s="675">
        <f t="shared" si="3"/>
        <v>3000000</v>
      </c>
    </row>
    <row r="14" spans="1:14">
      <c r="A14" s="1102" t="s">
        <v>1402</v>
      </c>
      <c r="B14" s="1102" t="s">
        <v>11</v>
      </c>
      <c r="C14" s="674">
        <v>15000</v>
      </c>
      <c r="D14" s="675">
        <v>85</v>
      </c>
      <c r="E14" s="675">
        <f t="shared" si="0"/>
        <v>1275000</v>
      </c>
      <c r="F14" s="675">
        <v>215</v>
      </c>
      <c r="G14" s="675">
        <f t="shared" si="4"/>
        <v>3225000</v>
      </c>
      <c r="H14" s="675">
        <v>255</v>
      </c>
      <c r="I14" s="675">
        <f t="shared" si="5"/>
        <v>3825000</v>
      </c>
      <c r="J14" s="675">
        <v>305</v>
      </c>
      <c r="K14" s="675">
        <f t="shared" si="1"/>
        <v>4575000</v>
      </c>
      <c r="L14" s="675">
        <f t="shared" si="2"/>
        <v>12900000</v>
      </c>
      <c r="M14" s="675">
        <v>305</v>
      </c>
      <c r="N14" s="675">
        <f t="shared" si="3"/>
        <v>4575000</v>
      </c>
    </row>
    <row r="15" spans="1:14">
      <c r="A15" s="1102" t="s">
        <v>1401</v>
      </c>
      <c r="B15" s="1102" t="s">
        <v>11</v>
      </c>
      <c r="C15" s="674">
        <v>25000</v>
      </c>
      <c r="D15" s="675">
        <v>30</v>
      </c>
      <c r="E15" s="675">
        <f t="shared" si="0"/>
        <v>750000</v>
      </c>
      <c r="F15" s="675"/>
      <c r="G15" s="675">
        <f t="shared" si="4"/>
        <v>0</v>
      </c>
      <c r="H15" s="675"/>
      <c r="I15" s="675">
        <f t="shared" si="5"/>
        <v>0</v>
      </c>
      <c r="J15" s="675"/>
      <c r="K15" s="675">
        <f t="shared" si="1"/>
        <v>0</v>
      </c>
      <c r="L15" s="675">
        <f t="shared" si="2"/>
        <v>750000</v>
      </c>
      <c r="M15" s="675"/>
      <c r="N15" s="675">
        <f t="shared" si="3"/>
        <v>0</v>
      </c>
    </row>
    <row r="16" spans="1:14">
      <c r="A16" s="1102" t="s">
        <v>1400</v>
      </c>
      <c r="B16" s="1102" t="s">
        <v>513</v>
      </c>
      <c r="C16" s="674">
        <v>250000</v>
      </c>
      <c r="D16" s="675">
        <v>4</v>
      </c>
      <c r="E16" s="675">
        <f t="shared" si="0"/>
        <v>1000000</v>
      </c>
      <c r="F16" s="675">
        <v>6</v>
      </c>
      <c r="G16" s="675">
        <f t="shared" si="4"/>
        <v>1500000</v>
      </c>
      <c r="H16" s="675">
        <v>8</v>
      </c>
      <c r="I16" s="675">
        <f t="shared" si="5"/>
        <v>2000000</v>
      </c>
      <c r="J16" s="675">
        <v>8</v>
      </c>
      <c r="K16" s="675">
        <f t="shared" si="1"/>
        <v>2000000</v>
      </c>
      <c r="L16" s="675">
        <f t="shared" si="2"/>
        <v>6500000</v>
      </c>
      <c r="M16" s="675">
        <v>8</v>
      </c>
      <c r="N16" s="675">
        <f t="shared" si="3"/>
        <v>2000000</v>
      </c>
    </row>
    <row r="17" spans="1:14">
      <c r="A17" s="1102" t="s">
        <v>1399</v>
      </c>
      <c r="B17" s="1102" t="s">
        <v>1287</v>
      </c>
      <c r="C17" s="674">
        <v>15000</v>
      </c>
      <c r="D17" s="675">
        <v>200</v>
      </c>
      <c r="E17" s="675">
        <f t="shared" si="0"/>
        <v>3000000</v>
      </c>
      <c r="F17" s="675"/>
      <c r="G17" s="675">
        <f t="shared" si="4"/>
        <v>0</v>
      </c>
      <c r="H17" s="675"/>
      <c r="I17" s="675">
        <f t="shared" si="5"/>
        <v>0</v>
      </c>
      <c r="J17" s="675"/>
      <c r="K17" s="675">
        <f t="shared" si="1"/>
        <v>0</v>
      </c>
      <c r="L17" s="675">
        <f t="shared" si="2"/>
        <v>3000000</v>
      </c>
      <c r="M17" s="675"/>
      <c r="N17" s="675">
        <f t="shared" si="3"/>
        <v>0</v>
      </c>
    </row>
    <row r="18" spans="1:14">
      <c r="A18" s="1102" t="s">
        <v>1398</v>
      </c>
      <c r="B18" s="1102" t="s">
        <v>1397</v>
      </c>
      <c r="C18" s="674">
        <v>70000</v>
      </c>
      <c r="D18" s="675">
        <v>18</v>
      </c>
      <c r="E18" s="675">
        <f t="shared" si="0"/>
        <v>1260000</v>
      </c>
      <c r="F18" s="675">
        <v>30</v>
      </c>
      <c r="G18" s="675">
        <f t="shared" si="4"/>
        <v>2100000</v>
      </c>
      <c r="H18" s="675">
        <v>30</v>
      </c>
      <c r="I18" s="675">
        <f t="shared" si="5"/>
        <v>2100000</v>
      </c>
      <c r="J18" s="675">
        <v>30</v>
      </c>
      <c r="K18" s="675">
        <f t="shared" si="1"/>
        <v>2100000</v>
      </c>
      <c r="L18" s="675">
        <f t="shared" si="2"/>
        <v>7560000</v>
      </c>
      <c r="M18" s="675">
        <v>30</v>
      </c>
      <c r="N18" s="675">
        <f t="shared" si="3"/>
        <v>2100000</v>
      </c>
    </row>
    <row r="19" spans="1:14">
      <c r="A19" s="1102" t="s">
        <v>1396</v>
      </c>
      <c r="B19" s="1102" t="s">
        <v>511</v>
      </c>
      <c r="C19" s="674">
        <v>150000</v>
      </c>
      <c r="D19" s="675">
        <v>430</v>
      </c>
      <c r="E19" s="675">
        <f t="shared" si="0"/>
        <v>64500000</v>
      </c>
      <c r="F19" s="675">
        <v>304</v>
      </c>
      <c r="G19" s="675">
        <f t="shared" si="4"/>
        <v>45600000</v>
      </c>
      <c r="H19" s="675">
        <v>290</v>
      </c>
      <c r="I19" s="675">
        <f t="shared" si="5"/>
        <v>43500000</v>
      </c>
      <c r="J19" s="675">
        <v>280</v>
      </c>
      <c r="K19" s="675">
        <f t="shared" si="1"/>
        <v>42000000</v>
      </c>
      <c r="L19" s="675">
        <f t="shared" si="2"/>
        <v>195600000</v>
      </c>
      <c r="M19" s="675">
        <v>280</v>
      </c>
      <c r="N19" s="675">
        <f t="shared" si="3"/>
        <v>42000000</v>
      </c>
    </row>
    <row r="20" spans="1:14" s="1625" customFormat="1">
      <c r="A20" s="1102" t="s">
        <v>1344</v>
      </c>
      <c r="B20" s="1102"/>
      <c r="C20" s="670"/>
      <c r="D20" s="691"/>
      <c r="E20" s="691">
        <f>SUM(E9:E19)</f>
        <v>113045000</v>
      </c>
      <c r="F20" s="691"/>
      <c r="G20" s="691">
        <f>SUM(G9:G19)</f>
        <v>71475000</v>
      </c>
      <c r="H20" s="691"/>
      <c r="I20" s="691">
        <f>SUM(I9:I19)</f>
        <v>72275000</v>
      </c>
      <c r="J20" s="691"/>
      <c r="K20" s="691">
        <f>SUM(K9:K19)</f>
        <v>74675000</v>
      </c>
      <c r="L20" s="691">
        <f t="shared" si="2"/>
        <v>331470000</v>
      </c>
      <c r="M20" s="691"/>
      <c r="N20" s="691">
        <f>SUM(N11:N19)</f>
        <v>74675000</v>
      </c>
    </row>
    <row r="21" spans="1:14">
      <c r="A21" s="1102" t="s">
        <v>1395</v>
      </c>
      <c r="B21" s="1102" t="s">
        <v>202</v>
      </c>
      <c r="C21" s="674"/>
      <c r="D21" s="675"/>
      <c r="E21" s="675">
        <f>80000000*1%*12</f>
        <v>9600000</v>
      </c>
      <c r="F21" s="675"/>
      <c r="G21" s="675">
        <f>120000000*1%*12</f>
        <v>14400000</v>
      </c>
      <c r="H21" s="675"/>
      <c r="I21" s="675">
        <f>160000000*1%*12</f>
        <v>19200000</v>
      </c>
      <c r="J21" s="675"/>
      <c r="K21" s="675">
        <f>200000000*1%*12</f>
        <v>24000000</v>
      </c>
      <c r="L21" s="675">
        <f t="shared" si="2"/>
        <v>67200000</v>
      </c>
      <c r="M21" s="675"/>
      <c r="N21" s="675">
        <f>70000000*0.8%*12</f>
        <v>6720000</v>
      </c>
    </row>
    <row r="22" spans="1:14" s="1625" customFormat="1">
      <c r="A22" s="1102" t="s">
        <v>1341</v>
      </c>
      <c r="B22" s="1102"/>
      <c r="C22" s="670"/>
      <c r="D22" s="691"/>
      <c r="E22" s="691"/>
      <c r="F22" s="691"/>
      <c r="G22" s="691"/>
      <c r="H22" s="691"/>
      <c r="I22" s="691"/>
      <c r="J22" s="691"/>
      <c r="K22" s="691"/>
      <c r="L22" s="691"/>
      <c r="M22" s="691"/>
      <c r="N22" s="691">
        <f>N24</f>
        <v>154000000</v>
      </c>
    </row>
    <row r="23" spans="1:14">
      <c r="A23" s="1102" t="s">
        <v>1340</v>
      </c>
      <c r="B23" s="1102" t="s">
        <v>11</v>
      </c>
      <c r="C23" s="674"/>
      <c r="D23" s="675"/>
      <c r="E23" s="675"/>
      <c r="F23" s="675"/>
      <c r="G23" s="675"/>
      <c r="H23" s="675"/>
      <c r="I23" s="675"/>
      <c r="J23" s="675">
        <v>8000</v>
      </c>
      <c r="K23" s="675"/>
      <c r="L23" s="675"/>
      <c r="M23" s="675">
        <v>22000</v>
      </c>
      <c r="N23" s="675"/>
    </row>
    <row r="24" spans="1:14">
      <c r="A24" s="1102" t="s">
        <v>1365</v>
      </c>
      <c r="B24" s="1102" t="s">
        <v>202</v>
      </c>
      <c r="C24" s="674">
        <v>7000</v>
      </c>
      <c r="D24" s="675"/>
      <c r="E24" s="675"/>
      <c r="F24" s="675"/>
      <c r="G24" s="675"/>
      <c r="H24" s="675"/>
      <c r="I24" s="675"/>
      <c r="J24" s="675"/>
      <c r="K24" s="675">
        <f>J23*C24</f>
        <v>56000000</v>
      </c>
      <c r="L24" s="675"/>
      <c r="M24" s="675">
        <f>M23</f>
        <v>22000</v>
      </c>
      <c r="N24" s="675">
        <f>M24*C24</f>
        <v>154000000</v>
      </c>
    </row>
    <row r="25" spans="1:14" s="1625" customFormat="1">
      <c r="A25" s="1102" t="s">
        <v>1337</v>
      </c>
      <c r="B25" s="1102"/>
      <c r="C25" s="670"/>
      <c r="D25" s="691"/>
      <c r="E25" s="691"/>
      <c r="F25" s="691"/>
      <c r="G25" s="691"/>
      <c r="H25" s="691"/>
      <c r="I25" s="691"/>
      <c r="J25" s="691"/>
      <c r="K25" s="691"/>
      <c r="L25" s="691"/>
      <c r="M25" s="691"/>
      <c r="N25" s="691">
        <f>N22-N8</f>
        <v>72605000</v>
      </c>
    </row>
    <row r="26" spans="1:14">
      <c r="A26" s="1102" t="s">
        <v>1269</v>
      </c>
      <c r="B26" s="1102" t="s">
        <v>90</v>
      </c>
      <c r="C26" s="670"/>
      <c r="D26" s="2208"/>
      <c r="E26" s="2208"/>
      <c r="F26" s="2208"/>
      <c r="G26" s="2208"/>
      <c r="H26" s="2208"/>
      <c r="I26" s="2208"/>
      <c r="J26" s="2208"/>
      <c r="K26" s="2209"/>
      <c r="L26" s="2209"/>
      <c r="M26" s="2209"/>
      <c r="N26" s="2209">
        <f>N25/N22</f>
        <v>0.47146103896103897</v>
      </c>
    </row>
    <row r="27" spans="1:14">
      <c r="A27" s="525" t="s">
        <v>1268</v>
      </c>
    </row>
    <row r="28" spans="1:14">
      <c r="A28" s="525" t="s">
        <v>1394</v>
      </c>
    </row>
    <row r="29" spans="1:14">
      <c r="A29" s="525" t="s">
        <v>1393</v>
      </c>
    </row>
    <row r="30" spans="1:14">
      <c r="A30" s="525" t="s">
        <v>1392</v>
      </c>
    </row>
  </sheetData>
  <mergeCells count="9">
    <mergeCell ref="A3:N3"/>
    <mergeCell ref="D5:E5"/>
    <mergeCell ref="F5:K5"/>
    <mergeCell ref="M5:N5"/>
    <mergeCell ref="D6:E6"/>
    <mergeCell ref="F6:G6"/>
    <mergeCell ref="H6:I6"/>
    <mergeCell ref="J6:K6"/>
    <mergeCell ref="M6:N6"/>
  </mergeCells>
  <pageMargins left="0.75" right="0.75" top="1" bottom="1" header="0.5" footer="0.5"/>
  <pageSetup paperSize="9" orientation="portrait" verticalDpi="0" r:id="rId1"/>
  <headerFooter alignWithMargins="0"/>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O57"/>
  <sheetViews>
    <sheetView zoomScaleNormal="100" workbookViewId="0">
      <selection activeCell="C2" sqref="C2"/>
    </sheetView>
  </sheetViews>
  <sheetFormatPr defaultColWidth="9.140625" defaultRowHeight="16.5"/>
  <cols>
    <col min="1" max="1" width="4.5703125" style="1121" customWidth="1"/>
    <col min="2" max="2" width="26.28515625" style="1121" customWidth="1"/>
    <col min="3" max="3" width="8.5703125" style="1121" customWidth="1"/>
    <col min="4" max="4" width="12.140625" style="1121" customWidth="1"/>
    <col min="5" max="5" width="15.85546875" style="1121" bestFit="1" customWidth="1"/>
    <col min="6" max="8" width="15.5703125" style="1121" customWidth="1"/>
    <col min="9" max="9" width="12.42578125" style="1121" bestFit="1" customWidth="1"/>
    <col min="10" max="10" width="6.85546875" style="1121" hidden="1" customWidth="1"/>
    <col min="11" max="11" width="15.28515625" style="1121" customWidth="1"/>
    <col min="12" max="12" width="12.42578125" style="1121" bestFit="1" customWidth="1"/>
    <col min="13" max="14" width="9.140625" style="1121"/>
    <col min="15" max="15" width="12.7109375" style="1121" bestFit="1" customWidth="1"/>
    <col min="16" max="16384" width="9.140625" style="1121"/>
  </cols>
  <sheetData>
    <row r="1" spans="1:15">
      <c r="C1" s="1121" t="s">
        <v>2339</v>
      </c>
      <c r="G1" s="1389" t="s">
        <v>1020</v>
      </c>
    </row>
    <row r="4" spans="1:15">
      <c r="A4" s="2763" t="s">
        <v>2122</v>
      </c>
      <c r="B4" s="2763"/>
      <c r="C4" s="1224" t="s">
        <v>2121</v>
      </c>
      <c r="D4" s="1224"/>
      <c r="E4" s="1224"/>
      <c r="F4" s="1226"/>
      <c r="G4" s="1226"/>
      <c r="H4" s="1226"/>
    </row>
    <row r="5" spans="1:15">
      <c r="A5" s="1224" t="s">
        <v>2120</v>
      </c>
      <c r="B5" s="1224"/>
      <c r="C5" s="1224"/>
      <c r="D5" s="1224"/>
      <c r="E5" s="1223"/>
      <c r="F5" s="1145" t="s">
        <v>2119</v>
      </c>
      <c r="G5" s="1225">
        <v>5</v>
      </c>
      <c r="H5" s="1145"/>
    </row>
    <row r="6" spans="1:15">
      <c r="A6" s="1145"/>
      <c r="B6" s="1224"/>
      <c r="C6" s="1224"/>
      <c r="D6" s="1224"/>
      <c r="E6" s="1223"/>
      <c r="F6" s="1145" t="s">
        <v>2118</v>
      </c>
      <c r="G6" s="1222">
        <v>1.2</v>
      </c>
      <c r="H6" s="1145"/>
    </row>
    <row r="7" spans="1:15" s="1200" customFormat="1">
      <c r="A7" s="1162" t="s">
        <v>97</v>
      </c>
      <c r="B7" s="1162" t="s">
        <v>224</v>
      </c>
      <c r="C7" s="1162" t="s">
        <v>100</v>
      </c>
      <c r="D7" s="1162" t="s">
        <v>1</v>
      </c>
      <c r="E7" s="1162" t="s">
        <v>3</v>
      </c>
      <c r="F7" s="2761" t="s">
        <v>4</v>
      </c>
      <c r="G7" s="2762"/>
      <c r="H7" s="1162" t="s">
        <v>253</v>
      </c>
    </row>
    <row r="8" spans="1:15" s="1200" customFormat="1">
      <c r="A8" s="1162"/>
      <c r="B8" s="1162" t="s">
        <v>677</v>
      </c>
      <c r="C8" s="1221"/>
      <c r="D8" s="1162"/>
      <c r="E8" s="1162"/>
      <c r="F8" s="1162" t="s">
        <v>1035</v>
      </c>
      <c r="G8" s="1162" t="s">
        <v>1034</v>
      </c>
      <c r="H8" s="1162"/>
    </row>
    <row r="9" spans="1:15" s="1200" customFormat="1">
      <c r="A9" s="1162" t="s">
        <v>109</v>
      </c>
      <c r="B9" s="1166" t="s">
        <v>2117</v>
      </c>
      <c r="C9" s="1220"/>
      <c r="D9" s="1219"/>
      <c r="E9" s="1219"/>
      <c r="F9" s="1218">
        <f>SUM(F10:F19)</f>
        <v>530320000</v>
      </c>
      <c r="G9" s="1162"/>
      <c r="H9" s="1162"/>
      <c r="J9" s="1202"/>
    </row>
    <row r="10" spans="1:15" s="1200" customFormat="1">
      <c r="A10" s="1154">
        <v>1</v>
      </c>
      <c r="B10" s="1217" t="s">
        <v>2116</v>
      </c>
      <c r="C10" s="1216" t="s">
        <v>244</v>
      </c>
      <c r="D10" s="1153">
        <v>2</v>
      </c>
      <c r="E10" s="1215">
        <v>25000000</v>
      </c>
      <c r="F10" s="1214">
        <f>D10*E10</f>
        <v>50000000</v>
      </c>
      <c r="G10" s="1156"/>
      <c r="H10" s="1156"/>
      <c r="J10" s="1202"/>
      <c r="L10" s="1145"/>
      <c r="N10" s="1121"/>
    </row>
    <row r="11" spans="1:15" s="1200" customFormat="1">
      <c r="A11" s="1135">
        <v>2</v>
      </c>
      <c r="B11" s="1213" t="s">
        <v>2115</v>
      </c>
      <c r="C11" s="1212" t="s">
        <v>1012</v>
      </c>
      <c r="D11" s="1211">
        <v>110</v>
      </c>
      <c r="E11" s="1210">
        <v>741000</v>
      </c>
      <c r="F11" s="1138">
        <f>D11*E11*2</f>
        <v>163020000</v>
      </c>
      <c r="G11" s="1137"/>
      <c r="H11" s="1137"/>
      <c r="J11" s="1202"/>
      <c r="L11" s="1145"/>
      <c r="N11" s="1121"/>
    </row>
    <row r="12" spans="1:15" s="1200" customFormat="1">
      <c r="A12" s="1135">
        <v>3</v>
      </c>
      <c r="B12" s="1213" t="s">
        <v>2114</v>
      </c>
      <c r="C12" s="1212" t="s">
        <v>248</v>
      </c>
      <c r="D12" s="1211">
        <v>20</v>
      </c>
      <c r="E12" s="1210">
        <v>3500000</v>
      </c>
      <c r="F12" s="1138">
        <f t="shared" ref="F12:F19" si="0">D12*E12</f>
        <v>70000000</v>
      </c>
      <c r="G12" s="1137"/>
      <c r="H12" s="1137"/>
      <c r="J12" s="1202"/>
      <c r="L12" s="1145"/>
      <c r="N12" s="1121"/>
    </row>
    <row r="13" spans="1:15" s="1200" customFormat="1">
      <c r="A13" s="1135">
        <v>4</v>
      </c>
      <c r="B13" s="1130" t="s">
        <v>2113</v>
      </c>
      <c r="C13" s="1212" t="s">
        <v>2112</v>
      </c>
      <c r="D13" s="1211">
        <v>3</v>
      </c>
      <c r="E13" s="1210">
        <v>18000000</v>
      </c>
      <c r="F13" s="1138">
        <f t="shared" si="0"/>
        <v>54000000</v>
      </c>
      <c r="G13" s="1137"/>
      <c r="H13" s="1137"/>
      <c r="J13" s="1202"/>
      <c r="L13" s="1145"/>
      <c r="N13" s="1121"/>
    </row>
    <row r="14" spans="1:15" s="1200" customFormat="1">
      <c r="A14" s="1135">
        <v>5</v>
      </c>
      <c r="B14" s="1130" t="s">
        <v>2111</v>
      </c>
      <c r="C14" s="1212" t="s">
        <v>1012</v>
      </c>
      <c r="D14" s="1211">
        <v>700</v>
      </c>
      <c r="E14" s="1210">
        <v>139000</v>
      </c>
      <c r="F14" s="1138">
        <f t="shared" si="0"/>
        <v>97300000</v>
      </c>
      <c r="G14" s="1137"/>
      <c r="H14" s="1137"/>
      <c r="J14" s="1202"/>
      <c r="K14" s="1201"/>
      <c r="L14" s="1201"/>
    </row>
    <row r="15" spans="1:15" s="1200" customFormat="1">
      <c r="A15" s="1135">
        <v>6</v>
      </c>
      <c r="B15" s="1130" t="s">
        <v>2110</v>
      </c>
      <c r="C15" s="1212" t="s">
        <v>108</v>
      </c>
      <c r="D15" s="1211">
        <v>0</v>
      </c>
      <c r="E15" s="1210">
        <v>120000000</v>
      </c>
      <c r="F15" s="1138">
        <f t="shared" si="0"/>
        <v>0</v>
      </c>
      <c r="G15" s="1137"/>
      <c r="H15" s="1137"/>
      <c r="J15" s="1202"/>
      <c r="K15" s="1201"/>
      <c r="L15" s="1201"/>
    </row>
    <row r="16" spans="1:15" s="1200" customFormat="1">
      <c r="A16" s="1135">
        <v>7</v>
      </c>
      <c r="B16" s="1130" t="s">
        <v>2109</v>
      </c>
      <c r="C16" s="1212" t="s">
        <v>228</v>
      </c>
      <c r="D16" s="1211">
        <v>120</v>
      </c>
      <c r="E16" s="1210">
        <v>800000</v>
      </c>
      <c r="F16" s="1138">
        <f t="shared" si="0"/>
        <v>96000000</v>
      </c>
      <c r="G16" s="1137"/>
      <c r="H16" s="1137"/>
      <c r="J16" s="1202"/>
      <c r="K16" s="1201"/>
      <c r="L16" s="1201"/>
      <c r="O16" s="1149">
        <v>6000000</v>
      </c>
    </row>
    <row r="17" spans="1:15" s="1200" customFormat="1">
      <c r="A17" s="1135">
        <v>8</v>
      </c>
      <c r="B17" s="1130" t="s">
        <v>2108</v>
      </c>
      <c r="C17" s="1212" t="s">
        <v>5</v>
      </c>
      <c r="D17" s="1211">
        <v>0</v>
      </c>
      <c r="E17" s="1210">
        <v>2342000</v>
      </c>
      <c r="F17" s="1138">
        <f t="shared" si="0"/>
        <v>0</v>
      </c>
      <c r="G17" s="1137"/>
      <c r="H17" s="1137"/>
      <c r="J17" s="1202"/>
      <c r="K17" s="1201"/>
      <c r="L17" s="1201"/>
      <c r="O17" s="1130">
        <v>5100000</v>
      </c>
    </row>
    <row r="18" spans="1:15" s="1200" customFormat="1">
      <c r="A18" s="1135">
        <v>9</v>
      </c>
      <c r="B18" s="1130" t="s">
        <v>2107</v>
      </c>
      <c r="C18" s="1212" t="s">
        <v>5</v>
      </c>
      <c r="D18" s="1211">
        <v>0</v>
      </c>
      <c r="E18" s="1210">
        <v>165000</v>
      </c>
      <c r="F18" s="1138">
        <f t="shared" si="0"/>
        <v>0</v>
      </c>
      <c r="G18" s="1137"/>
      <c r="H18" s="1137"/>
      <c r="J18" s="1202"/>
      <c r="K18" s="1191"/>
      <c r="L18" s="1201"/>
      <c r="O18" s="1130">
        <v>1250000</v>
      </c>
    </row>
    <row r="19" spans="1:15" s="1200" customFormat="1">
      <c r="A19" s="1127">
        <v>10</v>
      </c>
      <c r="B19" s="1122" t="s">
        <v>2106</v>
      </c>
      <c r="C19" s="1209" t="s">
        <v>1012</v>
      </c>
      <c r="D19" s="1148">
        <v>0</v>
      </c>
      <c r="E19" s="1208">
        <v>157000</v>
      </c>
      <c r="F19" s="1207">
        <f t="shared" si="0"/>
        <v>0</v>
      </c>
      <c r="G19" s="1129"/>
      <c r="H19" s="1129"/>
      <c r="J19" s="1202"/>
      <c r="K19" s="1191"/>
      <c r="L19" s="1201"/>
      <c r="O19" s="1130">
        <v>1925000</v>
      </c>
    </row>
    <row r="20" spans="1:15">
      <c r="A20" s="1162" t="s">
        <v>116</v>
      </c>
      <c r="B20" s="1161" t="s">
        <v>2105</v>
      </c>
      <c r="C20" s="1206"/>
      <c r="D20" s="1205"/>
      <c r="E20" s="1204"/>
      <c r="F20" s="1164">
        <f>F21+F32</f>
        <v>526073000</v>
      </c>
      <c r="G20" s="1164">
        <f>G21+G32</f>
        <v>526073000</v>
      </c>
      <c r="H20" s="1164">
        <f>H21+H32</f>
        <v>1052146000</v>
      </c>
      <c r="J20" s="1145"/>
      <c r="K20" s="1189" t="s">
        <v>2100</v>
      </c>
      <c r="L20" s="1188"/>
      <c r="O20" s="1130">
        <v>3200000</v>
      </c>
    </row>
    <row r="21" spans="1:15" s="1200" customFormat="1">
      <c r="A21" s="1162" t="s">
        <v>480</v>
      </c>
      <c r="B21" s="1166" t="s">
        <v>2104</v>
      </c>
      <c r="C21" s="1162" t="s">
        <v>540</v>
      </c>
      <c r="D21" s="1203">
        <f>G5</f>
        <v>5</v>
      </c>
      <c r="E21" s="1163"/>
      <c r="F21" s="1163">
        <f>SUM(F22:F31)</f>
        <v>366125000</v>
      </c>
      <c r="G21" s="1163">
        <f>SUM(G22:G31)</f>
        <v>366125000</v>
      </c>
      <c r="H21" s="1163">
        <f t="shared" ref="H21:H31" si="1">SUM(F21:G21)</f>
        <v>732250000</v>
      </c>
      <c r="I21" s="1202"/>
      <c r="K21" s="1191">
        <f>F21/G5</f>
        <v>73225000</v>
      </c>
      <c r="L21" s="1201"/>
      <c r="O21" s="1130">
        <v>2500000</v>
      </c>
    </row>
    <row r="22" spans="1:15">
      <c r="A22" s="1154">
        <v>1</v>
      </c>
      <c r="B22" s="1197" t="s">
        <v>2103</v>
      </c>
      <c r="C22" s="1199" t="s">
        <v>228</v>
      </c>
      <c r="D22" s="1198">
        <v>10</v>
      </c>
      <c r="E22" s="1197">
        <v>600000</v>
      </c>
      <c r="F22" s="1149">
        <f>D22*E22*G5</f>
        <v>30000000</v>
      </c>
      <c r="G22" s="1149">
        <f t="shared" ref="G22:G31" si="2">F22</f>
        <v>30000000</v>
      </c>
      <c r="H22" s="1149">
        <f t="shared" si="1"/>
        <v>60000000</v>
      </c>
      <c r="I22" s="1145"/>
      <c r="K22" s="1189"/>
      <c r="L22" s="1188"/>
      <c r="O22" s="1130">
        <v>1750000</v>
      </c>
    </row>
    <row r="23" spans="1:15">
      <c r="A23" s="1135">
        <v>2</v>
      </c>
      <c r="B23" s="1187" t="s">
        <v>2096</v>
      </c>
      <c r="C23" s="1135" t="s">
        <v>829</v>
      </c>
      <c r="D23" s="1195">
        <v>500</v>
      </c>
      <c r="E23" s="1187">
        <v>10200</v>
      </c>
      <c r="F23" s="1130">
        <f>D23*E23*G5</f>
        <v>25500000</v>
      </c>
      <c r="G23" s="1130">
        <f t="shared" si="2"/>
        <v>25500000</v>
      </c>
      <c r="H23" s="1130">
        <f t="shared" si="1"/>
        <v>51000000</v>
      </c>
      <c r="K23" s="1189"/>
      <c r="L23" s="1188"/>
      <c r="O23" s="1130">
        <v>8000000</v>
      </c>
    </row>
    <row r="24" spans="1:15">
      <c r="A24" s="1135">
        <v>3</v>
      </c>
      <c r="B24" s="1187" t="s">
        <v>1053</v>
      </c>
      <c r="C24" s="1135" t="s">
        <v>829</v>
      </c>
      <c r="D24" s="1195">
        <v>250</v>
      </c>
      <c r="E24" s="1187">
        <v>5000</v>
      </c>
      <c r="F24" s="1130">
        <f>D24*E24*G5</f>
        <v>6250000</v>
      </c>
      <c r="G24" s="1130">
        <f t="shared" si="2"/>
        <v>6250000</v>
      </c>
      <c r="H24" s="1130">
        <f t="shared" si="1"/>
        <v>12500000</v>
      </c>
      <c r="I24" s="1145"/>
      <c r="K24" s="1189"/>
      <c r="L24" s="1188"/>
      <c r="O24" s="1130">
        <v>40500000</v>
      </c>
    </row>
    <row r="25" spans="1:15">
      <c r="A25" s="1135">
        <v>4</v>
      </c>
      <c r="B25" s="1187" t="s">
        <v>1052</v>
      </c>
      <c r="C25" s="1135" t="s">
        <v>829</v>
      </c>
      <c r="D25" s="1195">
        <v>550</v>
      </c>
      <c r="E25" s="1187">
        <v>3500</v>
      </c>
      <c r="F25" s="1130">
        <f>D25*E25*G5</f>
        <v>9625000</v>
      </c>
      <c r="G25" s="1130">
        <f t="shared" si="2"/>
        <v>9625000</v>
      </c>
      <c r="H25" s="1130">
        <f t="shared" si="1"/>
        <v>19250000</v>
      </c>
      <c r="K25" s="1189"/>
      <c r="L25" s="1188"/>
      <c r="O25" s="1122">
        <v>3000000</v>
      </c>
    </row>
    <row r="26" spans="1:15">
      <c r="A26" s="1135">
        <v>5</v>
      </c>
      <c r="B26" s="1187" t="s">
        <v>2095</v>
      </c>
      <c r="C26" s="1135" t="s">
        <v>829</v>
      </c>
      <c r="D26" s="1195">
        <v>400</v>
      </c>
      <c r="E26" s="1187">
        <v>8000</v>
      </c>
      <c r="F26" s="1130">
        <f>D26*E26*G5</f>
        <v>16000000</v>
      </c>
      <c r="G26" s="1130">
        <f t="shared" si="2"/>
        <v>16000000</v>
      </c>
      <c r="H26" s="1130">
        <f t="shared" si="1"/>
        <v>32000000</v>
      </c>
      <c r="K26" s="1189"/>
      <c r="L26" s="1188"/>
    </row>
    <row r="27" spans="1:15">
      <c r="A27" s="1135">
        <v>6</v>
      </c>
      <c r="B27" s="1187" t="s">
        <v>2102</v>
      </c>
      <c r="C27" s="1135" t="s">
        <v>829</v>
      </c>
      <c r="D27" s="1195">
        <v>25</v>
      </c>
      <c r="E27" s="1187">
        <v>100000</v>
      </c>
      <c r="F27" s="1130">
        <f>D27*E27*G5</f>
        <v>12500000</v>
      </c>
      <c r="G27" s="1130">
        <f t="shared" si="2"/>
        <v>12500000</v>
      </c>
      <c r="H27" s="1130">
        <f t="shared" si="1"/>
        <v>25000000</v>
      </c>
      <c r="K27" s="1189"/>
      <c r="L27" s="1188"/>
    </row>
    <row r="28" spans="1:15">
      <c r="A28" s="1135">
        <v>7</v>
      </c>
      <c r="B28" s="1187" t="s">
        <v>2101</v>
      </c>
      <c r="C28" s="1135" t="s">
        <v>829</v>
      </c>
      <c r="D28" s="1195">
        <v>5</v>
      </c>
      <c r="E28" s="1187">
        <v>350000</v>
      </c>
      <c r="F28" s="1130">
        <f>D28*E28*G5</f>
        <v>8750000</v>
      </c>
      <c r="G28" s="1130">
        <f t="shared" si="2"/>
        <v>8750000</v>
      </c>
      <c r="H28" s="1130">
        <f t="shared" si="1"/>
        <v>17500000</v>
      </c>
      <c r="K28" s="1189"/>
      <c r="L28" s="1188"/>
    </row>
    <row r="29" spans="1:15">
      <c r="A29" s="1135">
        <v>8</v>
      </c>
      <c r="B29" s="1187" t="s">
        <v>2090</v>
      </c>
      <c r="C29" s="1196" t="s">
        <v>2089</v>
      </c>
      <c r="D29" s="1195">
        <v>4</v>
      </c>
      <c r="E29" s="1187">
        <v>2000000</v>
      </c>
      <c r="F29" s="1130">
        <f>D29*E29*G5</f>
        <v>40000000</v>
      </c>
      <c r="G29" s="1130">
        <f t="shared" si="2"/>
        <v>40000000</v>
      </c>
      <c r="H29" s="1130">
        <f t="shared" si="1"/>
        <v>80000000</v>
      </c>
      <c r="K29" s="1189"/>
      <c r="L29" s="1188"/>
    </row>
    <row r="30" spans="1:15">
      <c r="A30" s="1135">
        <v>9</v>
      </c>
      <c r="B30" s="1187" t="s">
        <v>2093</v>
      </c>
      <c r="C30" s="1196" t="s">
        <v>511</v>
      </c>
      <c r="D30" s="1195">
        <v>270</v>
      </c>
      <c r="E30" s="1187">
        <v>150000</v>
      </c>
      <c r="F30" s="1130">
        <f>D30*E30*G5</f>
        <v>202500000</v>
      </c>
      <c r="G30" s="1130">
        <f t="shared" si="2"/>
        <v>202500000</v>
      </c>
      <c r="H30" s="1130">
        <f t="shared" si="1"/>
        <v>405000000</v>
      </c>
      <c r="K30" s="1189"/>
      <c r="L30" s="1188"/>
    </row>
    <row r="31" spans="1:15">
      <c r="A31" s="1127">
        <v>10</v>
      </c>
      <c r="B31" s="1192" t="s">
        <v>2088</v>
      </c>
      <c r="C31" s="1194" t="s">
        <v>202</v>
      </c>
      <c r="D31" s="1193">
        <f>D21</f>
        <v>5</v>
      </c>
      <c r="E31" s="1192">
        <v>3000000</v>
      </c>
      <c r="F31" s="1122">
        <f>D31*E31</f>
        <v>15000000</v>
      </c>
      <c r="G31" s="1122">
        <f t="shared" si="2"/>
        <v>15000000</v>
      </c>
      <c r="H31" s="1122">
        <f t="shared" si="1"/>
        <v>30000000</v>
      </c>
      <c r="K31" s="1189" t="s">
        <v>2100</v>
      </c>
      <c r="L31" s="1188"/>
    </row>
    <row r="32" spans="1:15">
      <c r="A32" s="1162" t="s">
        <v>485</v>
      </c>
      <c r="B32" s="1166" t="s">
        <v>2099</v>
      </c>
      <c r="C32" s="1162" t="s">
        <v>2098</v>
      </c>
      <c r="D32" s="1164">
        <f>G6*2000</f>
        <v>2400</v>
      </c>
      <c r="E32" s="1163"/>
      <c r="F32" s="1163">
        <f>SUM(F33:F43)</f>
        <v>159948000</v>
      </c>
      <c r="G32" s="1163">
        <f>SUM(G33:G43)</f>
        <v>159948000</v>
      </c>
      <c r="H32" s="1163">
        <f>F32+G32</f>
        <v>319896000</v>
      </c>
      <c r="K32" s="1191">
        <f>F32/G6</f>
        <v>133290000</v>
      </c>
      <c r="L32" s="1188"/>
    </row>
    <row r="33" spans="1:12">
      <c r="A33" s="1154">
        <v>1</v>
      </c>
      <c r="B33" s="1149" t="s">
        <v>2097</v>
      </c>
      <c r="C33" s="1154" t="s">
        <v>228</v>
      </c>
      <c r="D33" s="1190">
        <v>30</v>
      </c>
      <c r="E33" s="1149">
        <v>600000</v>
      </c>
      <c r="F33" s="1149">
        <f>E33*D33*G6</f>
        <v>21600000</v>
      </c>
      <c r="G33" s="1149">
        <f t="shared" ref="G33:G43" si="3">F33</f>
        <v>21600000</v>
      </c>
      <c r="H33" s="1149">
        <f t="shared" ref="H33:H43" si="4">SUM(F33:G33)</f>
        <v>43200000</v>
      </c>
      <c r="K33" s="1189"/>
      <c r="L33" s="1188"/>
    </row>
    <row r="34" spans="1:12">
      <c r="A34" s="1135">
        <v>2</v>
      </c>
      <c r="B34" s="1130" t="s">
        <v>2096</v>
      </c>
      <c r="C34" s="1135" t="s">
        <v>829</v>
      </c>
      <c r="D34" s="1186">
        <v>450</v>
      </c>
      <c r="E34" s="1187">
        <v>10200</v>
      </c>
      <c r="F34" s="1130">
        <f>E34*D34*G6</f>
        <v>5508000</v>
      </c>
      <c r="G34" s="1130">
        <f t="shared" si="3"/>
        <v>5508000</v>
      </c>
      <c r="H34" s="1130">
        <f t="shared" si="4"/>
        <v>11016000</v>
      </c>
      <c r="K34" s="1189"/>
      <c r="L34" s="1188"/>
    </row>
    <row r="35" spans="1:12">
      <c r="A35" s="1135">
        <v>3</v>
      </c>
      <c r="B35" s="1187" t="s">
        <v>2095</v>
      </c>
      <c r="C35" s="1135" t="s">
        <v>829</v>
      </c>
      <c r="D35" s="1186">
        <v>700</v>
      </c>
      <c r="E35" s="1187">
        <v>8000</v>
      </c>
      <c r="F35" s="1130">
        <f>E35*D35*G6</f>
        <v>6720000</v>
      </c>
      <c r="G35" s="1130">
        <f t="shared" si="3"/>
        <v>6720000</v>
      </c>
      <c r="H35" s="1130">
        <f t="shared" si="4"/>
        <v>13440000</v>
      </c>
      <c r="K35" s="1189"/>
      <c r="L35" s="1188"/>
    </row>
    <row r="36" spans="1:12">
      <c r="A36" s="1135">
        <v>4</v>
      </c>
      <c r="B36" s="1187" t="s">
        <v>1052</v>
      </c>
      <c r="C36" s="1135" t="s">
        <v>829</v>
      </c>
      <c r="D36" s="1186">
        <v>1000</v>
      </c>
      <c r="E36" s="1187">
        <v>3500</v>
      </c>
      <c r="F36" s="1130">
        <f>E36*D36*G6</f>
        <v>4200000</v>
      </c>
      <c r="G36" s="1130">
        <f t="shared" si="3"/>
        <v>4200000</v>
      </c>
      <c r="H36" s="1130">
        <f t="shared" si="4"/>
        <v>8400000</v>
      </c>
    </row>
    <row r="37" spans="1:12">
      <c r="A37" s="1135">
        <v>5</v>
      </c>
      <c r="B37" s="1130" t="s">
        <v>2094</v>
      </c>
      <c r="C37" s="1135" t="s">
        <v>829</v>
      </c>
      <c r="D37" s="1186">
        <v>10</v>
      </c>
      <c r="E37" s="1130">
        <v>350000</v>
      </c>
      <c r="F37" s="1130">
        <f>E37*D37*G6</f>
        <v>4200000</v>
      </c>
      <c r="G37" s="1130">
        <f t="shared" si="3"/>
        <v>4200000</v>
      </c>
      <c r="H37" s="1130">
        <f t="shared" si="4"/>
        <v>8400000</v>
      </c>
    </row>
    <row r="38" spans="1:12">
      <c r="A38" s="1135">
        <v>6</v>
      </c>
      <c r="B38" s="1130" t="s">
        <v>2090</v>
      </c>
      <c r="C38" s="1135" t="s">
        <v>1397</v>
      </c>
      <c r="D38" s="1186">
        <v>180</v>
      </c>
      <c r="E38" s="1130">
        <v>70000</v>
      </c>
      <c r="F38" s="1130">
        <f>E38*D38*G6</f>
        <v>15120000</v>
      </c>
      <c r="G38" s="1130">
        <f t="shared" si="3"/>
        <v>15120000</v>
      </c>
      <c r="H38" s="1130">
        <f t="shared" si="4"/>
        <v>30240000</v>
      </c>
    </row>
    <row r="39" spans="1:12">
      <c r="A39" s="1135">
        <v>7</v>
      </c>
      <c r="B39" s="1130" t="s">
        <v>2093</v>
      </c>
      <c r="C39" s="1135" t="s">
        <v>511</v>
      </c>
      <c r="D39" s="1186">
        <v>470</v>
      </c>
      <c r="E39" s="1130">
        <v>150000</v>
      </c>
      <c r="F39" s="1130">
        <f>E39*D39*G6</f>
        <v>84600000</v>
      </c>
      <c r="G39" s="1130">
        <f t="shared" si="3"/>
        <v>84600000</v>
      </c>
      <c r="H39" s="1130">
        <f t="shared" si="4"/>
        <v>169200000</v>
      </c>
    </row>
    <row r="40" spans="1:12">
      <c r="A40" s="1135">
        <v>8</v>
      </c>
      <c r="B40" s="1130" t="s">
        <v>2092</v>
      </c>
      <c r="C40" s="1135" t="s">
        <v>228</v>
      </c>
      <c r="D40" s="1186">
        <v>40</v>
      </c>
      <c r="E40" s="1130">
        <v>100000</v>
      </c>
      <c r="F40" s="1130">
        <f>E40*D40*G6</f>
        <v>4800000</v>
      </c>
      <c r="G40" s="1130">
        <f t="shared" si="3"/>
        <v>4800000</v>
      </c>
      <c r="H40" s="1130">
        <f t="shared" si="4"/>
        <v>9600000</v>
      </c>
    </row>
    <row r="41" spans="1:12">
      <c r="A41" s="1135">
        <v>9</v>
      </c>
      <c r="B41" s="1130" t="s">
        <v>2091</v>
      </c>
      <c r="C41" s="1135" t="s">
        <v>829</v>
      </c>
      <c r="D41" s="1186">
        <v>1000</v>
      </c>
      <c r="E41" s="1130">
        <v>3000</v>
      </c>
      <c r="F41" s="1130">
        <f>D41*E41*G6</f>
        <v>3600000</v>
      </c>
      <c r="G41" s="1130">
        <f t="shared" si="3"/>
        <v>3600000</v>
      </c>
      <c r="H41" s="1130">
        <f t="shared" si="4"/>
        <v>7200000</v>
      </c>
    </row>
    <row r="42" spans="1:12">
      <c r="A42" s="1135">
        <v>10</v>
      </c>
      <c r="B42" s="1130" t="s">
        <v>2090</v>
      </c>
      <c r="C42" s="1135" t="s">
        <v>2089</v>
      </c>
      <c r="D42" s="1186">
        <v>30</v>
      </c>
      <c r="E42" s="1130">
        <v>150000</v>
      </c>
      <c r="F42" s="1130">
        <f>D42*E42*G6</f>
        <v>5400000</v>
      </c>
      <c r="G42" s="1130">
        <f t="shared" si="3"/>
        <v>5400000</v>
      </c>
      <c r="H42" s="1130">
        <f t="shared" si="4"/>
        <v>10800000</v>
      </c>
    </row>
    <row r="43" spans="1:12">
      <c r="A43" s="1127">
        <v>11</v>
      </c>
      <c r="B43" s="1122" t="s">
        <v>2088</v>
      </c>
      <c r="C43" s="1127" t="s">
        <v>202</v>
      </c>
      <c r="D43" s="1185">
        <f>G6</f>
        <v>1.2</v>
      </c>
      <c r="E43" s="1146">
        <v>3500000</v>
      </c>
      <c r="F43" s="1122">
        <f>E43*D43</f>
        <v>4200000</v>
      </c>
      <c r="G43" s="1122">
        <f t="shared" si="3"/>
        <v>4200000</v>
      </c>
      <c r="H43" s="1122">
        <f t="shared" si="4"/>
        <v>8400000</v>
      </c>
    </row>
    <row r="44" spans="1:12">
      <c r="A44" s="1170"/>
      <c r="B44" s="1167"/>
      <c r="C44" s="1170"/>
      <c r="D44" s="1184"/>
      <c r="E44" s="1168"/>
      <c r="F44" s="1162" t="s">
        <v>1035</v>
      </c>
      <c r="G44" s="1162" t="s">
        <v>1034</v>
      </c>
      <c r="H44" s="1167"/>
    </row>
    <row r="45" spans="1:12">
      <c r="A45" s="1162" t="s">
        <v>135</v>
      </c>
      <c r="B45" s="1166" t="s">
        <v>2087</v>
      </c>
      <c r="C45" s="1162"/>
      <c r="D45" s="1164"/>
      <c r="E45" s="1162"/>
      <c r="F45" s="1164">
        <f>F47+F49</f>
        <v>782600000</v>
      </c>
      <c r="G45" s="1164">
        <f>G47+G49</f>
        <v>1616600000</v>
      </c>
      <c r="H45" s="1164">
        <f>SUM(H47:H49)</f>
        <v>2399200000</v>
      </c>
    </row>
    <row r="46" spans="1:12" ht="17.25">
      <c r="A46" s="1181"/>
      <c r="B46" s="1183" t="s">
        <v>2086</v>
      </c>
      <c r="C46" s="1181"/>
      <c r="D46" s="1182"/>
      <c r="E46" s="1181"/>
      <c r="F46" s="1181">
        <v>3500</v>
      </c>
      <c r="G46" s="1181">
        <v>6500</v>
      </c>
      <c r="H46" s="1180"/>
    </row>
    <row r="47" spans="1:12">
      <c r="A47" s="1179">
        <v>1</v>
      </c>
      <c r="B47" s="1176" t="s">
        <v>2085</v>
      </c>
      <c r="C47" s="1179"/>
      <c r="D47" s="1179">
        <f>D21</f>
        <v>5</v>
      </c>
      <c r="E47" s="1178">
        <v>33200</v>
      </c>
      <c r="F47" s="1177">
        <f>D47*E47*F46</f>
        <v>581000000</v>
      </c>
      <c r="G47" s="1176">
        <f>D47*E47*G46</f>
        <v>1079000000</v>
      </c>
      <c r="H47" s="1176">
        <f>SUM(F47:G47)</f>
        <v>1660000000</v>
      </c>
    </row>
    <row r="48" spans="1:12" ht="17.25">
      <c r="A48" s="1174"/>
      <c r="B48" s="1175" t="s">
        <v>2084</v>
      </c>
      <c r="C48" s="1174"/>
      <c r="D48" s="1174"/>
      <c r="E48" s="1173"/>
      <c r="F48" s="1172">
        <v>1.5</v>
      </c>
      <c r="G48" s="1172">
        <v>4</v>
      </c>
      <c r="H48" s="1171"/>
    </row>
    <row r="49" spans="1:11">
      <c r="A49" s="1170">
        <v>2</v>
      </c>
      <c r="B49" s="1167" t="s">
        <v>2083</v>
      </c>
      <c r="C49" s="1170"/>
      <c r="D49" s="1170">
        <f>D32</f>
        <v>2400</v>
      </c>
      <c r="E49" s="1169">
        <v>56000</v>
      </c>
      <c r="F49" s="1168">
        <f>D49*E49*F48</f>
        <v>201600000</v>
      </c>
      <c r="G49" s="1167">
        <f>D49*E49*G48</f>
        <v>537600000</v>
      </c>
      <c r="H49" s="1167">
        <f>SUM(F49:G49)</f>
        <v>739200000</v>
      </c>
    </row>
    <row r="50" spans="1:11">
      <c r="A50" s="1162" t="s">
        <v>645</v>
      </c>
      <c r="B50" s="1166" t="s">
        <v>2082</v>
      </c>
      <c r="C50" s="1162"/>
      <c r="D50" s="1162"/>
      <c r="E50" s="1165"/>
      <c r="F50" s="1164">
        <f>F45-F20</f>
        <v>256527000</v>
      </c>
      <c r="G50" s="1164">
        <f>G45-G20</f>
        <v>1090527000</v>
      </c>
      <c r="H50" s="1163">
        <f>H45-H20</f>
        <v>1347054000</v>
      </c>
      <c r="I50" s="1145"/>
    </row>
    <row r="51" spans="1:11">
      <c r="A51" s="1162" t="s">
        <v>1205</v>
      </c>
      <c r="B51" s="1161" t="s">
        <v>2081</v>
      </c>
      <c r="C51" s="1160"/>
      <c r="D51" s="1159"/>
      <c r="E51" s="1158"/>
      <c r="F51" s="1157">
        <f>F53+F52</f>
        <v>67200000</v>
      </c>
      <c r="G51" s="1157">
        <f>G53+G52</f>
        <v>424840000</v>
      </c>
      <c r="H51" s="1157">
        <f>H53+H52</f>
        <v>492040000</v>
      </c>
      <c r="I51" s="1145"/>
      <c r="K51" s="1145"/>
    </row>
    <row r="52" spans="1:11">
      <c r="A52" s="1156"/>
      <c r="B52" s="1155" t="s">
        <v>2080</v>
      </c>
      <c r="C52" s="1154" t="s">
        <v>202</v>
      </c>
      <c r="D52" s="1153"/>
      <c r="E52" s="1152"/>
      <c r="F52" s="1151">
        <v>20000000</v>
      </c>
      <c r="G52" s="1150">
        <f>F57-F52</f>
        <v>380000000</v>
      </c>
      <c r="H52" s="1149">
        <f>SUM(F52:G52)</f>
        <v>400000000</v>
      </c>
      <c r="I52" s="1145"/>
    </row>
    <row r="53" spans="1:11">
      <c r="A53" s="1122"/>
      <c r="B53" s="1128" t="s">
        <v>2079</v>
      </c>
      <c r="C53" s="1127" t="s">
        <v>202</v>
      </c>
      <c r="D53" s="1148"/>
      <c r="E53" s="1147">
        <v>0.11799999999999999</v>
      </c>
      <c r="F53" s="1146">
        <f>F57*E53</f>
        <v>47200000</v>
      </c>
      <c r="G53" s="1124">
        <f>(F57-F52)*E53</f>
        <v>44840000</v>
      </c>
      <c r="H53" s="1122">
        <f>SUM(F53:G53)</f>
        <v>92040000</v>
      </c>
      <c r="I53" s="1145"/>
    </row>
    <row r="54" spans="1:11">
      <c r="A54" s="1140"/>
      <c r="B54" s="1144" t="s">
        <v>2078</v>
      </c>
      <c r="C54" s="1143" t="s">
        <v>74</v>
      </c>
      <c r="D54" s="1142"/>
      <c r="E54" s="1141"/>
      <c r="F54" s="1141" t="s">
        <v>2077</v>
      </c>
      <c r="G54" s="1140"/>
      <c r="H54" s="1139"/>
    </row>
    <row r="55" spans="1:11">
      <c r="A55" s="1137"/>
      <c r="B55" s="1136" t="s">
        <v>223</v>
      </c>
      <c r="C55" s="1135" t="s">
        <v>202</v>
      </c>
      <c r="D55" s="1134"/>
      <c r="E55" s="1133"/>
      <c r="F55" s="1138">
        <f>F9</f>
        <v>530320000</v>
      </c>
      <c r="G55" s="1131"/>
      <c r="H55" s="1130"/>
    </row>
    <row r="56" spans="1:11">
      <c r="A56" s="1137"/>
      <c r="B56" s="1136" t="s">
        <v>26</v>
      </c>
      <c r="C56" s="1135" t="s">
        <v>202</v>
      </c>
      <c r="D56" s="1134"/>
      <c r="E56" s="1133"/>
      <c r="F56" s="1132">
        <f>F55-F57</f>
        <v>130320000</v>
      </c>
      <c r="G56" s="1131">
        <f>F56/F55</f>
        <v>0.245738422084779</v>
      </c>
      <c r="H56" s="1130"/>
    </row>
    <row r="57" spans="1:11">
      <c r="A57" s="1129"/>
      <c r="B57" s="1128" t="s">
        <v>2076</v>
      </c>
      <c r="C57" s="1127" t="s">
        <v>202</v>
      </c>
      <c r="D57" s="1126"/>
      <c r="E57" s="1125"/>
      <c r="F57" s="1124">
        <v>400000000</v>
      </c>
      <c r="G57" s="1123">
        <f>F57/F55</f>
        <v>0.75426157791522097</v>
      </c>
      <c r="H57" s="1122"/>
    </row>
  </sheetData>
  <mergeCells count="2">
    <mergeCell ref="F7:G7"/>
    <mergeCell ref="A4:B4"/>
  </mergeCells>
  <pageMargins left="0.7" right="0.7" top="0.75" bottom="0.75" header="0.3" footer="0.3"/>
  <drawing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K32"/>
  <sheetViews>
    <sheetView zoomScaleNormal="100" workbookViewId="0">
      <selection activeCell="H20" sqref="H20"/>
    </sheetView>
  </sheetViews>
  <sheetFormatPr defaultRowHeight="16.5"/>
  <cols>
    <col min="1" max="1" width="26" style="523" customWidth="1"/>
    <col min="2" max="2" width="15.42578125" style="523" customWidth="1"/>
    <col min="3" max="3" width="14.140625" style="616" customWidth="1"/>
    <col min="4" max="4" width="16.28515625" style="523" customWidth="1"/>
    <col min="5" max="5" width="15.85546875" style="523" customWidth="1"/>
    <col min="6" max="256" width="9.140625" style="523"/>
    <col min="257" max="257" width="26" style="523" customWidth="1"/>
    <col min="258" max="258" width="15.42578125" style="523" customWidth="1"/>
    <col min="259" max="259" width="14.140625" style="523" customWidth="1"/>
    <col min="260" max="260" width="16.28515625" style="523" customWidth="1"/>
    <col min="261" max="261" width="15.85546875" style="523" customWidth="1"/>
    <col min="262" max="512" width="9.140625" style="523"/>
    <col min="513" max="513" width="26" style="523" customWidth="1"/>
    <col min="514" max="514" width="15.42578125" style="523" customWidth="1"/>
    <col min="515" max="515" width="14.140625" style="523" customWidth="1"/>
    <col min="516" max="516" width="16.28515625" style="523" customWidth="1"/>
    <col min="517" max="517" width="15.85546875" style="523" customWidth="1"/>
    <col min="518" max="768" width="9.140625" style="523"/>
    <col min="769" max="769" width="26" style="523" customWidth="1"/>
    <col min="770" max="770" width="15.42578125" style="523" customWidth="1"/>
    <col min="771" max="771" width="14.140625" style="523" customWidth="1"/>
    <col min="772" max="772" width="16.28515625" style="523" customWidth="1"/>
    <col min="773" max="773" width="15.85546875" style="523" customWidth="1"/>
    <col min="774" max="1024" width="9.140625" style="523"/>
    <col min="1025" max="1025" width="26" style="523" customWidth="1"/>
    <col min="1026" max="1026" width="15.42578125" style="523" customWidth="1"/>
    <col min="1027" max="1027" width="14.140625" style="523" customWidth="1"/>
    <col min="1028" max="1028" width="16.28515625" style="523" customWidth="1"/>
    <col min="1029" max="1029" width="15.85546875" style="523" customWidth="1"/>
    <col min="1030" max="1280" width="9.140625" style="523"/>
    <col min="1281" max="1281" width="26" style="523" customWidth="1"/>
    <col min="1282" max="1282" width="15.42578125" style="523" customWidth="1"/>
    <col min="1283" max="1283" width="14.140625" style="523" customWidth="1"/>
    <col min="1284" max="1284" width="16.28515625" style="523" customWidth="1"/>
    <col min="1285" max="1285" width="15.85546875" style="523" customWidth="1"/>
    <col min="1286" max="1536" width="9.140625" style="523"/>
    <col min="1537" max="1537" width="26" style="523" customWidth="1"/>
    <col min="1538" max="1538" width="15.42578125" style="523" customWidth="1"/>
    <col min="1539" max="1539" width="14.140625" style="523" customWidth="1"/>
    <col min="1540" max="1540" width="16.28515625" style="523" customWidth="1"/>
    <col min="1541" max="1541" width="15.85546875" style="523" customWidth="1"/>
    <col min="1542" max="1792" width="9.140625" style="523"/>
    <col min="1793" max="1793" width="26" style="523" customWidth="1"/>
    <col min="1794" max="1794" width="15.42578125" style="523" customWidth="1"/>
    <col min="1795" max="1795" width="14.140625" style="523" customWidth="1"/>
    <col min="1796" max="1796" width="16.28515625" style="523" customWidth="1"/>
    <col min="1797" max="1797" width="15.85546875" style="523" customWidth="1"/>
    <col min="1798" max="2048" width="9.140625" style="523"/>
    <col min="2049" max="2049" width="26" style="523" customWidth="1"/>
    <col min="2050" max="2050" width="15.42578125" style="523" customWidth="1"/>
    <col min="2051" max="2051" width="14.140625" style="523" customWidth="1"/>
    <col min="2052" max="2052" width="16.28515625" style="523" customWidth="1"/>
    <col min="2053" max="2053" width="15.85546875" style="523" customWidth="1"/>
    <col min="2054" max="2304" width="9.140625" style="523"/>
    <col min="2305" max="2305" width="26" style="523" customWidth="1"/>
    <col min="2306" max="2306" width="15.42578125" style="523" customWidth="1"/>
    <col min="2307" max="2307" width="14.140625" style="523" customWidth="1"/>
    <col min="2308" max="2308" width="16.28515625" style="523" customWidth="1"/>
    <col min="2309" max="2309" width="15.85546875" style="523" customWidth="1"/>
    <col min="2310" max="2560" width="9.140625" style="523"/>
    <col min="2561" max="2561" width="26" style="523" customWidth="1"/>
    <col min="2562" max="2562" width="15.42578125" style="523" customWidth="1"/>
    <col min="2563" max="2563" width="14.140625" style="523" customWidth="1"/>
    <col min="2564" max="2564" width="16.28515625" style="523" customWidth="1"/>
    <col min="2565" max="2565" width="15.85546875" style="523" customWidth="1"/>
    <col min="2566" max="2816" width="9.140625" style="523"/>
    <col min="2817" max="2817" width="26" style="523" customWidth="1"/>
    <col min="2818" max="2818" width="15.42578125" style="523" customWidth="1"/>
    <col min="2819" max="2819" width="14.140625" style="523" customWidth="1"/>
    <col min="2820" max="2820" width="16.28515625" style="523" customWidth="1"/>
    <col min="2821" max="2821" width="15.85546875" style="523" customWidth="1"/>
    <col min="2822" max="3072" width="9.140625" style="523"/>
    <col min="3073" max="3073" width="26" style="523" customWidth="1"/>
    <col min="3074" max="3074" width="15.42578125" style="523" customWidth="1"/>
    <col min="3075" max="3075" width="14.140625" style="523" customWidth="1"/>
    <col min="3076" max="3076" width="16.28515625" style="523" customWidth="1"/>
    <col min="3077" max="3077" width="15.85546875" style="523" customWidth="1"/>
    <col min="3078" max="3328" width="9.140625" style="523"/>
    <col min="3329" max="3329" width="26" style="523" customWidth="1"/>
    <col min="3330" max="3330" width="15.42578125" style="523" customWidth="1"/>
    <col min="3331" max="3331" width="14.140625" style="523" customWidth="1"/>
    <col min="3332" max="3332" width="16.28515625" style="523" customWidth="1"/>
    <col min="3333" max="3333" width="15.85546875" style="523" customWidth="1"/>
    <col min="3334" max="3584" width="9.140625" style="523"/>
    <col min="3585" max="3585" width="26" style="523" customWidth="1"/>
    <col min="3586" max="3586" width="15.42578125" style="523" customWidth="1"/>
    <col min="3587" max="3587" width="14.140625" style="523" customWidth="1"/>
    <col min="3588" max="3588" width="16.28515625" style="523" customWidth="1"/>
    <col min="3589" max="3589" width="15.85546875" style="523" customWidth="1"/>
    <col min="3590" max="3840" width="9.140625" style="523"/>
    <col min="3841" max="3841" width="26" style="523" customWidth="1"/>
    <col min="3842" max="3842" width="15.42578125" style="523" customWidth="1"/>
    <col min="3843" max="3843" width="14.140625" style="523" customWidth="1"/>
    <col min="3844" max="3844" width="16.28515625" style="523" customWidth="1"/>
    <col min="3845" max="3845" width="15.85546875" style="523" customWidth="1"/>
    <col min="3846" max="4096" width="9.140625" style="523"/>
    <col min="4097" max="4097" width="26" style="523" customWidth="1"/>
    <col min="4098" max="4098" width="15.42578125" style="523" customWidth="1"/>
    <col min="4099" max="4099" width="14.140625" style="523" customWidth="1"/>
    <col min="4100" max="4100" width="16.28515625" style="523" customWidth="1"/>
    <col min="4101" max="4101" width="15.85546875" style="523" customWidth="1"/>
    <col min="4102" max="4352" width="9.140625" style="523"/>
    <col min="4353" max="4353" width="26" style="523" customWidth="1"/>
    <col min="4354" max="4354" width="15.42578125" style="523" customWidth="1"/>
    <col min="4355" max="4355" width="14.140625" style="523" customWidth="1"/>
    <col min="4356" max="4356" width="16.28515625" style="523" customWidth="1"/>
    <col min="4357" max="4357" width="15.85546875" style="523" customWidth="1"/>
    <col min="4358" max="4608" width="9.140625" style="523"/>
    <col min="4609" max="4609" width="26" style="523" customWidth="1"/>
    <col min="4610" max="4610" width="15.42578125" style="523" customWidth="1"/>
    <col min="4611" max="4611" width="14.140625" style="523" customWidth="1"/>
    <col min="4612" max="4612" width="16.28515625" style="523" customWidth="1"/>
    <col min="4613" max="4613" width="15.85546875" style="523" customWidth="1"/>
    <col min="4614" max="4864" width="9.140625" style="523"/>
    <col min="4865" max="4865" width="26" style="523" customWidth="1"/>
    <col min="4866" max="4866" width="15.42578125" style="523" customWidth="1"/>
    <col min="4867" max="4867" width="14.140625" style="523" customWidth="1"/>
    <col min="4868" max="4868" width="16.28515625" style="523" customWidth="1"/>
    <col min="4869" max="4869" width="15.85546875" style="523" customWidth="1"/>
    <col min="4870" max="5120" width="9.140625" style="523"/>
    <col min="5121" max="5121" width="26" style="523" customWidth="1"/>
    <col min="5122" max="5122" width="15.42578125" style="523" customWidth="1"/>
    <col min="5123" max="5123" width="14.140625" style="523" customWidth="1"/>
    <col min="5124" max="5124" width="16.28515625" style="523" customWidth="1"/>
    <col min="5125" max="5125" width="15.85546875" style="523" customWidth="1"/>
    <col min="5126" max="5376" width="9.140625" style="523"/>
    <col min="5377" max="5377" width="26" style="523" customWidth="1"/>
    <col min="5378" max="5378" width="15.42578125" style="523" customWidth="1"/>
    <col min="5379" max="5379" width="14.140625" style="523" customWidth="1"/>
    <col min="5380" max="5380" width="16.28515625" style="523" customWidth="1"/>
    <col min="5381" max="5381" width="15.85546875" style="523" customWidth="1"/>
    <col min="5382" max="5632" width="9.140625" style="523"/>
    <col min="5633" max="5633" width="26" style="523" customWidth="1"/>
    <col min="5634" max="5634" width="15.42578125" style="523" customWidth="1"/>
    <col min="5635" max="5635" width="14.140625" style="523" customWidth="1"/>
    <col min="5636" max="5636" width="16.28515625" style="523" customWidth="1"/>
    <col min="5637" max="5637" width="15.85546875" style="523" customWidth="1"/>
    <col min="5638" max="5888" width="9.140625" style="523"/>
    <col min="5889" max="5889" width="26" style="523" customWidth="1"/>
    <col min="5890" max="5890" width="15.42578125" style="523" customWidth="1"/>
    <col min="5891" max="5891" width="14.140625" style="523" customWidth="1"/>
    <col min="5892" max="5892" width="16.28515625" style="523" customWidth="1"/>
    <col min="5893" max="5893" width="15.85546875" style="523" customWidth="1"/>
    <col min="5894" max="6144" width="9.140625" style="523"/>
    <col min="6145" max="6145" width="26" style="523" customWidth="1"/>
    <col min="6146" max="6146" width="15.42578125" style="523" customWidth="1"/>
    <col min="6147" max="6147" width="14.140625" style="523" customWidth="1"/>
    <col min="6148" max="6148" width="16.28515625" style="523" customWidth="1"/>
    <col min="6149" max="6149" width="15.85546875" style="523" customWidth="1"/>
    <col min="6150" max="6400" width="9.140625" style="523"/>
    <col min="6401" max="6401" width="26" style="523" customWidth="1"/>
    <col min="6402" max="6402" width="15.42578125" style="523" customWidth="1"/>
    <col min="6403" max="6403" width="14.140625" style="523" customWidth="1"/>
    <col min="6404" max="6404" width="16.28515625" style="523" customWidth="1"/>
    <col min="6405" max="6405" width="15.85546875" style="523" customWidth="1"/>
    <col min="6406" max="6656" width="9.140625" style="523"/>
    <col min="6657" max="6657" width="26" style="523" customWidth="1"/>
    <col min="6658" max="6658" width="15.42578125" style="523" customWidth="1"/>
    <col min="6659" max="6659" width="14.140625" style="523" customWidth="1"/>
    <col min="6660" max="6660" width="16.28515625" style="523" customWidth="1"/>
    <col min="6661" max="6661" width="15.85546875" style="523" customWidth="1"/>
    <col min="6662" max="6912" width="9.140625" style="523"/>
    <col min="6913" max="6913" width="26" style="523" customWidth="1"/>
    <col min="6914" max="6914" width="15.42578125" style="523" customWidth="1"/>
    <col min="6915" max="6915" width="14.140625" style="523" customWidth="1"/>
    <col min="6916" max="6916" width="16.28515625" style="523" customWidth="1"/>
    <col min="6917" max="6917" width="15.85546875" style="523" customWidth="1"/>
    <col min="6918" max="7168" width="9.140625" style="523"/>
    <col min="7169" max="7169" width="26" style="523" customWidth="1"/>
    <col min="7170" max="7170" width="15.42578125" style="523" customWidth="1"/>
    <col min="7171" max="7171" width="14.140625" style="523" customWidth="1"/>
    <col min="7172" max="7172" width="16.28515625" style="523" customWidth="1"/>
    <col min="7173" max="7173" width="15.85546875" style="523" customWidth="1"/>
    <col min="7174" max="7424" width="9.140625" style="523"/>
    <col min="7425" max="7425" width="26" style="523" customWidth="1"/>
    <col min="7426" max="7426" width="15.42578125" style="523" customWidth="1"/>
    <col min="7427" max="7427" width="14.140625" style="523" customWidth="1"/>
    <col min="7428" max="7428" width="16.28515625" style="523" customWidth="1"/>
    <col min="7429" max="7429" width="15.85546875" style="523" customWidth="1"/>
    <col min="7430" max="7680" width="9.140625" style="523"/>
    <col min="7681" max="7681" width="26" style="523" customWidth="1"/>
    <col min="7682" max="7682" width="15.42578125" style="523" customWidth="1"/>
    <col min="7683" max="7683" width="14.140625" style="523" customWidth="1"/>
    <col min="7684" max="7684" width="16.28515625" style="523" customWidth="1"/>
    <col min="7685" max="7685" width="15.85546875" style="523" customWidth="1"/>
    <col min="7686" max="7936" width="9.140625" style="523"/>
    <col min="7937" max="7937" width="26" style="523" customWidth="1"/>
    <col min="7938" max="7938" width="15.42578125" style="523" customWidth="1"/>
    <col min="7939" max="7939" width="14.140625" style="523" customWidth="1"/>
    <col min="7940" max="7940" width="16.28515625" style="523" customWidth="1"/>
    <col min="7941" max="7941" width="15.85546875" style="523" customWidth="1"/>
    <col min="7942" max="8192" width="9.140625" style="523"/>
    <col min="8193" max="8193" width="26" style="523" customWidth="1"/>
    <col min="8194" max="8194" width="15.42578125" style="523" customWidth="1"/>
    <col min="8195" max="8195" width="14.140625" style="523" customWidth="1"/>
    <col min="8196" max="8196" width="16.28515625" style="523" customWidth="1"/>
    <col min="8197" max="8197" width="15.85546875" style="523" customWidth="1"/>
    <col min="8198" max="8448" width="9.140625" style="523"/>
    <col min="8449" max="8449" width="26" style="523" customWidth="1"/>
    <col min="8450" max="8450" width="15.42578125" style="523" customWidth="1"/>
    <col min="8451" max="8451" width="14.140625" style="523" customWidth="1"/>
    <col min="8452" max="8452" width="16.28515625" style="523" customWidth="1"/>
    <col min="8453" max="8453" width="15.85546875" style="523" customWidth="1"/>
    <col min="8454" max="8704" width="9.140625" style="523"/>
    <col min="8705" max="8705" width="26" style="523" customWidth="1"/>
    <col min="8706" max="8706" width="15.42578125" style="523" customWidth="1"/>
    <col min="8707" max="8707" width="14.140625" style="523" customWidth="1"/>
    <col min="8708" max="8708" width="16.28515625" style="523" customWidth="1"/>
    <col min="8709" max="8709" width="15.85546875" style="523" customWidth="1"/>
    <col min="8710" max="8960" width="9.140625" style="523"/>
    <col min="8961" max="8961" width="26" style="523" customWidth="1"/>
    <col min="8962" max="8962" width="15.42578125" style="523" customWidth="1"/>
    <col min="8963" max="8963" width="14.140625" style="523" customWidth="1"/>
    <col min="8964" max="8964" width="16.28515625" style="523" customWidth="1"/>
    <col min="8965" max="8965" width="15.85546875" style="523" customWidth="1"/>
    <col min="8966" max="9216" width="9.140625" style="523"/>
    <col min="9217" max="9217" width="26" style="523" customWidth="1"/>
    <col min="9218" max="9218" width="15.42578125" style="523" customWidth="1"/>
    <col min="9219" max="9219" width="14.140625" style="523" customWidth="1"/>
    <col min="9220" max="9220" width="16.28515625" style="523" customWidth="1"/>
    <col min="9221" max="9221" width="15.85546875" style="523" customWidth="1"/>
    <col min="9222" max="9472" width="9.140625" style="523"/>
    <col min="9473" max="9473" width="26" style="523" customWidth="1"/>
    <col min="9474" max="9474" width="15.42578125" style="523" customWidth="1"/>
    <col min="9475" max="9475" width="14.140625" style="523" customWidth="1"/>
    <col min="9476" max="9476" width="16.28515625" style="523" customWidth="1"/>
    <col min="9477" max="9477" width="15.85546875" style="523" customWidth="1"/>
    <col min="9478" max="9728" width="9.140625" style="523"/>
    <col min="9729" max="9729" width="26" style="523" customWidth="1"/>
    <col min="9730" max="9730" width="15.42578125" style="523" customWidth="1"/>
    <col min="9731" max="9731" width="14.140625" style="523" customWidth="1"/>
    <col min="9732" max="9732" width="16.28515625" style="523" customWidth="1"/>
    <col min="9733" max="9733" width="15.85546875" style="523" customWidth="1"/>
    <col min="9734" max="9984" width="9.140625" style="523"/>
    <col min="9985" max="9985" width="26" style="523" customWidth="1"/>
    <col min="9986" max="9986" width="15.42578125" style="523" customWidth="1"/>
    <col min="9987" max="9987" width="14.140625" style="523" customWidth="1"/>
    <col min="9988" max="9988" width="16.28515625" style="523" customWidth="1"/>
    <col min="9989" max="9989" width="15.85546875" style="523" customWidth="1"/>
    <col min="9990" max="10240" width="9.140625" style="523"/>
    <col min="10241" max="10241" width="26" style="523" customWidth="1"/>
    <col min="10242" max="10242" width="15.42578125" style="523" customWidth="1"/>
    <col min="10243" max="10243" width="14.140625" style="523" customWidth="1"/>
    <col min="10244" max="10244" width="16.28515625" style="523" customWidth="1"/>
    <col min="10245" max="10245" width="15.85546875" style="523" customWidth="1"/>
    <col min="10246" max="10496" width="9.140625" style="523"/>
    <col min="10497" max="10497" width="26" style="523" customWidth="1"/>
    <col min="10498" max="10498" width="15.42578125" style="523" customWidth="1"/>
    <col min="10499" max="10499" width="14.140625" style="523" customWidth="1"/>
    <col min="10500" max="10500" width="16.28515625" style="523" customWidth="1"/>
    <col min="10501" max="10501" width="15.85546875" style="523" customWidth="1"/>
    <col min="10502" max="10752" width="9.140625" style="523"/>
    <col min="10753" max="10753" width="26" style="523" customWidth="1"/>
    <col min="10754" max="10754" width="15.42578125" style="523" customWidth="1"/>
    <col min="10755" max="10755" width="14.140625" style="523" customWidth="1"/>
    <col min="10756" max="10756" width="16.28515625" style="523" customWidth="1"/>
    <col min="10757" max="10757" width="15.85546875" style="523" customWidth="1"/>
    <col min="10758" max="11008" width="9.140625" style="523"/>
    <col min="11009" max="11009" width="26" style="523" customWidth="1"/>
    <col min="11010" max="11010" width="15.42578125" style="523" customWidth="1"/>
    <col min="11011" max="11011" width="14.140625" style="523" customWidth="1"/>
    <col min="11012" max="11012" width="16.28515625" style="523" customWidth="1"/>
    <col min="11013" max="11013" width="15.85546875" style="523" customWidth="1"/>
    <col min="11014" max="11264" width="9.140625" style="523"/>
    <col min="11265" max="11265" width="26" style="523" customWidth="1"/>
    <col min="11266" max="11266" width="15.42578125" style="523" customWidth="1"/>
    <col min="11267" max="11267" width="14.140625" style="523" customWidth="1"/>
    <col min="11268" max="11268" width="16.28515625" style="523" customWidth="1"/>
    <col min="11269" max="11269" width="15.85546875" style="523" customWidth="1"/>
    <col min="11270" max="11520" width="9.140625" style="523"/>
    <col min="11521" max="11521" width="26" style="523" customWidth="1"/>
    <col min="11522" max="11522" width="15.42578125" style="523" customWidth="1"/>
    <col min="11523" max="11523" width="14.140625" style="523" customWidth="1"/>
    <col min="11524" max="11524" width="16.28515625" style="523" customWidth="1"/>
    <col min="11525" max="11525" width="15.85546875" style="523" customWidth="1"/>
    <col min="11526" max="11776" width="9.140625" style="523"/>
    <col min="11777" max="11777" width="26" style="523" customWidth="1"/>
    <col min="11778" max="11778" width="15.42578125" style="523" customWidth="1"/>
    <col min="11779" max="11779" width="14.140625" style="523" customWidth="1"/>
    <col min="11780" max="11780" width="16.28515625" style="523" customWidth="1"/>
    <col min="11781" max="11781" width="15.85546875" style="523" customWidth="1"/>
    <col min="11782" max="12032" width="9.140625" style="523"/>
    <col min="12033" max="12033" width="26" style="523" customWidth="1"/>
    <col min="12034" max="12034" width="15.42578125" style="523" customWidth="1"/>
    <col min="12035" max="12035" width="14.140625" style="523" customWidth="1"/>
    <col min="12036" max="12036" width="16.28515625" style="523" customWidth="1"/>
    <col min="12037" max="12037" width="15.85546875" style="523" customWidth="1"/>
    <col min="12038" max="12288" width="9.140625" style="523"/>
    <col min="12289" max="12289" width="26" style="523" customWidth="1"/>
    <col min="12290" max="12290" width="15.42578125" style="523" customWidth="1"/>
    <col min="12291" max="12291" width="14.140625" style="523" customWidth="1"/>
    <col min="12292" max="12292" width="16.28515625" style="523" customWidth="1"/>
    <col min="12293" max="12293" width="15.85546875" style="523" customWidth="1"/>
    <col min="12294" max="12544" width="9.140625" style="523"/>
    <col min="12545" max="12545" width="26" style="523" customWidth="1"/>
    <col min="12546" max="12546" width="15.42578125" style="523" customWidth="1"/>
    <col min="12547" max="12547" width="14.140625" style="523" customWidth="1"/>
    <col min="12548" max="12548" width="16.28515625" style="523" customWidth="1"/>
    <col min="12549" max="12549" width="15.85546875" style="523" customWidth="1"/>
    <col min="12550" max="12800" width="9.140625" style="523"/>
    <col min="12801" max="12801" width="26" style="523" customWidth="1"/>
    <col min="12802" max="12802" width="15.42578125" style="523" customWidth="1"/>
    <col min="12803" max="12803" width="14.140625" style="523" customWidth="1"/>
    <col min="12804" max="12804" width="16.28515625" style="523" customWidth="1"/>
    <col min="12805" max="12805" width="15.85546875" style="523" customWidth="1"/>
    <col min="12806" max="13056" width="9.140625" style="523"/>
    <col min="13057" max="13057" width="26" style="523" customWidth="1"/>
    <col min="13058" max="13058" width="15.42578125" style="523" customWidth="1"/>
    <col min="13059" max="13059" width="14.140625" style="523" customWidth="1"/>
    <col min="13060" max="13060" width="16.28515625" style="523" customWidth="1"/>
    <col min="13061" max="13061" width="15.85546875" style="523" customWidth="1"/>
    <col min="13062" max="13312" width="9.140625" style="523"/>
    <col min="13313" max="13313" width="26" style="523" customWidth="1"/>
    <col min="13314" max="13314" width="15.42578125" style="523" customWidth="1"/>
    <col min="13315" max="13315" width="14.140625" style="523" customWidth="1"/>
    <col min="13316" max="13316" width="16.28515625" style="523" customWidth="1"/>
    <col min="13317" max="13317" width="15.85546875" style="523" customWidth="1"/>
    <col min="13318" max="13568" width="9.140625" style="523"/>
    <col min="13569" max="13569" width="26" style="523" customWidth="1"/>
    <col min="13570" max="13570" width="15.42578125" style="523" customWidth="1"/>
    <col min="13571" max="13571" width="14.140625" style="523" customWidth="1"/>
    <col min="13572" max="13572" width="16.28515625" style="523" customWidth="1"/>
    <col min="13573" max="13573" width="15.85546875" style="523" customWidth="1"/>
    <col min="13574" max="13824" width="9.140625" style="523"/>
    <col min="13825" max="13825" width="26" style="523" customWidth="1"/>
    <col min="13826" max="13826" width="15.42578125" style="523" customWidth="1"/>
    <col min="13827" max="13827" width="14.140625" style="523" customWidth="1"/>
    <col min="13828" max="13828" width="16.28515625" style="523" customWidth="1"/>
    <col min="13829" max="13829" width="15.85546875" style="523" customWidth="1"/>
    <col min="13830" max="14080" width="9.140625" style="523"/>
    <col min="14081" max="14081" width="26" style="523" customWidth="1"/>
    <col min="14082" max="14082" width="15.42578125" style="523" customWidth="1"/>
    <col min="14083" max="14083" width="14.140625" style="523" customWidth="1"/>
    <col min="14084" max="14084" width="16.28515625" style="523" customWidth="1"/>
    <col min="14085" max="14085" width="15.85546875" style="523" customWidth="1"/>
    <col min="14086" max="14336" width="9.140625" style="523"/>
    <col min="14337" max="14337" width="26" style="523" customWidth="1"/>
    <col min="14338" max="14338" width="15.42578125" style="523" customWidth="1"/>
    <col min="14339" max="14339" width="14.140625" style="523" customWidth="1"/>
    <col min="14340" max="14340" width="16.28515625" style="523" customWidth="1"/>
    <col min="14341" max="14341" width="15.85546875" style="523" customWidth="1"/>
    <col min="14342" max="14592" width="9.140625" style="523"/>
    <col min="14593" max="14593" width="26" style="523" customWidth="1"/>
    <col min="14594" max="14594" width="15.42578125" style="523" customWidth="1"/>
    <col min="14595" max="14595" width="14.140625" style="523" customWidth="1"/>
    <col min="14596" max="14596" width="16.28515625" style="523" customWidth="1"/>
    <col min="14597" max="14597" width="15.85546875" style="523" customWidth="1"/>
    <col min="14598" max="14848" width="9.140625" style="523"/>
    <col min="14849" max="14849" width="26" style="523" customWidth="1"/>
    <col min="14850" max="14850" width="15.42578125" style="523" customWidth="1"/>
    <col min="14851" max="14851" width="14.140625" style="523" customWidth="1"/>
    <col min="14852" max="14852" width="16.28515625" style="523" customWidth="1"/>
    <col min="14853" max="14853" width="15.85546875" style="523" customWidth="1"/>
    <col min="14854" max="15104" width="9.140625" style="523"/>
    <col min="15105" max="15105" width="26" style="523" customWidth="1"/>
    <col min="15106" max="15106" width="15.42578125" style="523" customWidth="1"/>
    <col min="15107" max="15107" width="14.140625" style="523" customWidth="1"/>
    <col min="15108" max="15108" width="16.28515625" style="523" customWidth="1"/>
    <col min="15109" max="15109" width="15.85546875" style="523" customWidth="1"/>
    <col min="15110" max="15360" width="9.140625" style="523"/>
    <col min="15361" max="15361" width="26" style="523" customWidth="1"/>
    <col min="15362" max="15362" width="15.42578125" style="523" customWidth="1"/>
    <col min="15363" max="15363" width="14.140625" style="523" customWidth="1"/>
    <col min="15364" max="15364" width="16.28515625" style="523" customWidth="1"/>
    <col min="15365" max="15365" width="15.85546875" style="523" customWidth="1"/>
    <col min="15366" max="15616" width="9.140625" style="523"/>
    <col min="15617" max="15617" width="26" style="523" customWidth="1"/>
    <col min="15618" max="15618" width="15.42578125" style="523" customWidth="1"/>
    <col min="15619" max="15619" width="14.140625" style="523" customWidth="1"/>
    <col min="15620" max="15620" width="16.28515625" style="523" customWidth="1"/>
    <col min="15621" max="15621" width="15.85546875" style="523" customWidth="1"/>
    <col min="15622" max="15872" width="9.140625" style="523"/>
    <col min="15873" max="15873" width="26" style="523" customWidth="1"/>
    <col min="15874" max="15874" width="15.42578125" style="523" customWidth="1"/>
    <col min="15875" max="15875" width="14.140625" style="523" customWidth="1"/>
    <col min="15876" max="15876" width="16.28515625" style="523" customWidth="1"/>
    <col min="15877" max="15877" width="15.85546875" style="523" customWidth="1"/>
    <col min="15878" max="16128" width="9.140625" style="523"/>
    <col min="16129" max="16129" width="26" style="523" customWidth="1"/>
    <col min="16130" max="16130" width="15.42578125" style="523" customWidth="1"/>
    <col min="16131" max="16131" width="14.140625" style="523" customWidth="1"/>
    <col min="16132" max="16132" width="16.28515625" style="523" customWidth="1"/>
    <col min="16133" max="16133" width="15.85546875" style="523" customWidth="1"/>
    <col min="16134" max="16384" width="9.140625" style="523"/>
  </cols>
  <sheetData>
    <row r="1" spans="1:11">
      <c r="C1" s="616" t="s">
        <v>1745</v>
      </c>
      <c r="G1" s="1383" t="s">
        <v>1020</v>
      </c>
    </row>
    <row r="7" spans="1:11">
      <c r="A7" s="2409" t="s">
        <v>1744</v>
      </c>
      <c r="B7" s="2409"/>
      <c r="C7" s="2409"/>
      <c r="D7" s="2409"/>
      <c r="E7" s="2409"/>
    </row>
    <row r="8" spans="1:11" ht="17.25" thickBot="1">
      <c r="C8" s="621"/>
      <c r="E8" s="2302" t="s">
        <v>1263</v>
      </c>
      <c r="I8" s="524"/>
      <c r="J8" s="524"/>
    </row>
    <row r="9" spans="1:11" ht="20.25" customHeight="1" thickTop="1">
      <c r="A9" s="926" t="s">
        <v>1294</v>
      </c>
      <c r="B9" s="2361" t="s">
        <v>235</v>
      </c>
      <c r="C9" s="925" t="s">
        <v>3</v>
      </c>
      <c r="D9" s="2307" t="s">
        <v>1</v>
      </c>
      <c r="E9" s="2308" t="s">
        <v>4</v>
      </c>
      <c r="F9" s="2383"/>
      <c r="G9" s="2383"/>
      <c r="H9" s="2383"/>
      <c r="I9" s="2383"/>
      <c r="J9" s="2383"/>
      <c r="K9" s="2383"/>
    </row>
    <row r="10" spans="1:11" ht="19.5" customHeight="1">
      <c r="A10" s="905" t="s">
        <v>1351</v>
      </c>
      <c r="B10" s="904"/>
      <c r="C10" s="916"/>
      <c r="D10" s="887"/>
      <c r="E10" s="903">
        <f>SUM(E22+E23)</f>
        <v>121556666.66666667</v>
      </c>
      <c r="F10" s="923"/>
      <c r="G10" s="923"/>
      <c r="H10" s="923"/>
      <c r="I10" s="923"/>
      <c r="J10" s="923"/>
      <c r="K10" s="923"/>
    </row>
    <row r="11" spans="1:11" ht="19.5" customHeight="1">
      <c r="A11" s="599" t="s">
        <v>1692</v>
      </c>
      <c r="B11" s="598" t="s">
        <v>11</v>
      </c>
      <c r="C11" s="627">
        <v>250000</v>
      </c>
      <c r="D11" s="597">
        <v>15</v>
      </c>
      <c r="E11" s="924">
        <f t="shared" ref="E11:E20" si="0">D11*C11</f>
        <v>3750000</v>
      </c>
      <c r="F11" s="621"/>
      <c r="G11" s="621"/>
      <c r="H11" s="621"/>
      <c r="I11" s="621"/>
      <c r="J11" s="621"/>
      <c r="K11" s="621"/>
    </row>
    <row r="12" spans="1:11" ht="19.5" customHeight="1">
      <c r="A12" s="599" t="s">
        <v>1691</v>
      </c>
      <c r="B12" s="598" t="s">
        <v>11</v>
      </c>
      <c r="C12" s="627">
        <v>1000</v>
      </c>
      <c r="D12" s="597">
        <v>1000</v>
      </c>
      <c r="E12" s="924">
        <f t="shared" si="0"/>
        <v>1000000</v>
      </c>
      <c r="F12" s="621"/>
      <c r="G12" s="621"/>
      <c r="H12" s="621"/>
      <c r="I12" s="621"/>
      <c r="J12" s="621"/>
      <c r="K12" s="621"/>
    </row>
    <row r="13" spans="1:11" ht="19.5" customHeight="1">
      <c r="A13" s="599" t="s">
        <v>1727</v>
      </c>
      <c r="B13" s="598" t="s">
        <v>228</v>
      </c>
      <c r="C13" s="627">
        <v>450000</v>
      </c>
      <c r="D13" s="597">
        <v>40</v>
      </c>
      <c r="E13" s="595">
        <f t="shared" si="0"/>
        <v>18000000</v>
      </c>
      <c r="F13" s="621"/>
      <c r="G13" s="621"/>
      <c r="H13" s="621"/>
      <c r="I13" s="621"/>
      <c r="J13" s="621"/>
      <c r="K13" s="621"/>
    </row>
    <row r="14" spans="1:11" ht="19.5" customHeight="1">
      <c r="A14" s="599" t="s">
        <v>1743</v>
      </c>
      <c r="B14" s="598" t="s">
        <v>11</v>
      </c>
      <c r="C14" s="627">
        <v>10000</v>
      </c>
      <c r="D14" s="597">
        <v>1000</v>
      </c>
      <c r="E14" s="595">
        <f t="shared" si="0"/>
        <v>10000000</v>
      </c>
      <c r="F14" s="621"/>
      <c r="G14" s="621"/>
      <c r="H14" s="621"/>
      <c r="I14" s="621"/>
      <c r="J14" s="621"/>
      <c r="K14" s="621"/>
    </row>
    <row r="15" spans="1:11" ht="19.5" customHeight="1">
      <c r="A15" s="599" t="s">
        <v>1737</v>
      </c>
      <c r="B15" s="598" t="s">
        <v>11</v>
      </c>
      <c r="C15" s="627">
        <v>10000</v>
      </c>
      <c r="D15" s="597">
        <v>330</v>
      </c>
      <c r="E15" s="595">
        <f t="shared" si="0"/>
        <v>3300000</v>
      </c>
      <c r="F15" s="621"/>
      <c r="G15" s="621"/>
      <c r="H15" s="621"/>
      <c r="I15" s="621"/>
      <c r="J15" s="621"/>
      <c r="K15" s="621"/>
    </row>
    <row r="16" spans="1:11" ht="19.5" customHeight="1">
      <c r="A16" s="599" t="s">
        <v>1724</v>
      </c>
      <c r="B16" s="598" t="s">
        <v>11</v>
      </c>
      <c r="C16" s="627">
        <v>3000</v>
      </c>
      <c r="D16" s="597">
        <v>940</v>
      </c>
      <c r="E16" s="595">
        <f t="shared" si="0"/>
        <v>2820000</v>
      </c>
      <c r="F16" s="621"/>
      <c r="G16" s="621"/>
      <c r="H16" s="621"/>
      <c r="I16" s="621"/>
      <c r="J16" s="621"/>
      <c r="K16" s="621"/>
    </row>
    <row r="17" spans="1:11" ht="19.5" customHeight="1">
      <c r="A17" s="599" t="s">
        <v>1723</v>
      </c>
      <c r="B17" s="598" t="s">
        <v>11</v>
      </c>
      <c r="C17" s="627">
        <v>15000</v>
      </c>
      <c r="D17" s="597">
        <v>400</v>
      </c>
      <c r="E17" s="595">
        <f t="shared" si="0"/>
        <v>6000000</v>
      </c>
      <c r="F17" s="621"/>
      <c r="G17" s="621"/>
      <c r="H17" s="621"/>
      <c r="I17" s="621"/>
      <c r="J17" s="621"/>
      <c r="K17" s="621"/>
    </row>
    <row r="18" spans="1:11" ht="19.5" customHeight="1">
      <c r="A18" s="599" t="s">
        <v>1736</v>
      </c>
      <c r="B18" s="598" t="s">
        <v>11</v>
      </c>
      <c r="C18" s="627">
        <v>160000</v>
      </c>
      <c r="D18" s="597">
        <v>7</v>
      </c>
      <c r="E18" s="595">
        <f t="shared" si="0"/>
        <v>1120000</v>
      </c>
      <c r="F18" s="621"/>
      <c r="G18" s="621"/>
      <c r="H18" s="621"/>
      <c r="I18" s="621"/>
      <c r="J18" s="621"/>
      <c r="K18" s="621"/>
    </row>
    <row r="19" spans="1:11" ht="19.5" customHeight="1">
      <c r="A19" s="599" t="s">
        <v>1369</v>
      </c>
      <c r="B19" s="598" t="s">
        <v>1397</v>
      </c>
      <c r="C19" s="627">
        <v>70000</v>
      </c>
      <c r="D19" s="597">
        <v>120</v>
      </c>
      <c r="E19" s="595">
        <f t="shared" si="0"/>
        <v>8400000</v>
      </c>
      <c r="F19" s="621"/>
      <c r="G19" s="621"/>
      <c r="H19" s="621"/>
      <c r="I19" s="621"/>
      <c r="J19" s="621"/>
      <c r="K19" s="621"/>
    </row>
    <row r="20" spans="1:11" ht="19.5" customHeight="1">
      <c r="A20" s="599" t="s">
        <v>1368</v>
      </c>
      <c r="B20" s="598" t="s">
        <v>511</v>
      </c>
      <c r="C20" s="627">
        <v>180000</v>
      </c>
      <c r="D20" s="597">
        <v>360</v>
      </c>
      <c r="E20" s="595">
        <f t="shared" si="0"/>
        <v>64800000</v>
      </c>
      <c r="F20" s="621"/>
      <c r="G20" s="621"/>
      <c r="H20" s="621"/>
      <c r="I20" s="621"/>
      <c r="J20" s="621"/>
      <c r="K20" s="621"/>
    </row>
    <row r="21" spans="1:11" ht="19.5" customHeight="1">
      <c r="A21" s="599" t="s">
        <v>1735</v>
      </c>
      <c r="B21" s="598"/>
      <c r="C21" s="627"/>
      <c r="D21" s="597"/>
      <c r="E21" s="595">
        <v>500000</v>
      </c>
      <c r="F21" s="621"/>
      <c r="G21" s="621"/>
      <c r="H21" s="621"/>
      <c r="I21" s="621"/>
      <c r="J21" s="621"/>
      <c r="K21" s="621"/>
    </row>
    <row r="22" spans="1:11" ht="19.5" customHeight="1">
      <c r="A22" s="893" t="s">
        <v>1344</v>
      </c>
      <c r="B22" s="598"/>
      <c r="C22" s="627"/>
      <c r="D22" s="876"/>
      <c r="E22" s="879">
        <f>SUM(E11:E21)</f>
        <v>119690000</v>
      </c>
      <c r="F22" s="923"/>
      <c r="G22" s="923"/>
      <c r="H22" s="923"/>
      <c r="I22" s="923"/>
      <c r="J22" s="923"/>
      <c r="K22" s="923"/>
    </row>
    <row r="23" spans="1:11" ht="19.5" customHeight="1">
      <c r="A23" s="599" t="s">
        <v>1742</v>
      </c>
      <c r="B23" s="598" t="s">
        <v>1270</v>
      </c>
      <c r="C23" s="627"/>
      <c r="D23" s="597"/>
      <c r="E23" s="595">
        <f>70000000*8%/3</f>
        <v>1866666.6666666667</v>
      </c>
      <c r="F23" s="621"/>
      <c r="G23" s="621"/>
      <c r="H23" s="621"/>
      <c r="I23" s="621"/>
      <c r="J23" s="621"/>
      <c r="K23" s="621"/>
    </row>
    <row r="24" spans="1:11" ht="19.5" customHeight="1">
      <c r="A24" s="893" t="s">
        <v>1341</v>
      </c>
      <c r="B24" s="598"/>
      <c r="C24" s="627"/>
      <c r="D24" s="597"/>
      <c r="E24" s="879">
        <f>E26</f>
        <v>150000000</v>
      </c>
      <c r="F24" s="923"/>
      <c r="G24" s="923"/>
      <c r="H24" s="621"/>
      <c r="I24" s="923"/>
      <c r="J24" s="621"/>
      <c r="K24" s="923"/>
    </row>
    <row r="25" spans="1:11" ht="19.5" customHeight="1">
      <c r="A25" s="599" t="s">
        <v>1340</v>
      </c>
      <c r="B25" s="598" t="s">
        <v>11</v>
      </c>
      <c r="C25" s="627"/>
      <c r="D25" s="597">
        <v>30000</v>
      </c>
      <c r="E25" s="595"/>
      <c r="F25" s="621"/>
      <c r="G25" s="621"/>
      <c r="H25" s="621"/>
      <c r="I25" s="621"/>
      <c r="J25" s="621"/>
      <c r="K25" s="621"/>
    </row>
    <row r="26" spans="1:11" ht="19.5" customHeight="1">
      <c r="A26" s="599" t="s">
        <v>1339</v>
      </c>
      <c r="B26" s="598" t="s">
        <v>1270</v>
      </c>
      <c r="C26" s="627">
        <v>5000</v>
      </c>
      <c r="D26" s="597">
        <v>30000</v>
      </c>
      <c r="E26" s="595">
        <f>D26*C26</f>
        <v>150000000</v>
      </c>
      <c r="F26" s="621"/>
      <c r="G26" s="621"/>
      <c r="H26" s="621"/>
      <c r="I26" s="621"/>
      <c r="J26" s="621"/>
      <c r="K26" s="621"/>
    </row>
    <row r="27" spans="1:11" ht="19.5" customHeight="1">
      <c r="A27" s="902" t="s">
        <v>1337</v>
      </c>
      <c r="B27" s="910"/>
      <c r="C27" s="914"/>
      <c r="D27" s="909"/>
      <c r="E27" s="870">
        <f>E24-E10</f>
        <v>28443333.333333328</v>
      </c>
      <c r="F27" s="923"/>
      <c r="G27" s="923"/>
      <c r="H27" s="923"/>
      <c r="I27" s="923"/>
      <c r="J27" s="923"/>
      <c r="K27" s="923"/>
    </row>
    <row r="28" spans="1:11" ht="19.5" customHeight="1" thickBot="1">
      <c r="A28" s="789" t="s">
        <v>1269</v>
      </c>
      <c r="B28" s="892" t="s">
        <v>90</v>
      </c>
      <c r="C28" s="624"/>
      <c r="D28" s="869"/>
      <c r="E28" s="868">
        <f>E27/E24</f>
        <v>0.18962222222222219</v>
      </c>
      <c r="F28" s="923"/>
      <c r="G28" s="923"/>
      <c r="H28" s="923"/>
      <c r="I28" s="923"/>
      <c r="J28" s="923"/>
      <c r="K28" s="923"/>
    </row>
    <row r="29" spans="1:11" ht="19.5" customHeight="1" thickTop="1">
      <c r="A29" s="652"/>
      <c r="B29" s="620"/>
      <c r="C29" s="621"/>
      <c r="D29" s="621"/>
      <c r="E29" s="923"/>
      <c r="F29" s="923"/>
      <c r="G29" s="923"/>
      <c r="H29" s="923"/>
      <c r="I29" s="923"/>
      <c r="J29" s="923"/>
      <c r="K29" s="923"/>
    </row>
    <row r="30" spans="1:11" ht="19.5" customHeight="1">
      <c r="A30" s="524" t="s">
        <v>1268</v>
      </c>
    </row>
    <row r="31" spans="1:11" ht="19.5" customHeight="1">
      <c r="A31" s="523" t="s">
        <v>1741</v>
      </c>
    </row>
    <row r="32" spans="1:11" ht="19.5" customHeight="1">
      <c r="A32" s="617" t="s">
        <v>1613</v>
      </c>
    </row>
  </sheetData>
  <mergeCells count="4">
    <mergeCell ref="A7:E7"/>
    <mergeCell ref="F9:G9"/>
    <mergeCell ref="H9:I9"/>
    <mergeCell ref="J9:K9"/>
  </mergeCells>
  <pageMargins left="1" right="0.5" top="0.75" bottom="0.75" header="0.5" footer="0.5"/>
  <pageSetup paperSize="9" orientation="portrait" r:id="rId1"/>
  <headerFooter alignWithMargins="0">
    <oddFooter>&amp;CTrang</oddFooter>
  </headerFooter>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G32"/>
  <sheetViews>
    <sheetView zoomScaleNormal="100" workbookViewId="0">
      <selection activeCell="H20" sqref="H20"/>
    </sheetView>
  </sheetViews>
  <sheetFormatPr defaultRowHeight="16.5"/>
  <cols>
    <col min="1" max="1" width="31.28515625" style="523" customWidth="1"/>
    <col min="2" max="2" width="14" style="523" customWidth="1"/>
    <col min="3" max="3" width="14.5703125" style="616" customWidth="1"/>
    <col min="4" max="4" width="13" style="523" customWidth="1"/>
    <col min="5" max="5" width="14.42578125" style="523" customWidth="1"/>
    <col min="6" max="256" width="9.140625" style="523"/>
    <col min="257" max="257" width="31.28515625" style="523" customWidth="1"/>
    <col min="258" max="258" width="14" style="523" customWidth="1"/>
    <col min="259" max="259" width="14.5703125" style="523" customWidth="1"/>
    <col min="260" max="260" width="13" style="523" customWidth="1"/>
    <col min="261" max="261" width="14.42578125" style="523" customWidth="1"/>
    <col min="262" max="512" width="9.140625" style="523"/>
    <col min="513" max="513" width="31.28515625" style="523" customWidth="1"/>
    <col min="514" max="514" width="14" style="523" customWidth="1"/>
    <col min="515" max="515" width="14.5703125" style="523" customWidth="1"/>
    <col min="516" max="516" width="13" style="523" customWidth="1"/>
    <col min="517" max="517" width="14.42578125" style="523" customWidth="1"/>
    <col min="518" max="768" width="9.140625" style="523"/>
    <col min="769" max="769" width="31.28515625" style="523" customWidth="1"/>
    <col min="770" max="770" width="14" style="523" customWidth="1"/>
    <col min="771" max="771" width="14.5703125" style="523" customWidth="1"/>
    <col min="772" max="772" width="13" style="523" customWidth="1"/>
    <col min="773" max="773" width="14.42578125" style="523" customWidth="1"/>
    <col min="774" max="1024" width="9.140625" style="523"/>
    <col min="1025" max="1025" width="31.28515625" style="523" customWidth="1"/>
    <col min="1026" max="1026" width="14" style="523" customWidth="1"/>
    <col min="1027" max="1027" width="14.5703125" style="523" customWidth="1"/>
    <col min="1028" max="1028" width="13" style="523" customWidth="1"/>
    <col min="1029" max="1029" width="14.42578125" style="523" customWidth="1"/>
    <col min="1030" max="1280" width="9.140625" style="523"/>
    <col min="1281" max="1281" width="31.28515625" style="523" customWidth="1"/>
    <col min="1282" max="1282" width="14" style="523" customWidth="1"/>
    <col min="1283" max="1283" width="14.5703125" style="523" customWidth="1"/>
    <col min="1284" max="1284" width="13" style="523" customWidth="1"/>
    <col min="1285" max="1285" width="14.42578125" style="523" customWidth="1"/>
    <col min="1286" max="1536" width="9.140625" style="523"/>
    <col min="1537" max="1537" width="31.28515625" style="523" customWidth="1"/>
    <col min="1538" max="1538" width="14" style="523" customWidth="1"/>
    <col min="1539" max="1539" width="14.5703125" style="523" customWidth="1"/>
    <col min="1540" max="1540" width="13" style="523" customWidth="1"/>
    <col min="1541" max="1541" width="14.42578125" style="523" customWidth="1"/>
    <col min="1542" max="1792" width="9.140625" style="523"/>
    <col min="1793" max="1793" width="31.28515625" style="523" customWidth="1"/>
    <col min="1794" max="1794" width="14" style="523" customWidth="1"/>
    <col min="1795" max="1795" width="14.5703125" style="523" customWidth="1"/>
    <col min="1796" max="1796" width="13" style="523" customWidth="1"/>
    <col min="1797" max="1797" width="14.42578125" style="523" customWidth="1"/>
    <col min="1798" max="2048" width="9.140625" style="523"/>
    <col min="2049" max="2049" width="31.28515625" style="523" customWidth="1"/>
    <col min="2050" max="2050" width="14" style="523" customWidth="1"/>
    <col min="2051" max="2051" width="14.5703125" style="523" customWidth="1"/>
    <col min="2052" max="2052" width="13" style="523" customWidth="1"/>
    <col min="2053" max="2053" width="14.42578125" style="523" customWidth="1"/>
    <col min="2054" max="2304" width="9.140625" style="523"/>
    <col min="2305" max="2305" width="31.28515625" style="523" customWidth="1"/>
    <col min="2306" max="2306" width="14" style="523" customWidth="1"/>
    <col min="2307" max="2307" width="14.5703125" style="523" customWidth="1"/>
    <col min="2308" max="2308" width="13" style="523" customWidth="1"/>
    <col min="2309" max="2309" width="14.42578125" style="523" customWidth="1"/>
    <col min="2310" max="2560" width="9.140625" style="523"/>
    <col min="2561" max="2561" width="31.28515625" style="523" customWidth="1"/>
    <col min="2562" max="2562" width="14" style="523" customWidth="1"/>
    <col min="2563" max="2563" width="14.5703125" style="523" customWidth="1"/>
    <col min="2564" max="2564" width="13" style="523" customWidth="1"/>
    <col min="2565" max="2565" width="14.42578125" style="523" customWidth="1"/>
    <col min="2566" max="2816" width="9.140625" style="523"/>
    <col min="2817" max="2817" width="31.28515625" style="523" customWidth="1"/>
    <col min="2818" max="2818" width="14" style="523" customWidth="1"/>
    <col min="2819" max="2819" width="14.5703125" style="523" customWidth="1"/>
    <col min="2820" max="2820" width="13" style="523" customWidth="1"/>
    <col min="2821" max="2821" width="14.42578125" style="523" customWidth="1"/>
    <col min="2822" max="3072" width="9.140625" style="523"/>
    <col min="3073" max="3073" width="31.28515625" style="523" customWidth="1"/>
    <col min="3074" max="3074" width="14" style="523" customWidth="1"/>
    <col min="3075" max="3075" width="14.5703125" style="523" customWidth="1"/>
    <col min="3076" max="3076" width="13" style="523" customWidth="1"/>
    <col min="3077" max="3077" width="14.42578125" style="523" customWidth="1"/>
    <col min="3078" max="3328" width="9.140625" style="523"/>
    <col min="3329" max="3329" width="31.28515625" style="523" customWidth="1"/>
    <col min="3330" max="3330" width="14" style="523" customWidth="1"/>
    <col min="3331" max="3331" width="14.5703125" style="523" customWidth="1"/>
    <col min="3332" max="3332" width="13" style="523" customWidth="1"/>
    <col min="3333" max="3333" width="14.42578125" style="523" customWidth="1"/>
    <col min="3334" max="3584" width="9.140625" style="523"/>
    <col min="3585" max="3585" width="31.28515625" style="523" customWidth="1"/>
    <col min="3586" max="3586" width="14" style="523" customWidth="1"/>
    <col min="3587" max="3587" width="14.5703125" style="523" customWidth="1"/>
    <col min="3588" max="3588" width="13" style="523" customWidth="1"/>
    <col min="3589" max="3589" width="14.42578125" style="523" customWidth="1"/>
    <col min="3590" max="3840" width="9.140625" style="523"/>
    <col min="3841" max="3841" width="31.28515625" style="523" customWidth="1"/>
    <col min="3842" max="3842" width="14" style="523" customWidth="1"/>
    <col min="3843" max="3843" width="14.5703125" style="523" customWidth="1"/>
    <col min="3844" max="3844" width="13" style="523" customWidth="1"/>
    <col min="3845" max="3845" width="14.42578125" style="523" customWidth="1"/>
    <col min="3846" max="4096" width="9.140625" style="523"/>
    <col min="4097" max="4097" width="31.28515625" style="523" customWidth="1"/>
    <col min="4098" max="4098" width="14" style="523" customWidth="1"/>
    <col min="4099" max="4099" width="14.5703125" style="523" customWidth="1"/>
    <col min="4100" max="4100" width="13" style="523" customWidth="1"/>
    <col min="4101" max="4101" width="14.42578125" style="523" customWidth="1"/>
    <col min="4102" max="4352" width="9.140625" style="523"/>
    <col min="4353" max="4353" width="31.28515625" style="523" customWidth="1"/>
    <col min="4354" max="4354" width="14" style="523" customWidth="1"/>
    <col min="4355" max="4355" width="14.5703125" style="523" customWidth="1"/>
    <col min="4356" max="4356" width="13" style="523" customWidth="1"/>
    <col min="4357" max="4357" width="14.42578125" style="523" customWidth="1"/>
    <col min="4358" max="4608" width="9.140625" style="523"/>
    <col min="4609" max="4609" width="31.28515625" style="523" customWidth="1"/>
    <col min="4610" max="4610" width="14" style="523" customWidth="1"/>
    <col min="4611" max="4611" width="14.5703125" style="523" customWidth="1"/>
    <col min="4612" max="4612" width="13" style="523" customWidth="1"/>
    <col min="4613" max="4613" width="14.42578125" style="523" customWidth="1"/>
    <col min="4614" max="4864" width="9.140625" style="523"/>
    <col min="4865" max="4865" width="31.28515625" style="523" customWidth="1"/>
    <col min="4866" max="4866" width="14" style="523" customWidth="1"/>
    <col min="4867" max="4867" width="14.5703125" style="523" customWidth="1"/>
    <col min="4868" max="4868" width="13" style="523" customWidth="1"/>
    <col min="4869" max="4869" width="14.42578125" style="523" customWidth="1"/>
    <col min="4870" max="5120" width="9.140625" style="523"/>
    <col min="5121" max="5121" width="31.28515625" style="523" customWidth="1"/>
    <col min="5122" max="5122" width="14" style="523" customWidth="1"/>
    <col min="5123" max="5123" width="14.5703125" style="523" customWidth="1"/>
    <col min="5124" max="5124" width="13" style="523" customWidth="1"/>
    <col min="5125" max="5125" width="14.42578125" style="523" customWidth="1"/>
    <col min="5126" max="5376" width="9.140625" style="523"/>
    <col min="5377" max="5377" width="31.28515625" style="523" customWidth="1"/>
    <col min="5378" max="5378" width="14" style="523" customWidth="1"/>
    <col min="5379" max="5379" width="14.5703125" style="523" customWidth="1"/>
    <col min="5380" max="5380" width="13" style="523" customWidth="1"/>
    <col min="5381" max="5381" width="14.42578125" style="523" customWidth="1"/>
    <col min="5382" max="5632" width="9.140625" style="523"/>
    <col min="5633" max="5633" width="31.28515625" style="523" customWidth="1"/>
    <col min="5634" max="5634" width="14" style="523" customWidth="1"/>
    <col min="5635" max="5635" width="14.5703125" style="523" customWidth="1"/>
    <col min="5636" max="5636" width="13" style="523" customWidth="1"/>
    <col min="5637" max="5637" width="14.42578125" style="523" customWidth="1"/>
    <col min="5638" max="5888" width="9.140625" style="523"/>
    <col min="5889" max="5889" width="31.28515625" style="523" customWidth="1"/>
    <col min="5890" max="5890" width="14" style="523" customWidth="1"/>
    <col min="5891" max="5891" width="14.5703125" style="523" customWidth="1"/>
    <col min="5892" max="5892" width="13" style="523" customWidth="1"/>
    <col min="5893" max="5893" width="14.42578125" style="523" customWidth="1"/>
    <col min="5894" max="6144" width="9.140625" style="523"/>
    <col min="6145" max="6145" width="31.28515625" style="523" customWidth="1"/>
    <col min="6146" max="6146" width="14" style="523" customWidth="1"/>
    <col min="6147" max="6147" width="14.5703125" style="523" customWidth="1"/>
    <col min="6148" max="6148" width="13" style="523" customWidth="1"/>
    <col min="6149" max="6149" width="14.42578125" style="523" customWidth="1"/>
    <col min="6150" max="6400" width="9.140625" style="523"/>
    <col min="6401" max="6401" width="31.28515625" style="523" customWidth="1"/>
    <col min="6402" max="6402" width="14" style="523" customWidth="1"/>
    <col min="6403" max="6403" width="14.5703125" style="523" customWidth="1"/>
    <col min="6404" max="6404" width="13" style="523" customWidth="1"/>
    <col min="6405" max="6405" width="14.42578125" style="523" customWidth="1"/>
    <col min="6406" max="6656" width="9.140625" style="523"/>
    <col min="6657" max="6657" width="31.28515625" style="523" customWidth="1"/>
    <col min="6658" max="6658" width="14" style="523" customWidth="1"/>
    <col min="6659" max="6659" width="14.5703125" style="523" customWidth="1"/>
    <col min="6660" max="6660" width="13" style="523" customWidth="1"/>
    <col min="6661" max="6661" width="14.42578125" style="523" customWidth="1"/>
    <col min="6662" max="6912" width="9.140625" style="523"/>
    <col min="6913" max="6913" width="31.28515625" style="523" customWidth="1"/>
    <col min="6914" max="6914" width="14" style="523" customWidth="1"/>
    <col min="6915" max="6915" width="14.5703125" style="523" customWidth="1"/>
    <col min="6916" max="6916" width="13" style="523" customWidth="1"/>
    <col min="6917" max="6917" width="14.42578125" style="523" customWidth="1"/>
    <col min="6918" max="7168" width="9.140625" style="523"/>
    <col min="7169" max="7169" width="31.28515625" style="523" customWidth="1"/>
    <col min="7170" max="7170" width="14" style="523" customWidth="1"/>
    <col min="7171" max="7171" width="14.5703125" style="523" customWidth="1"/>
    <col min="7172" max="7172" width="13" style="523" customWidth="1"/>
    <col min="7173" max="7173" width="14.42578125" style="523" customWidth="1"/>
    <col min="7174" max="7424" width="9.140625" style="523"/>
    <col min="7425" max="7425" width="31.28515625" style="523" customWidth="1"/>
    <col min="7426" max="7426" width="14" style="523" customWidth="1"/>
    <col min="7427" max="7427" width="14.5703125" style="523" customWidth="1"/>
    <col min="7428" max="7428" width="13" style="523" customWidth="1"/>
    <col min="7429" max="7429" width="14.42578125" style="523" customWidth="1"/>
    <col min="7430" max="7680" width="9.140625" style="523"/>
    <col min="7681" max="7681" width="31.28515625" style="523" customWidth="1"/>
    <col min="7682" max="7682" width="14" style="523" customWidth="1"/>
    <col min="7683" max="7683" width="14.5703125" style="523" customWidth="1"/>
    <col min="7684" max="7684" width="13" style="523" customWidth="1"/>
    <col min="7685" max="7685" width="14.42578125" style="523" customWidth="1"/>
    <col min="7686" max="7936" width="9.140625" style="523"/>
    <col min="7937" max="7937" width="31.28515625" style="523" customWidth="1"/>
    <col min="7938" max="7938" width="14" style="523" customWidth="1"/>
    <col min="7939" max="7939" width="14.5703125" style="523" customWidth="1"/>
    <col min="7940" max="7940" width="13" style="523" customWidth="1"/>
    <col min="7941" max="7941" width="14.42578125" style="523" customWidth="1"/>
    <col min="7942" max="8192" width="9.140625" style="523"/>
    <col min="8193" max="8193" width="31.28515625" style="523" customWidth="1"/>
    <col min="8194" max="8194" width="14" style="523" customWidth="1"/>
    <col min="8195" max="8195" width="14.5703125" style="523" customWidth="1"/>
    <col min="8196" max="8196" width="13" style="523" customWidth="1"/>
    <col min="8197" max="8197" width="14.42578125" style="523" customWidth="1"/>
    <col min="8198" max="8448" width="9.140625" style="523"/>
    <col min="8449" max="8449" width="31.28515625" style="523" customWidth="1"/>
    <col min="8450" max="8450" width="14" style="523" customWidth="1"/>
    <col min="8451" max="8451" width="14.5703125" style="523" customWidth="1"/>
    <col min="8452" max="8452" width="13" style="523" customWidth="1"/>
    <col min="8453" max="8453" width="14.42578125" style="523" customWidth="1"/>
    <col min="8454" max="8704" width="9.140625" style="523"/>
    <col min="8705" max="8705" width="31.28515625" style="523" customWidth="1"/>
    <col min="8706" max="8706" width="14" style="523" customWidth="1"/>
    <col min="8707" max="8707" width="14.5703125" style="523" customWidth="1"/>
    <col min="8708" max="8708" width="13" style="523" customWidth="1"/>
    <col min="8709" max="8709" width="14.42578125" style="523" customWidth="1"/>
    <col min="8710" max="8960" width="9.140625" style="523"/>
    <col min="8961" max="8961" width="31.28515625" style="523" customWidth="1"/>
    <col min="8962" max="8962" width="14" style="523" customWidth="1"/>
    <col min="8963" max="8963" width="14.5703125" style="523" customWidth="1"/>
    <col min="8964" max="8964" width="13" style="523" customWidth="1"/>
    <col min="8965" max="8965" width="14.42578125" style="523" customWidth="1"/>
    <col min="8966" max="9216" width="9.140625" style="523"/>
    <col min="9217" max="9217" width="31.28515625" style="523" customWidth="1"/>
    <col min="9218" max="9218" width="14" style="523" customWidth="1"/>
    <col min="9219" max="9219" width="14.5703125" style="523" customWidth="1"/>
    <col min="9220" max="9220" width="13" style="523" customWidth="1"/>
    <col min="9221" max="9221" width="14.42578125" style="523" customWidth="1"/>
    <col min="9222" max="9472" width="9.140625" style="523"/>
    <col min="9473" max="9473" width="31.28515625" style="523" customWidth="1"/>
    <col min="9474" max="9474" width="14" style="523" customWidth="1"/>
    <col min="9475" max="9475" width="14.5703125" style="523" customWidth="1"/>
    <col min="9476" max="9476" width="13" style="523" customWidth="1"/>
    <col min="9477" max="9477" width="14.42578125" style="523" customWidth="1"/>
    <col min="9478" max="9728" width="9.140625" style="523"/>
    <col min="9729" max="9729" width="31.28515625" style="523" customWidth="1"/>
    <col min="9730" max="9730" width="14" style="523" customWidth="1"/>
    <col min="9731" max="9731" width="14.5703125" style="523" customWidth="1"/>
    <col min="9732" max="9732" width="13" style="523" customWidth="1"/>
    <col min="9733" max="9733" width="14.42578125" style="523" customWidth="1"/>
    <col min="9734" max="9984" width="9.140625" style="523"/>
    <col min="9985" max="9985" width="31.28515625" style="523" customWidth="1"/>
    <col min="9986" max="9986" width="14" style="523" customWidth="1"/>
    <col min="9987" max="9987" width="14.5703125" style="523" customWidth="1"/>
    <col min="9988" max="9988" width="13" style="523" customWidth="1"/>
    <col min="9989" max="9989" width="14.42578125" style="523" customWidth="1"/>
    <col min="9990" max="10240" width="9.140625" style="523"/>
    <col min="10241" max="10241" width="31.28515625" style="523" customWidth="1"/>
    <col min="10242" max="10242" width="14" style="523" customWidth="1"/>
    <col min="10243" max="10243" width="14.5703125" style="523" customWidth="1"/>
    <col min="10244" max="10244" width="13" style="523" customWidth="1"/>
    <col min="10245" max="10245" width="14.42578125" style="523" customWidth="1"/>
    <col min="10246" max="10496" width="9.140625" style="523"/>
    <col min="10497" max="10497" width="31.28515625" style="523" customWidth="1"/>
    <col min="10498" max="10498" width="14" style="523" customWidth="1"/>
    <col min="10499" max="10499" width="14.5703125" style="523" customWidth="1"/>
    <col min="10500" max="10500" width="13" style="523" customWidth="1"/>
    <col min="10501" max="10501" width="14.42578125" style="523" customWidth="1"/>
    <col min="10502" max="10752" width="9.140625" style="523"/>
    <col min="10753" max="10753" width="31.28515625" style="523" customWidth="1"/>
    <col min="10754" max="10754" width="14" style="523" customWidth="1"/>
    <col min="10755" max="10755" width="14.5703125" style="523" customWidth="1"/>
    <col min="10756" max="10756" width="13" style="523" customWidth="1"/>
    <col min="10757" max="10757" width="14.42578125" style="523" customWidth="1"/>
    <col min="10758" max="11008" width="9.140625" style="523"/>
    <col min="11009" max="11009" width="31.28515625" style="523" customWidth="1"/>
    <col min="11010" max="11010" width="14" style="523" customWidth="1"/>
    <col min="11011" max="11011" width="14.5703125" style="523" customWidth="1"/>
    <col min="11012" max="11012" width="13" style="523" customWidth="1"/>
    <col min="11013" max="11013" width="14.42578125" style="523" customWidth="1"/>
    <col min="11014" max="11264" width="9.140625" style="523"/>
    <col min="11265" max="11265" width="31.28515625" style="523" customWidth="1"/>
    <col min="11266" max="11266" width="14" style="523" customWidth="1"/>
    <col min="11267" max="11267" width="14.5703125" style="523" customWidth="1"/>
    <col min="11268" max="11268" width="13" style="523" customWidth="1"/>
    <col min="11269" max="11269" width="14.42578125" style="523" customWidth="1"/>
    <col min="11270" max="11520" width="9.140625" style="523"/>
    <col min="11521" max="11521" width="31.28515625" style="523" customWidth="1"/>
    <col min="11522" max="11522" width="14" style="523" customWidth="1"/>
    <col min="11523" max="11523" width="14.5703125" style="523" customWidth="1"/>
    <col min="11524" max="11524" width="13" style="523" customWidth="1"/>
    <col min="11525" max="11525" width="14.42578125" style="523" customWidth="1"/>
    <col min="11526" max="11776" width="9.140625" style="523"/>
    <col min="11777" max="11777" width="31.28515625" style="523" customWidth="1"/>
    <col min="11778" max="11778" width="14" style="523" customWidth="1"/>
    <col min="11779" max="11779" width="14.5703125" style="523" customWidth="1"/>
    <col min="11780" max="11780" width="13" style="523" customWidth="1"/>
    <col min="11781" max="11781" width="14.42578125" style="523" customWidth="1"/>
    <col min="11782" max="12032" width="9.140625" style="523"/>
    <col min="12033" max="12033" width="31.28515625" style="523" customWidth="1"/>
    <col min="12034" max="12034" width="14" style="523" customWidth="1"/>
    <col min="12035" max="12035" width="14.5703125" style="523" customWidth="1"/>
    <col min="12036" max="12036" width="13" style="523" customWidth="1"/>
    <col min="12037" max="12037" width="14.42578125" style="523" customWidth="1"/>
    <col min="12038" max="12288" width="9.140625" style="523"/>
    <col min="12289" max="12289" width="31.28515625" style="523" customWidth="1"/>
    <col min="12290" max="12290" width="14" style="523" customWidth="1"/>
    <col min="12291" max="12291" width="14.5703125" style="523" customWidth="1"/>
    <col min="12292" max="12292" width="13" style="523" customWidth="1"/>
    <col min="12293" max="12293" width="14.42578125" style="523" customWidth="1"/>
    <col min="12294" max="12544" width="9.140625" style="523"/>
    <col min="12545" max="12545" width="31.28515625" style="523" customWidth="1"/>
    <col min="12546" max="12546" width="14" style="523" customWidth="1"/>
    <col min="12547" max="12547" width="14.5703125" style="523" customWidth="1"/>
    <col min="12548" max="12548" width="13" style="523" customWidth="1"/>
    <col min="12549" max="12549" width="14.42578125" style="523" customWidth="1"/>
    <col min="12550" max="12800" width="9.140625" style="523"/>
    <col min="12801" max="12801" width="31.28515625" style="523" customWidth="1"/>
    <col min="12802" max="12802" width="14" style="523" customWidth="1"/>
    <col min="12803" max="12803" width="14.5703125" style="523" customWidth="1"/>
    <col min="12804" max="12804" width="13" style="523" customWidth="1"/>
    <col min="12805" max="12805" width="14.42578125" style="523" customWidth="1"/>
    <col min="12806" max="13056" width="9.140625" style="523"/>
    <col min="13057" max="13057" width="31.28515625" style="523" customWidth="1"/>
    <col min="13058" max="13058" width="14" style="523" customWidth="1"/>
    <col min="13059" max="13059" width="14.5703125" style="523" customWidth="1"/>
    <col min="13060" max="13060" width="13" style="523" customWidth="1"/>
    <col min="13061" max="13061" width="14.42578125" style="523" customWidth="1"/>
    <col min="13062" max="13312" width="9.140625" style="523"/>
    <col min="13313" max="13313" width="31.28515625" style="523" customWidth="1"/>
    <col min="13314" max="13314" width="14" style="523" customWidth="1"/>
    <col min="13315" max="13315" width="14.5703125" style="523" customWidth="1"/>
    <col min="13316" max="13316" width="13" style="523" customWidth="1"/>
    <col min="13317" max="13317" width="14.42578125" style="523" customWidth="1"/>
    <col min="13318" max="13568" width="9.140625" style="523"/>
    <col min="13569" max="13569" width="31.28515625" style="523" customWidth="1"/>
    <col min="13570" max="13570" width="14" style="523" customWidth="1"/>
    <col min="13571" max="13571" width="14.5703125" style="523" customWidth="1"/>
    <col min="13572" max="13572" width="13" style="523" customWidth="1"/>
    <col min="13573" max="13573" width="14.42578125" style="523" customWidth="1"/>
    <col min="13574" max="13824" width="9.140625" style="523"/>
    <col min="13825" max="13825" width="31.28515625" style="523" customWidth="1"/>
    <col min="13826" max="13826" width="14" style="523" customWidth="1"/>
    <col min="13827" max="13827" width="14.5703125" style="523" customWidth="1"/>
    <col min="13828" max="13828" width="13" style="523" customWidth="1"/>
    <col min="13829" max="13829" width="14.42578125" style="523" customWidth="1"/>
    <col min="13830" max="14080" width="9.140625" style="523"/>
    <col min="14081" max="14081" width="31.28515625" style="523" customWidth="1"/>
    <col min="14082" max="14082" width="14" style="523" customWidth="1"/>
    <col min="14083" max="14083" width="14.5703125" style="523" customWidth="1"/>
    <col min="14084" max="14084" width="13" style="523" customWidth="1"/>
    <col min="14085" max="14085" width="14.42578125" style="523" customWidth="1"/>
    <col min="14086" max="14336" width="9.140625" style="523"/>
    <col min="14337" max="14337" width="31.28515625" style="523" customWidth="1"/>
    <col min="14338" max="14338" width="14" style="523" customWidth="1"/>
    <col min="14339" max="14339" width="14.5703125" style="523" customWidth="1"/>
    <col min="14340" max="14340" width="13" style="523" customWidth="1"/>
    <col min="14341" max="14341" width="14.42578125" style="523" customWidth="1"/>
    <col min="14342" max="14592" width="9.140625" style="523"/>
    <col min="14593" max="14593" width="31.28515625" style="523" customWidth="1"/>
    <col min="14594" max="14594" width="14" style="523" customWidth="1"/>
    <col min="14595" max="14595" width="14.5703125" style="523" customWidth="1"/>
    <col min="14596" max="14596" width="13" style="523" customWidth="1"/>
    <col min="14597" max="14597" width="14.42578125" style="523" customWidth="1"/>
    <col min="14598" max="14848" width="9.140625" style="523"/>
    <col min="14849" max="14849" width="31.28515625" style="523" customWidth="1"/>
    <col min="14850" max="14850" width="14" style="523" customWidth="1"/>
    <col min="14851" max="14851" width="14.5703125" style="523" customWidth="1"/>
    <col min="14852" max="14852" width="13" style="523" customWidth="1"/>
    <col min="14853" max="14853" width="14.42578125" style="523" customWidth="1"/>
    <col min="14854" max="15104" width="9.140625" style="523"/>
    <col min="15105" max="15105" width="31.28515625" style="523" customWidth="1"/>
    <col min="15106" max="15106" width="14" style="523" customWidth="1"/>
    <col min="15107" max="15107" width="14.5703125" style="523" customWidth="1"/>
    <col min="15108" max="15108" width="13" style="523" customWidth="1"/>
    <col min="15109" max="15109" width="14.42578125" style="523" customWidth="1"/>
    <col min="15110" max="15360" width="9.140625" style="523"/>
    <col min="15361" max="15361" width="31.28515625" style="523" customWidth="1"/>
    <col min="15362" max="15362" width="14" style="523" customWidth="1"/>
    <col min="15363" max="15363" width="14.5703125" style="523" customWidth="1"/>
    <col min="15364" max="15364" width="13" style="523" customWidth="1"/>
    <col min="15365" max="15365" width="14.42578125" style="523" customWidth="1"/>
    <col min="15366" max="15616" width="9.140625" style="523"/>
    <col min="15617" max="15617" width="31.28515625" style="523" customWidth="1"/>
    <col min="15618" max="15618" width="14" style="523" customWidth="1"/>
    <col min="15619" max="15619" width="14.5703125" style="523" customWidth="1"/>
    <col min="15620" max="15620" width="13" style="523" customWidth="1"/>
    <col min="15621" max="15621" width="14.42578125" style="523" customWidth="1"/>
    <col min="15622" max="15872" width="9.140625" style="523"/>
    <col min="15873" max="15873" width="31.28515625" style="523" customWidth="1"/>
    <col min="15874" max="15874" width="14" style="523" customWidth="1"/>
    <col min="15875" max="15875" width="14.5703125" style="523" customWidth="1"/>
    <col min="15876" max="15876" width="13" style="523" customWidth="1"/>
    <col min="15877" max="15877" width="14.42578125" style="523" customWidth="1"/>
    <col min="15878" max="16128" width="9.140625" style="523"/>
    <col min="16129" max="16129" width="31.28515625" style="523" customWidth="1"/>
    <col min="16130" max="16130" width="14" style="523" customWidth="1"/>
    <col min="16131" max="16131" width="14.5703125" style="523" customWidth="1"/>
    <col min="16132" max="16132" width="13" style="523" customWidth="1"/>
    <col min="16133" max="16133" width="14.42578125" style="523" customWidth="1"/>
    <col min="16134" max="16384" width="9.140625" style="523"/>
  </cols>
  <sheetData>
    <row r="1" spans="1:7">
      <c r="C1" s="616" t="s">
        <v>1740</v>
      </c>
      <c r="G1" s="1383" t="s">
        <v>1020</v>
      </c>
    </row>
    <row r="3" spans="1:7" ht="18" customHeight="1"/>
    <row r="6" spans="1:7">
      <c r="A6" s="2409" t="s">
        <v>1739</v>
      </c>
      <c r="B6" s="2409"/>
      <c r="C6" s="2409"/>
      <c r="D6" s="2409"/>
      <c r="E6" s="2409"/>
    </row>
    <row r="7" spans="1:7">
      <c r="A7" s="2302"/>
      <c r="B7" s="2302"/>
      <c r="C7" s="922"/>
      <c r="D7" s="2302"/>
      <c r="E7" s="2302"/>
    </row>
    <row r="8" spans="1:7" ht="17.25" thickBot="1">
      <c r="C8" s="621"/>
      <c r="D8" s="700"/>
      <c r="E8" s="2302" t="s">
        <v>1263</v>
      </c>
    </row>
    <row r="9" spans="1:7" ht="22.5" customHeight="1" thickTop="1">
      <c r="A9" s="921" t="s">
        <v>1294</v>
      </c>
      <c r="B9" s="920" t="s">
        <v>235</v>
      </c>
      <c r="C9" s="919" t="s">
        <v>3</v>
      </c>
      <c r="D9" s="2364" t="s">
        <v>1</v>
      </c>
      <c r="E9" s="918" t="s">
        <v>4</v>
      </c>
    </row>
    <row r="10" spans="1:7" ht="20.25" customHeight="1">
      <c r="A10" s="905" t="s">
        <v>1351</v>
      </c>
      <c r="B10" s="904"/>
      <c r="C10" s="916"/>
      <c r="D10" s="886"/>
      <c r="E10" s="903">
        <f>SUM(E22+E23)</f>
        <v>114416666.66666667</v>
      </c>
    </row>
    <row r="11" spans="1:7" ht="20.25" customHeight="1">
      <c r="A11" s="599" t="s">
        <v>1692</v>
      </c>
      <c r="B11" s="598" t="s">
        <v>1287</v>
      </c>
      <c r="C11" s="627">
        <v>800</v>
      </c>
      <c r="D11" s="597">
        <v>5000</v>
      </c>
      <c r="E11" s="595">
        <f t="shared" ref="E11:E20" si="0">D11*C11</f>
        <v>4000000</v>
      </c>
    </row>
    <row r="12" spans="1:7" ht="20.25" customHeight="1">
      <c r="A12" s="599" t="s">
        <v>1691</v>
      </c>
      <c r="B12" s="598" t="s">
        <v>11</v>
      </c>
      <c r="C12" s="627">
        <v>1000</v>
      </c>
      <c r="D12" s="597">
        <v>800</v>
      </c>
      <c r="E12" s="595">
        <f t="shared" si="0"/>
        <v>800000</v>
      </c>
    </row>
    <row r="13" spans="1:7" ht="20.25" customHeight="1">
      <c r="A13" s="599" t="s">
        <v>1727</v>
      </c>
      <c r="B13" s="598" t="s">
        <v>228</v>
      </c>
      <c r="C13" s="627">
        <v>450000</v>
      </c>
      <c r="D13" s="597">
        <v>40</v>
      </c>
      <c r="E13" s="595">
        <f t="shared" si="0"/>
        <v>18000000</v>
      </c>
    </row>
    <row r="14" spans="1:7" ht="20.25" customHeight="1">
      <c r="A14" s="599" t="s">
        <v>1738</v>
      </c>
      <c r="B14" s="598" t="s">
        <v>11</v>
      </c>
      <c r="C14" s="627">
        <v>10000</v>
      </c>
      <c r="D14" s="597">
        <v>1000</v>
      </c>
      <c r="E14" s="595">
        <f t="shared" si="0"/>
        <v>10000000</v>
      </c>
    </row>
    <row r="15" spans="1:7" ht="20.25" customHeight="1">
      <c r="A15" s="599" t="s">
        <v>1737</v>
      </c>
      <c r="B15" s="598" t="s">
        <v>11</v>
      </c>
      <c r="C15" s="627">
        <v>10000</v>
      </c>
      <c r="D15" s="597">
        <v>330</v>
      </c>
      <c r="E15" s="595">
        <f t="shared" si="0"/>
        <v>3300000</v>
      </c>
    </row>
    <row r="16" spans="1:7" ht="20.25" customHeight="1">
      <c r="A16" s="599" t="s">
        <v>1724</v>
      </c>
      <c r="B16" s="598" t="s">
        <v>11</v>
      </c>
      <c r="C16" s="627">
        <v>3000</v>
      </c>
      <c r="D16" s="597">
        <v>850</v>
      </c>
      <c r="E16" s="595">
        <f t="shared" si="0"/>
        <v>2550000</v>
      </c>
    </row>
    <row r="17" spans="1:5" ht="20.25" customHeight="1">
      <c r="A17" s="599" t="s">
        <v>1723</v>
      </c>
      <c r="B17" s="598" t="s">
        <v>11</v>
      </c>
      <c r="C17" s="627">
        <v>15000</v>
      </c>
      <c r="D17" s="597">
        <v>400</v>
      </c>
      <c r="E17" s="595">
        <f t="shared" si="0"/>
        <v>6000000</v>
      </c>
    </row>
    <row r="18" spans="1:5" ht="20.25" customHeight="1">
      <c r="A18" s="599" t="s">
        <v>1736</v>
      </c>
      <c r="B18" s="598" t="s">
        <v>11</v>
      </c>
      <c r="C18" s="627">
        <v>160000</v>
      </c>
      <c r="D18" s="597">
        <v>10</v>
      </c>
      <c r="E18" s="595">
        <f t="shared" si="0"/>
        <v>1600000</v>
      </c>
    </row>
    <row r="19" spans="1:5" ht="20.25" customHeight="1">
      <c r="A19" s="599" t="s">
        <v>1369</v>
      </c>
      <c r="B19" s="598" t="s">
        <v>1397</v>
      </c>
      <c r="C19" s="627">
        <v>70000</v>
      </c>
      <c r="D19" s="597">
        <v>120</v>
      </c>
      <c r="E19" s="595">
        <f t="shared" si="0"/>
        <v>8400000</v>
      </c>
    </row>
    <row r="20" spans="1:5" ht="20.25" customHeight="1">
      <c r="A20" s="599" t="s">
        <v>1368</v>
      </c>
      <c r="B20" s="598" t="s">
        <v>511</v>
      </c>
      <c r="C20" s="627">
        <v>180000</v>
      </c>
      <c r="D20" s="597">
        <v>320</v>
      </c>
      <c r="E20" s="595">
        <f t="shared" si="0"/>
        <v>57600000</v>
      </c>
    </row>
    <row r="21" spans="1:5" ht="20.25" customHeight="1">
      <c r="A21" s="599" t="s">
        <v>1735</v>
      </c>
      <c r="B21" s="598"/>
      <c r="C21" s="627"/>
      <c r="D21" s="597"/>
      <c r="E21" s="595">
        <v>300000</v>
      </c>
    </row>
    <row r="22" spans="1:5" ht="20.25" customHeight="1">
      <c r="A22" s="893" t="s">
        <v>1344</v>
      </c>
      <c r="B22" s="598"/>
      <c r="C22" s="627"/>
      <c r="D22" s="876"/>
      <c r="E22" s="879">
        <f>SUM(E11:E21)</f>
        <v>112550000</v>
      </c>
    </row>
    <row r="23" spans="1:5" ht="20.25" customHeight="1">
      <c r="A23" s="599" t="s">
        <v>1734</v>
      </c>
      <c r="B23" s="598" t="s">
        <v>1270</v>
      </c>
      <c r="C23" s="627"/>
      <c r="D23" s="597"/>
      <c r="E23" s="595">
        <f>70000000*8%/3</f>
        <v>1866666.6666666667</v>
      </c>
    </row>
    <row r="24" spans="1:5" ht="20.25" customHeight="1">
      <c r="A24" s="893" t="s">
        <v>1341</v>
      </c>
      <c r="B24" s="598"/>
      <c r="C24" s="627"/>
      <c r="D24" s="876"/>
      <c r="E24" s="879">
        <f>E26</f>
        <v>160000000</v>
      </c>
    </row>
    <row r="25" spans="1:5" ht="20.25" customHeight="1">
      <c r="A25" s="599" t="s">
        <v>1340</v>
      </c>
      <c r="B25" s="598" t="s">
        <v>11</v>
      </c>
      <c r="C25" s="627"/>
      <c r="D25" s="597">
        <v>20000</v>
      </c>
      <c r="E25" s="595"/>
    </row>
    <row r="26" spans="1:5" ht="20.25" customHeight="1">
      <c r="A26" s="599" t="s">
        <v>1339</v>
      </c>
      <c r="B26" s="598" t="s">
        <v>1270</v>
      </c>
      <c r="C26" s="627">
        <v>8000</v>
      </c>
      <c r="D26" s="597">
        <f>D25</f>
        <v>20000</v>
      </c>
      <c r="E26" s="595">
        <f>D26*C26</f>
        <v>160000000</v>
      </c>
    </row>
    <row r="27" spans="1:5" ht="20.25" customHeight="1">
      <c r="A27" s="902" t="s">
        <v>1337</v>
      </c>
      <c r="B27" s="910"/>
      <c r="C27" s="914"/>
      <c r="D27" s="872"/>
      <c r="E27" s="870">
        <f>E24-E10</f>
        <v>45583333.333333328</v>
      </c>
    </row>
    <row r="28" spans="1:5" ht="20.25" customHeight="1" thickBot="1">
      <c r="A28" s="789" t="s">
        <v>1269</v>
      </c>
      <c r="B28" s="892" t="s">
        <v>90</v>
      </c>
      <c r="C28" s="624"/>
      <c r="D28" s="869"/>
      <c r="E28" s="868">
        <f>E27/E24</f>
        <v>0.28489583333333329</v>
      </c>
    </row>
    <row r="29" spans="1:5" ht="20.25" customHeight="1" thickTop="1">
      <c r="A29" s="652"/>
      <c r="B29" s="620"/>
      <c r="C29" s="621"/>
      <c r="D29" s="891"/>
      <c r="E29" s="891"/>
    </row>
    <row r="30" spans="1:5" ht="20.25" customHeight="1">
      <c r="A30" s="524" t="s">
        <v>1268</v>
      </c>
    </row>
    <row r="31" spans="1:5" ht="20.25" customHeight="1">
      <c r="A31" s="523" t="s">
        <v>1733</v>
      </c>
    </row>
    <row r="32" spans="1:5" ht="20.25" customHeight="1">
      <c r="A32" s="617" t="s">
        <v>1613</v>
      </c>
    </row>
  </sheetData>
  <mergeCells count="1">
    <mergeCell ref="A6:E6"/>
  </mergeCells>
  <pageMargins left="1" right="0.5" top="0.75" bottom="0.75" header="0.5" footer="0.5"/>
  <pageSetup paperSize="9" orientation="portrait" r:id="rId1"/>
  <headerFooter alignWithMargins="0">
    <oddFooter>&amp;CTrang</oddFooter>
  </headerFooter>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B1:I18"/>
  <sheetViews>
    <sheetView zoomScaleNormal="100" workbookViewId="0">
      <selection activeCell="J13" sqref="J13"/>
    </sheetView>
  </sheetViews>
  <sheetFormatPr defaultRowHeight="16.5"/>
  <cols>
    <col min="1" max="1" width="7" style="963" customWidth="1"/>
    <col min="2" max="2" width="27.7109375" style="963" customWidth="1"/>
    <col min="3" max="3" width="5.5703125" style="963" customWidth="1"/>
    <col min="4" max="4" width="6.5703125" style="1228" customWidth="1"/>
    <col min="5" max="5" width="7" style="1272" customWidth="1"/>
    <col min="6" max="6" width="7.85546875" style="1228" customWidth="1"/>
    <col min="7" max="7" width="14.140625" style="963" bestFit="1" customWidth="1"/>
    <col min="8" max="8" width="17.140625" style="963" customWidth="1"/>
    <col min="9" max="9" width="6.85546875" style="963" customWidth="1"/>
    <col min="10" max="11" width="9.140625" style="963"/>
    <col min="12" max="12" width="10.28515625" style="963" bestFit="1" customWidth="1"/>
    <col min="13" max="16384" width="9.140625" style="963"/>
  </cols>
  <sheetData>
    <row r="1" spans="2:9">
      <c r="C1" s="963" t="s">
        <v>2213</v>
      </c>
      <c r="G1" s="1382" t="s">
        <v>1020</v>
      </c>
    </row>
    <row r="2" spans="2:9">
      <c r="B2" s="1288"/>
      <c r="C2" s="1288"/>
      <c r="D2" s="1234"/>
      <c r="E2" s="1289"/>
      <c r="F2" s="1234"/>
      <c r="G2" s="1288"/>
      <c r="H2" s="1288"/>
    </row>
    <row r="4" spans="2:9" s="1286" customFormat="1" ht="48" customHeight="1">
      <c r="B4" s="974" t="s">
        <v>1294</v>
      </c>
      <c r="C4" s="974" t="s">
        <v>2202</v>
      </c>
      <c r="D4" s="974" t="s">
        <v>2201</v>
      </c>
      <c r="E4" s="1287" t="s">
        <v>2200</v>
      </c>
      <c r="F4" s="974" t="s">
        <v>2199</v>
      </c>
      <c r="G4" s="974" t="s">
        <v>2198</v>
      </c>
      <c r="H4" s="974" t="s">
        <v>2197</v>
      </c>
    </row>
    <row r="5" spans="2:9" s="1273" customFormat="1" ht="20.100000000000001" customHeight="1">
      <c r="B5" s="971" t="s">
        <v>2212</v>
      </c>
      <c r="C5" s="1277">
        <v>2</v>
      </c>
      <c r="D5" s="1277">
        <v>6</v>
      </c>
      <c r="E5" s="1278">
        <v>50</v>
      </c>
      <c r="F5" s="1277" t="s">
        <v>1660</v>
      </c>
      <c r="G5" s="1276">
        <v>300000</v>
      </c>
      <c r="H5" s="1280">
        <f>C5*D5*E5*G5</f>
        <v>180000000</v>
      </c>
    </row>
    <row r="6" spans="2:9" s="1273" customFormat="1" ht="20.100000000000001" customHeight="1">
      <c r="B6" s="971" t="s">
        <v>2211</v>
      </c>
      <c r="C6" s="1277">
        <f>C5</f>
        <v>2</v>
      </c>
      <c r="D6" s="1277">
        <v>6</v>
      </c>
      <c r="E6" s="1278">
        <v>120</v>
      </c>
      <c r="F6" s="1277" t="s">
        <v>2210</v>
      </c>
      <c r="G6" s="1276">
        <v>30000</v>
      </c>
      <c r="H6" s="1280">
        <f t="shared" ref="H6:H11" si="0">E6*G6*D6*C6</f>
        <v>43200000</v>
      </c>
    </row>
    <row r="7" spans="2:9" s="1273" customFormat="1" ht="20.100000000000001" customHeight="1">
      <c r="B7" s="971" t="s">
        <v>2209</v>
      </c>
      <c r="C7" s="1277">
        <f>C6</f>
        <v>2</v>
      </c>
      <c r="D7" s="1277">
        <v>6</v>
      </c>
      <c r="E7" s="1278">
        <v>1</v>
      </c>
      <c r="F7" s="1277" t="s">
        <v>149</v>
      </c>
      <c r="G7" s="1285">
        <v>2500000</v>
      </c>
      <c r="H7" s="1280">
        <f t="shared" si="0"/>
        <v>30000000</v>
      </c>
    </row>
    <row r="8" spans="2:9" s="1273" customFormat="1" ht="20.100000000000001" customHeight="1">
      <c r="B8" s="971" t="s">
        <v>2208</v>
      </c>
      <c r="C8" s="1277">
        <f>C7</f>
        <v>2</v>
      </c>
      <c r="D8" s="1277">
        <v>6</v>
      </c>
      <c r="E8" s="1278">
        <v>5</v>
      </c>
      <c r="F8" s="1277" t="s">
        <v>513</v>
      </c>
      <c r="G8" s="1276">
        <v>200000</v>
      </c>
      <c r="H8" s="1280">
        <f t="shared" si="0"/>
        <v>12000000</v>
      </c>
    </row>
    <row r="9" spans="2:9" s="1273" customFormat="1" ht="20.100000000000001" customHeight="1">
      <c r="B9" s="971" t="s">
        <v>1239</v>
      </c>
      <c r="C9" s="1277">
        <f>C8</f>
        <v>2</v>
      </c>
      <c r="D9" s="1277">
        <v>6</v>
      </c>
      <c r="E9" s="1278">
        <v>40</v>
      </c>
      <c r="F9" s="1277" t="s">
        <v>511</v>
      </c>
      <c r="G9" s="1276">
        <v>300000</v>
      </c>
      <c r="H9" s="1280">
        <f t="shared" si="0"/>
        <v>144000000</v>
      </c>
    </row>
    <row r="10" spans="2:9" s="1273" customFormat="1" ht="20.100000000000001" customHeight="1">
      <c r="B10" s="971" t="s">
        <v>2207</v>
      </c>
      <c r="C10" s="1277">
        <v>1</v>
      </c>
      <c r="D10" s="1277">
        <v>6</v>
      </c>
      <c r="E10" s="1278">
        <v>12</v>
      </c>
      <c r="F10" s="1277" t="s">
        <v>74</v>
      </c>
      <c r="G10" s="1276">
        <v>400000</v>
      </c>
      <c r="H10" s="1280">
        <f t="shared" si="0"/>
        <v>28800000</v>
      </c>
    </row>
    <row r="11" spans="2:9" s="1273" customFormat="1" ht="20.100000000000001" customHeight="1">
      <c r="B11" s="971" t="s">
        <v>217</v>
      </c>
      <c r="C11" s="1277">
        <v>1</v>
      </c>
      <c r="D11" s="1277">
        <v>6</v>
      </c>
      <c r="E11" s="1278">
        <v>12</v>
      </c>
      <c r="F11" s="1277" t="s">
        <v>74</v>
      </c>
      <c r="G11" s="1276">
        <v>300000</v>
      </c>
      <c r="H11" s="1280">
        <f t="shared" si="0"/>
        <v>21600000</v>
      </c>
    </row>
    <row r="12" spans="2:9" s="1273" customFormat="1" ht="20.100000000000001" customHeight="1">
      <c r="B12" s="971" t="s">
        <v>2206</v>
      </c>
      <c r="C12" s="1277"/>
      <c r="D12" s="1277"/>
      <c r="E12" s="1278">
        <v>12</v>
      </c>
      <c r="F12" s="1277" t="s">
        <v>74</v>
      </c>
      <c r="G12" s="1276">
        <f>H12/E12</f>
        <v>9000000</v>
      </c>
      <c r="H12" s="1280">
        <f>38000000+50000000+20000000</f>
        <v>108000000</v>
      </c>
    </row>
    <row r="13" spans="2:9" s="1273" customFormat="1" ht="20.100000000000001" customHeight="1">
      <c r="B13" s="967" t="s">
        <v>1072</v>
      </c>
      <c r="C13" s="967"/>
      <c r="D13" s="1282"/>
      <c r="E13" s="1283"/>
      <c r="F13" s="1282"/>
      <c r="G13" s="1276"/>
      <c r="H13" s="1275">
        <f>SUM(H5:H12)</f>
        <v>567600000</v>
      </c>
    </row>
    <row r="14" spans="2:9" s="1273" customFormat="1" ht="20.100000000000001" customHeight="1">
      <c r="B14" s="967" t="s">
        <v>2184</v>
      </c>
      <c r="C14" s="1277"/>
      <c r="D14" s="1277"/>
      <c r="E14" s="1278"/>
      <c r="F14" s="1277"/>
      <c r="G14" s="1276"/>
      <c r="H14" s="1275">
        <f>H15</f>
        <v>972000000</v>
      </c>
      <c r="I14" s="1274"/>
    </row>
    <row r="15" spans="2:9" s="1273" customFormat="1" ht="20.100000000000001" customHeight="1">
      <c r="B15" s="971" t="s">
        <v>2205</v>
      </c>
      <c r="C15" s="1277">
        <f>C5</f>
        <v>2</v>
      </c>
      <c r="D15" s="1277">
        <v>6</v>
      </c>
      <c r="E15" s="1278">
        <v>30</v>
      </c>
      <c r="F15" s="1277" t="s">
        <v>515</v>
      </c>
      <c r="G15" s="1276">
        <v>2700000</v>
      </c>
      <c r="H15" s="1280">
        <f>E15*G15*D15*C15</f>
        <v>972000000</v>
      </c>
      <c r="I15" s="1279"/>
    </row>
    <row r="16" spans="2:9" s="1273" customFormat="1" ht="20.100000000000001" customHeight="1">
      <c r="B16" s="967" t="s">
        <v>2182</v>
      </c>
      <c r="C16" s="1277"/>
      <c r="D16" s="1277"/>
      <c r="E16" s="1278"/>
      <c r="F16" s="1277"/>
      <c r="G16" s="1276"/>
      <c r="H16" s="1275">
        <f>H14-H13</f>
        <v>404400000</v>
      </c>
      <c r="I16" s="1274"/>
    </row>
    <row r="17" spans="2:9" s="1273" customFormat="1" ht="20.100000000000001" customHeight="1">
      <c r="B17" s="971" t="s">
        <v>305</v>
      </c>
      <c r="C17" s="1277"/>
      <c r="D17" s="1277"/>
      <c r="E17" s="1281">
        <v>9.5</v>
      </c>
      <c r="F17" s="1277" t="s">
        <v>90</v>
      </c>
      <c r="G17" s="1276">
        <v>100000000</v>
      </c>
      <c r="H17" s="1280">
        <f>G17*E17/100</f>
        <v>9500000</v>
      </c>
      <c r="I17" s="1279"/>
    </row>
    <row r="18" spans="2:9" s="1273" customFormat="1" ht="20.100000000000001" customHeight="1">
      <c r="B18" s="967" t="s">
        <v>2181</v>
      </c>
      <c r="C18" s="1277"/>
      <c r="D18" s="1277"/>
      <c r="E18" s="1278"/>
      <c r="F18" s="1277"/>
      <c r="G18" s="1276"/>
      <c r="H18" s="1275">
        <f>H16-H17</f>
        <v>394900000</v>
      </c>
      <c r="I18" s="1274"/>
    </row>
  </sheetData>
  <pageMargins left="0" right="0" top="0.25" bottom="0.25" header="0.3" footer="0.3"/>
  <pageSetup paperSize="9"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M39"/>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7.140625" style="525" bestFit="1" customWidth="1"/>
    <col min="9" max="9" width="11.140625" style="525" customWidth="1"/>
    <col min="10" max="10" width="16.42578125" style="525" customWidth="1"/>
    <col min="11" max="11" width="10.140625" style="525" bestFit="1" customWidth="1"/>
    <col min="12" max="12" width="16.85546875" style="570" bestFit="1" customWidth="1"/>
    <col min="13" max="13" width="14.5703125" style="525" bestFit="1" customWidth="1"/>
    <col min="14"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7.140625" style="525" bestFit="1" customWidth="1"/>
    <col min="265" max="265" width="11.140625" style="525" customWidth="1"/>
    <col min="266" max="266" width="16.42578125" style="525" customWidth="1"/>
    <col min="267" max="267" width="10.140625" style="525" bestFit="1" customWidth="1"/>
    <col min="268" max="268" width="16.85546875" style="525" bestFit="1" customWidth="1"/>
    <col min="269" max="269" width="14.5703125" style="525" bestFit="1" customWidth="1"/>
    <col min="270"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7.140625" style="525" bestFit="1" customWidth="1"/>
    <col min="521" max="521" width="11.140625" style="525" customWidth="1"/>
    <col min="522" max="522" width="16.42578125" style="525" customWidth="1"/>
    <col min="523" max="523" width="10.140625" style="525" bestFit="1" customWidth="1"/>
    <col min="524" max="524" width="16.85546875" style="525" bestFit="1" customWidth="1"/>
    <col min="525" max="525" width="14.5703125" style="525" bestFit="1" customWidth="1"/>
    <col min="526"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7.140625" style="525" bestFit="1" customWidth="1"/>
    <col min="777" max="777" width="11.140625" style="525" customWidth="1"/>
    <col min="778" max="778" width="16.42578125" style="525" customWidth="1"/>
    <col min="779" max="779" width="10.140625" style="525" bestFit="1" customWidth="1"/>
    <col min="780" max="780" width="16.85546875" style="525" bestFit="1" customWidth="1"/>
    <col min="781" max="781" width="14.5703125" style="525" bestFit="1" customWidth="1"/>
    <col min="782"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7.140625" style="525" bestFit="1" customWidth="1"/>
    <col min="1033" max="1033" width="11.140625" style="525" customWidth="1"/>
    <col min="1034" max="1034" width="16.42578125" style="525" customWidth="1"/>
    <col min="1035" max="1035" width="10.140625" style="525" bestFit="1" customWidth="1"/>
    <col min="1036" max="1036" width="16.85546875" style="525" bestFit="1" customWidth="1"/>
    <col min="1037" max="1037" width="14.5703125" style="525" bestFit="1" customWidth="1"/>
    <col min="1038"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7.140625" style="525" bestFit="1" customWidth="1"/>
    <col min="1289" max="1289" width="11.140625" style="525" customWidth="1"/>
    <col min="1290" max="1290" width="16.42578125" style="525" customWidth="1"/>
    <col min="1291" max="1291" width="10.140625" style="525" bestFit="1" customWidth="1"/>
    <col min="1292" max="1292" width="16.85546875" style="525" bestFit="1" customWidth="1"/>
    <col min="1293" max="1293" width="14.5703125" style="525" bestFit="1" customWidth="1"/>
    <col min="1294"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7.140625" style="525" bestFit="1" customWidth="1"/>
    <col min="1545" max="1545" width="11.140625" style="525" customWidth="1"/>
    <col min="1546" max="1546" width="16.42578125" style="525" customWidth="1"/>
    <col min="1547" max="1547" width="10.140625" style="525" bestFit="1" customWidth="1"/>
    <col min="1548" max="1548" width="16.85546875" style="525" bestFit="1" customWidth="1"/>
    <col min="1549" max="1549" width="14.5703125" style="525" bestFit="1" customWidth="1"/>
    <col min="1550"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7.140625" style="525" bestFit="1" customWidth="1"/>
    <col min="1801" max="1801" width="11.140625" style="525" customWidth="1"/>
    <col min="1802" max="1802" width="16.42578125" style="525" customWidth="1"/>
    <col min="1803" max="1803" width="10.140625" style="525" bestFit="1" customWidth="1"/>
    <col min="1804" max="1804" width="16.85546875" style="525" bestFit="1" customWidth="1"/>
    <col min="1805" max="1805" width="14.5703125" style="525" bestFit="1" customWidth="1"/>
    <col min="1806"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7.140625" style="525" bestFit="1" customWidth="1"/>
    <col min="2057" max="2057" width="11.140625" style="525" customWidth="1"/>
    <col min="2058" max="2058" width="16.42578125" style="525" customWidth="1"/>
    <col min="2059" max="2059" width="10.140625" style="525" bestFit="1" customWidth="1"/>
    <col min="2060" max="2060" width="16.85546875" style="525" bestFit="1" customWidth="1"/>
    <col min="2061" max="2061" width="14.5703125" style="525" bestFit="1" customWidth="1"/>
    <col min="2062"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7.140625" style="525" bestFit="1" customWidth="1"/>
    <col min="2313" max="2313" width="11.140625" style="525" customWidth="1"/>
    <col min="2314" max="2314" width="16.42578125" style="525" customWidth="1"/>
    <col min="2315" max="2315" width="10.140625" style="525" bestFit="1" customWidth="1"/>
    <col min="2316" max="2316" width="16.85546875" style="525" bestFit="1" customWidth="1"/>
    <col min="2317" max="2317" width="14.5703125" style="525" bestFit="1" customWidth="1"/>
    <col min="2318"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7.140625" style="525" bestFit="1" customWidth="1"/>
    <col min="2569" max="2569" width="11.140625" style="525" customWidth="1"/>
    <col min="2570" max="2570" width="16.42578125" style="525" customWidth="1"/>
    <col min="2571" max="2571" width="10.140625" style="525" bestFit="1" customWidth="1"/>
    <col min="2572" max="2572" width="16.85546875" style="525" bestFit="1" customWidth="1"/>
    <col min="2573" max="2573" width="14.5703125" style="525" bestFit="1" customWidth="1"/>
    <col min="2574"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7.140625" style="525" bestFit="1" customWidth="1"/>
    <col min="2825" max="2825" width="11.140625" style="525" customWidth="1"/>
    <col min="2826" max="2826" width="16.42578125" style="525" customWidth="1"/>
    <col min="2827" max="2827" width="10.140625" style="525" bestFit="1" customWidth="1"/>
    <col min="2828" max="2828" width="16.85546875" style="525" bestFit="1" customWidth="1"/>
    <col min="2829" max="2829" width="14.5703125" style="525" bestFit="1" customWidth="1"/>
    <col min="2830"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7.140625" style="525" bestFit="1" customWidth="1"/>
    <col min="3081" max="3081" width="11.140625" style="525" customWidth="1"/>
    <col min="3082" max="3082" width="16.42578125" style="525" customWidth="1"/>
    <col min="3083" max="3083" width="10.140625" style="525" bestFit="1" customWidth="1"/>
    <col min="3084" max="3084" width="16.85546875" style="525" bestFit="1" customWidth="1"/>
    <col min="3085" max="3085" width="14.5703125" style="525" bestFit="1" customWidth="1"/>
    <col min="3086"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7.140625" style="525" bestFit="1" customWidth="1"/>
    <col min="3337" max="3337" width="11.140625" style="525" customWidth="1"/>
    <col min="3338" max="3338" width="16.42578125" style="525" customWidth="1"/>
    <col min="3339" max="3339" width="10.140625" style="525" bestFit="1" customWidth="1"/>
    <col min="3340" max="3340" width="16.85546875" style="525" bestFit="1" customWidth="1"/>
    <col min="3341" max="3341" width="14.5703125" style="525" bestFit="1" customWidth="1"/>
    <col min="3342"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7.140625" style="525" bestFit="1" customWidth="1"/>
    <col min="3593" max="3593" width="11.140625" style="525" customWidth="1"/>
    <col min="3594" max="3594" width="16.42578125" style="525" customWidth="1"/>
    <col min="3595" max="3595" width="10.140625" style="525" bestFit="1" customWidth="1"/>
    <col min="3596" max="3596" width="16.85546875" style="525" bestFit="1" customWidth="1"/>
    <col min="3597" max="3597" width="14.5703125" style="525" bestFit="1" customWidth="1"/>
    <col min="3598"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7.140625" style="525" bestFit="1" customWidth="1"/>
    <col min="3849" max="3849" width="11.140625" style="525" customWidth="1"/>
    <col min="3850" max="3850" width="16.42578125" style="525" customWidth="1"/>
    <col min="3851" max="3851" width="10.140625" style="525" bestFit="1" customWidth="1"/>
    <col min="3852" max="3852" width="16.85546875" style="525" bestFit="1" customWidth="1"/>
    <col min="3853" max="3853" width="14.5703125" style="525" bestFit="1" customWidth="1"/>
    <col min="3854"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7.140625" style="525" bestFit="1" customWidth="1"/>
    <col min="4105" max="4105" width="11.140625" style="525" customWidth="1"/>
    <col min="4106" max="4106" width="16.42578125" style="525" customWidth="1"/>
    <col min="4107" max="4107" width="10.140625" style="525" bestFit="1" customWidth="1"/>
    <col min="4108" max="4108" width="16.85546875" style="525" bestFit="1" customWidth="1"/>
    <col min="4109" max="4109" width="14.5703125" style="525" bestFit="1" customWidth="1"/>
    <col min="4110"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7.140625" style="525" bestFit="1" customWidth="1"/>
    <col min="4361" max="4361" width="11.140625" style="525" customWidth="1"/>
    <col min="4362" max="4362" width="16.42578125" style="525" customWidth="1"/>
    <col min="4363" max="4363" width="10.140625" style="525" bestFit="1" customWidth="1"/>
    <col min="4364" max="4364" width="16.85546875" style="525" bestFit="1" customWidth="1"/>
    <col min="4365" max="4365" width="14.5703125" style="525" bestFit="1" customWidth="1"/>
    <col min="4366"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7.140625" style="525" bestFit="1" customWidth="1"/>
    <col min="4617" max="4617" width="11.140625" style="525" customWidth="1"/>
    <col min="4618" max="4618" width="16.42578125" style="525" customWidth="1"/>
    <col min="4619" max="4619" width="10.140625" style="525" bestFit="1" customWidth="1"/>
    <col min="4620" max="4620" width="16.85546875" style="525" bestFit="1" customWidth="1"/>
    <col min="4621" max="4621" width="14.5703125" style="525" bestFit="1" customWidth="1"/>
    <col min="4622"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7.140625" style="525" bestFit="1" customWidth="1"/>
    <col min="4873" max="4873" width="11.140625" style="525" customWidth="1"/>
    <col min="4874" max="4874" width="16.42578125" style="525" customWidth="1"/>
    <col min="4875" max="4875" width="10.140625" style="525" bestFit="1" customWidth="1"/>
    <col min="4876" max="4876" width="16.85546875" style="525" bestFit="1" customWidth="1"/>
    <col min="4877" max="4877" width="14.5703125" style="525" bestFit="1" customWidth="1"/>
    <col min="4878"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7.140625" style="525" bestFit="1" customWidth="1"/>
    <col min="5129" max="5129" width="11.140625" style="525" customWidth="1"/>
    <col min="5130" max="5130" width="16.42578125" style="525" customWidth="1"/>
    <col min="5131" max="5131" width="10.140625" style="525" bestFit="1" customWidth="1"/>
    <col min="5132" max="5132" width="16.85546875" style="525" bestFit="1" customWidth="1"/>
    <col min="5133" max="5133" width="14.5703125" style="525" bestFit="1" customWidth="1"/>
    <col min="5134"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7.140625" style="525" bestFit="1" customWidth="1"/>
    <col min="5385" max="5385" width="11.140625" style="525" customWidth="1"/>
    <col min="5386" max="5386" width="16.42578125" style="525" customWidth="1"/>
    <col min="5387" max="5387" width="10.140625" style="525" bestFit="1" customWidth="1"/>
    <col min="5388" max="5388" width="16.85546875" style="525" bestFit="1" customWidth="1"/>
    <col min="5389" max="5389" width="14.5703125" style="525" bestFit="1" customWidth="1"/>
    <col min="5390"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7.140625" style="525" bestFit="1" customWidth="1"/>
    <col min="5641" max="5641" width="11.140625" style="525" customWidth="1"/>
    <col min="5642" max="5642" width="16.42578125" style="525" customWidth="1"/>
    <col min="5643" max="5643" width="10.140625" style="525" bestFit="1" customWidth="1"/>
    <col min="5644" max="5644" width="16.85546875" style="525" bestFit="1" customWidth="1"/>
    <col min="5645" max="5645" width="14.5703125" style="525" bestFit="1" customWidth="1"/>
    <col min="5646"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7.140625" style="525" bestFit="1" customWidth="1"/>
    <col min="5897" max="5897" width="11.140625" style="525" customWidth="1"/>
    <col min="5898" max="5898" width="16.42578125" style="525" customWidth="1"/>
    <col min="5899" max="5899" width="10.140625" style="525" bestFit="1" customWidth="1"/>
    <col min="5900" max="5900" width="16.85546875" style="525" bestFit="1" customWidth="1"/>
    <col min="5901" max="5901" width="14.5703125" style="525" bestFit="1" customWidth="1"/>
    <col min="5902"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7.140625" style="525" bestFit="1" customWidth="1"/>
    <col min="6153" max="6153" width="11.140625" style="525" customWidth="1"/>
    <col min="6154" max="6154" width="16.42578125" style="525" customWidth="1"/>
    <col min="6155" max="6155" width="10.140625" style="525" bestFit="1" customWidth="1"/>
    <col min="6156" max="6156" width="16.85546875" style="525" bestFit="1" customWidth="1"/>
    <col min="6157" max="6157" width="14.5703125" style="525" bestFit="1" customWidth="1"/>
    <col min="6158"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7.140625" style="525" bestFit="1" customWidth="1"/>
    <col min="6409" max="6409" width="11.140625" style="525" customWidth="1"/>
    <col min="6410" max="6410" width="16.42578125" style="525" customWidth="1"/>
    <col min="6411" max="6411" width="10.140625" style="525" bestFit="1" customWidth="1"/>
    <col min="6412" max="6412" width="16.85546875" style="525" bestFit="1" customWidth="1"/>
    <col min="6413" max="6413" width="14.5703125" style="525" bestFit="1" customWidth="1"/>
    <col min="6414"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7.140625" style="525" bestFit="1" customWidth="1"/>
    <col min="6665" max="6665" width="11.140625" style="525" customWidth="1"/>
    <col min="6666" max="6666" width="16.42578125" style="525" customWidth="1"/>
    <col min="6667" max="6667" width="10.140625" style="525" bestFit="1" customWidth="1"/>
    <col min="6668" max="6668" width="16.85546875" style="525" bestFit="1" customWidth="1"/>
    <col min="6669" max="6669" width="14.5703125" style="525" bestFit="1" customWidth="1"/>
    <col min="6670"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7.140625" style="525" bestFit="1" customWidth="1"/>
    <col min="6921" max="6921" width="11.140625" style="525" customWidth="1"/>
    <col min="6922" max="6922" width="16.42578125" style="525" customWidth="1"/>
    <col min="6923" max="6923" width="10.140625" style="525" bestFit="1" customWidth="1"/>
    <col min="6924" max="6924" width="16.85546875" style="525" bestFit="1" customWidth="1"/>
    <col min="6925" max="6925" width="14.5703125" style="525" bestFit="1" customWidth="1"/>
    <col min="6926"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7.140625" style="525" bestFit="1" customWidth="1"/>
    <col min="7177" max="7177" width="11.140625" style="525" customWidth="1"/>
    <col min="7178" max="7178" width="16.42578125" style="525" customWidth="1"/>
    <col min="7179" max="7179" width="10.140625" style="525" bestFit="1" customWidth="1"/>
    <col min="7180" max="7180" width="16.85546875" style="525" bestFit="1" customWidth="1"/>
    <col min="7181" max="7181" width="14.5703125" style="525" bestFit="1" customWidth="1"/>
    <col min="7182"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7.140625" style="525" bestFit="1" customWidth="1"/>
    <col min="7433" max="7433" width="11.140625" style="525" customWidth="1"/>
    <col min="7434" max="7434" width="16.42578125" style="525" customWidth="1"/>
    <col min="7435" max="7435" width="10.140625" style="525" bestFit="1" customWidth="1"/>
    <col min="7436" max="7436" width="16.85546875" style="525" bestFit="1" customWidth="1"/>
    <col min="7437" max="7437" width="14.5703125" style="525" bestFit="1" customWidth="1"/>
    <col min="7438"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7.140625" style="525" bestFit="1" customWidth="1"/>
    <col min="7689" max="7689" width="11.140625" style="525" customWidth="1"/>
    <col min="7690" max="7690" width="16.42578125" style="525" customWidth="1"/>
    <col min="7691" max="7691" width="10.140625" style="525" bestFit="1" customWidth="1"/>
    <col min="7692" max="7692" width="16.85546875" style="525" bestFit="1" customWidth="1"/>
    <col min="7693" max="7693" width="14.5703125" style="525" bestFit="1" customWidth="1"/>
    <col min="7694"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7.140625" style="525" bestFit="1" customWidth="1"/>
    <col min="7945" max="7945" width="11.140625" style="525" customWidth="1"/>
    <col min="7946" max="7946" width="16.42578125" style="525" customWidth="1"/>
    <col min="7947" max="7947" width="10.140625" style="525" bestFit="1" customWidth="1"/>
    <col min="7948" max="7948" width="16.85546875" style="525" bestFit="1" customWidth="1"/>
    <col min="7949" max="7949" width="14.5703125" style="525" bestFit="1" customWidth="1"/>
    <col min="7950"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7.140625" style="525" bestFit="1" customWidth="1"/>
    <col min="8201" max="8201" width="11.140625" style="525" customWidth="1"/>
    <col min="8202" max="8202" width="16.42578125" style="525" customWidth="1"/>
    <col min="8203" max="8203" width="10.140625" style="525" bestFit="1" customWidth="1"/>
    <col min="8204" max="8204" width="16.85546875" style="525" bestFit="1" customWidth="1"/>
    <col min="8205" max="8205" width="14.5703125" style="525" bestFit="1" customWidth="1"/>
    <col min="8206"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7.140625" style="525" bestFit="1" customWidth="1"/>
    <col min="8457" max="8457" width="11.140625" style="525" customWidth="1"/>
    <col min="8458" max="8458" width="16.42578125" style="525" customWidth="1"/>
    <col min="8459" max="8459" width="10.140625" style="525" bestFit="1" customWidth="1"/>
    <col min="8460" max="8460" width="16.85546875" style="525" bestFit="1" customWidth="1"/>
    <col min="8461" max="8461" width="14.5703125" style="525" bestFit="1" customWidth="1"/>
    <col min="8462"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7.140625" style="525" bestFit="1" customWidth="1"/>
    <col min="8713" max="8713" width="11.140625" style="525" customWidth="1"/>
    <col min="8714" max="8714" width="16.42578125" style="525" customWidth="1"/>
    <col min="8715" max="8715" width="10.140625" style="525" bestFit="1" customWidth="1"/>
    <col min="8716" max="8716" width="16.85546875" style="525" bestFit="1" customWidth="1"/>
    <col min="8717" max="8717" width="14.5703125" style="525" bestFit="1" customWidth="1"/>
    <col min="8718"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7.140625" style="525" bestFit="1" customWidth="1"/>
    <col min="8969" max="8969" width="11.140625" style="525" customWidth="1"/>
    <col min="8970" max="8970" width="16.42578125" style="525" customWidth="1"/>
    <col min="8971" max="8971" width="10.140625" style="525" bestFit="1" customWidth="1"/>
    <col min="8972" max="8972" width="16.85546875" style="525" bestFit="1" customWidth="1"/>
    <col min="8973" max="8973" width="14.5703125" style="525" bestFit="1" customWidth="1"/>
    <col min="8974"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7.140625" style="525" bestFit="1" customWidth="1"/>
    <col min="9225" max="9225" width="11.140625" style="525" customWidth="1"/>
    <col min="9226" max="9226" width="16.42578125" style="525" customWidth="1"/>
    <col min="9227" max="9227" width="10.140625" style="525" bestFit="1" customWidth="1"/>
    <col min="9228" max="9228" width="16.85546875" style="525" bestFit="1" customWidth="1"/>
    <col min="9229" max="9229" width="14.5703125" style="525" bestFit="1" customWidth="1"/>
    <col min="9230"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7.140625" style="525" bestFit="1" customWidth="1"/>
    <col min="9481" max="9481" width="11.140625" style="525" customWidth="1"/>
    <col min="9482" max="9482" width="16.42578125" style="525" customWidth="1"/>
    <col min="9483" max="9483" width="10.140625" style="525" bestFit="1" customWidth="1"/>
    <col min="9484" max="9484" width="16.85546875" style="525" bestFit="1" customWidth="1"/>
    <col min="9485" max="9485" width="14.5703125" style="525" bestFit="1" customWidth="1"/>
    <col min="9486"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7.140625" style="525" bestFit="1" customWidth="1"/>
    <col min="9737" max="9737" width="11.140625" style="525" customWidth="1"/>
    <col min="9738" max="9738" width="16.42578125" style="525" customWidth="1"/>
    <col min="9739" max="9739" width="10.140625" style="525" bestFit="1" customWidth="1"/>
    <col min="9740" max="9740" width="16.85546875" style="525" bestFit="1" customWidth="1"/>
    <col min="9741" max="9741" width="14.5703125" style="525" bestFit="1" customWidth="1"/>
    <col min="9742"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7.140625" style="525" bestFit="1" customWidth="1"/>
    <col min="9993" max="9993" width="11.140625" style="525" customWidth="1"/>
    <col min="9994" max="9994" width="16.42578125" style="525" customWidth="1"/>
    <col min="9995" max="9995" width="10.140625" style="525" bestFit="1" customWidth="1"/>
    <col min="9996" max="9996" width="16.85546875" style="525" bestFit="1" customWidth="1"/>
    <col min="9997" max="9997" width="14.5703125" style="525" bestFit="1" customWidth="1"/>
    <col min="9998"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7.140625" style="525" bestFit="1" customWidth="1"/>
    <col min="10249" max="10249" width="11.140625" style="525" customWidth="1"/>
    <col min="10250" max="10250" width="16.42578125" style="525" customWidth="1"/>
    <col min="10251" max="10251" width="10.140625" style="525" bestFit="1" customWidth="1"/>
    <col min="10252" max="10252" width="16.85546875" style="525" bestFit="1" customWidth="1"/>
    <col min="10253" max="10253" width="14.5703125" style="525" bestFit="1" customWidth="1"/>
    <col min="10254"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7.140625" style="525" bestFit="1" customWidth="1"/>
    <col min="10505" max="10505" width="11.140625" style="525" customWidth="1"/>
    <col min="10506" max="10506" width="16.42578125" style="525" customWidth="1"/>
    <col min="10507" max="10507" width="10.140625" style="525" bestFit="1" customWidth="1"/>
    <col min="10508" max="10508" width="16.85546875" style="525" bestFit="1" customWidth="1"/>
    <col min="10509" max="10509" width="14.5703125" style="525" bestFit="1" customWidth="1"/>
    <col min="10510"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7.140625" style="525" bestFit="1" customWidth="1"/>
    <col min="10761" max="10761" width="11.140625" style="525" customWidth="1"/>
    <col min="10762" max="10762" width="16.42578125" style="525" customWidth="1"/>
    <col min="10763" max="10763" width="10.140625" style="525" bestFit="1" customWidth="1"/>
    <col min="10764" max="10764" width="16.85546875" style="525" bestFit="1" customWidth="1"/>
    <col min="10765" max="10765" width="14.5703125" style="525" bestFit="1" customWidth="1"/>
    <col min="10766"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7.140625" style="525" bestFit="1" customWidth="1"/>
    <col min="11017" max="11017" width="11.140625" style="525" customWidth="1"/>
    <col min="11018" max="11018" width="16.42578125" style="525" customWidth="1"/>
    <col min="11019" max="11019" width="10.140625" style="525" bestFit="1" customWidth="1"/>
    <col min="11020" max="11020" width="16.85546875" style="525" bestFit="1" customWidth="1"/>
    <col min="11021" max="11021" width="14.5703125" style="525" bestFit="1" customWidth="1"/>
    <col min="11022"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7.140625" style="525" bestFit="1" customWidth="1"/>
    <col min="11273" max="11273" width="11.140625" style="525" customWidth="1"/>
    <col min="11274" max="11274" width="16.42578125" style="525" customWidth="1"/>
    <col min="11275" max="11275" width="10.140625" style="525" bestFit="1" customWidth="1"/>
    <col min="11276" max="11276" width="16.85546875" style="525" bestFit="1" customWidth="1"/>
    <col min="11277" max="11277" width="14.5703125" style="525" bestFit="1" customWidth="1"/>
    <col min="11278"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7.140625" style="525" bestFit="1" customWidth="1"/>
    <col min="11529" max="11529" width="11.140625" style="525" customWidth="1"/>
    <col min="11530" max="11530" width="16.42578125" style="525" customWidth="1"/>
    <col min="11531" max="11531" width="10.140625" style="525" bestFit="1" customWidth="1"/>
    <col min="11532" max="11532" width="16.85546875" style="525" bestFit="1" customWidth="1"/>
    <col min="11533" max="11533" width="14.5703125" style="525" bestFit="1" customWidth="1"/>
    <col min="11534"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7.140625" style="525" bestFit="1" customWidth="1"/>
    <col min="11785" max="11785" width="11.140625" style="525" customWidth="1"/>
    <col min="11786" max="11786" width="16.42578125" style="525" customWidth="1"/>
    <col min="11787" max="11787" width="10.140625" style="525" bestFit="1" customWidth="1"/>
    <col min="11788" max="11788" width="16.85546875" style="525" bestFit="1" customWidth="1"/>
    <col min="11789" max="11789" width="14.5703125" style="525" bestFit="1" customWidth="1"/>
    <col min="11790"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7.140625" style="525" bestFit="1" customWidth="1"/>
    <col min="12041" max="12041" width="11.140625" style="525" customWidth="1"/>
    <col min="12042" max="12042" width="16.42578125" style="525" customWidth="1"/>
    <col min="12043" max="12043" width="10.140625" style="525" bestFit="1" customWidth="1"/>
    <col min="12044" max="12044" width="16.85546875" style="525" bestFit="1" customWidth="1"/>
    <col min="12045" max="12045" width="14.5703125" style="525" bestFit="1" customWidth="1"/>
    <col min="12046"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7.140625" style="525" bestFit="1" customWidth="1"/>
    <col min="12297" max="12297" width="11.140625" style="525" customWidth="1"/>
    <col min="12298" max="12298" width="16.42578125" style="525" customWidth="1"/>
    <col min="12299" max="12299" width="10.140625" style="525" bestFit="1" customWidth="1"/>
    <col min="12300" max="12300" width="16.85546875" style="525" bestFit="1" customWidth="1"/>
    <col min="12301" max="12301" width="14.5703125" style="525" bestFit="1" customWidth="1"/>
    <col min="12302"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7.140625" style="525" bestFit="1" customWidth="1"/>
    <col min="12553" max="12553" width="11.140625" style="525" customWidth="1"/>
    <col min="12554" max="12554" width="16.42578125" style="525" customWidth="1"/>
    <col min="12555" max="12555" width="10.140625" style="525" bestFit="1" customWidth="1"/>
    <col min="12556" max="12556" width="16.85546875" style="525" bestFit="1" customWidth="1"/>
    <col min="12557" max="12557" width="14.5703125" style="525" bestFit="1" customWidth="1"/>
    <col min="12558"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7.140625" style="525" bestFit="1" customWidth="1"/>
    <col min="12809" max="12809" width="11.140625" style="525" customWidth="1"/>
    <col min="12810" max="12810" width="16.42578125" style="525" customWidth="1"/>
    <col min="12811" max="12811" width="10.140625" style="525" bestFit="1" customWidth="1"/>
    <col min="12812" max="12812" width="16.85546875" style="525" bestFit="1" customWidth="1"/>
    <col min="12813" max="12813" width="14.5703125" style="525" bestFit="1" customWidth="1"/>
    <col min="12814"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7.140625" style="525" bestFit="1" customWidth="1"/>
    <col min="13065" max="13065" width="11.140625" style="525" customWidth="1"/>
    <col min="13066" max="13066" width="16.42578125" style="525" customWidth="1"/>
    <col min="13067" max="13067" width="10.140625" style="525" bestFit="1" customWidth="1"/>
    <col min="13068" max="13068" width="16.85546875" style="525" bestFit="1" customWidth="1"/>
    <col min="13069" max="13069" width="14.5703125" style="525" bestFit="1" customWidth="1"/>
    <col min="13070"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7.140625" style="525" bestFit="1" customWidth="1"/>
    <col min="13321" max="13321" width="11.140625" style="525" customWidth="1"/>
    <col min="13322" max="13322" width="16.42578125" style="525" customWidth="1"/>
    <col min="13323" max="13323" width="10.140625" style="525" bestFit="1" customWidth="1"/>
    <col min="13324" max="13324" width="16.85546875" style="525" bestFit="1" customWidth="1"/>
    <col min="13325" max="13325" width="14.5703125" style="525" bestFit="1" customWidth="1"/>
    <col min="13326"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7.140625" style="525" bestFit="1" customWidth="1"/>
    <col min="13577" max="13577" width="11.140625" style="525" customWidth="1"/>
    <col min="13578" max="13578" width="16.42578125" style="525" customWidth="1"/>
    <col min="13579" max="13579" width="10.140625" style="525" bestFit="1" customWidth="1"/>
    <col min="13580" max="13580" width="16.85546875" style="525" bestFit="1" customWidth="1"/>
    <col min="13581" max="13581" width="14.5703125" style="525" bestFit="1" customWidth="1"/>
    <col min="13582"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7.140625" style="525" bestFit="1" customWidth="1"/>
    <col min="13833" max="13833" width="11.140625" style="525" customWidth="1"/>
    <col min="13834" max="13834" width="16.42578125" style="525" customWidth="1"/>
    <col min="13835" max="13835" width="10.140625" style="525" bestFit="1" customWidth="1"/>
    <col min="13836" max="13836" width="16.85546875" style="525" bestFit="1" customWidth="1"/>
    <col min="13837" max="13837" width="14.5703125" style="525" bestFit="1" customWidth="1"/>
    <col min="13838"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7.140625" style="525" bestFit="1" customWidth="1"/>
    <col min="14089" max="14089" width="11.140625" style="525" customWidth="1"/>
    <col min="14090" max="14090" width="16.42578125" style="525" customWidth="1"/>
    <col min="14091" max="14091" width="10.140625" style="525" bestFit="1" customWidth="1"/>
    <col min="14092" max="14092" width="16.85546875" style="525" bestFit="1" customWidth="1"/>
    <col min="14093" max="14093" width="14.5703125" style="525" bestFit="1" customWidth="1"/>
    <col min="14094"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7.140625" style="525" bestFit="1" customWidth="1"/>
    <col min="14345" max="14345" width="11.140625" style="525" customWidth="1"/>
    <col min="14346" max="14346" width="16.42578125" style="525" customWidth="1"/>
    <col min="14347" max="14347" width="10.140625" style="525" bestFit="1" customWidth="1"/>
    <col min="14348" max="14348" width="16.85546875" style="525" bestFit="1" customWidth="1"/>
    <col min="14349" max="14349" width="14.5703125" style="525" bestFit="1" customWidth="1"/>
    <col min="14350"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7.140625" style="525" bestFit="1" customWidth="1"/>
    <col min="14601" max="14601" width="11.140625" style="525" customWidth="1"/>
    <col min="14602" max="14602" width="16.42578125" style="525" customWidth="1"/>
    <col min="14603" max="14603" width="10.140625" style="525" bestFit="1" customWidth="1"/>
    <col min="14604" max="14604" width="16.85546875" style="525" bestFit="1" customWidth="1"/>
    <col min="14605" max="14605" width="14.5703125" style="525" bestFit="1" customWidth="1"/>
    <col min="14606"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7.140625" style="525" bestFit="1" customWidth="1"/>
    <col min="14857" max="14857" width="11.140625" style="525" customWidth="1"/>
    <col min="14858" max="14858" width="16.42578125" style="525" customWidth="1"/>
    <col min="14859" max="14859" width="10.140625" style="525" bestFit="1" customWidth="1"/>
    <col min="14860" max="14860" width="16.85546875" style="525" bestFit="1" customWidth="1"/>
    <col min="14861" max="14861" width="14.5703125" style="525" bestFit="1" customWidth="1"/>
    <col min="14862"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7.140625" style="525" bestFit="1" customWidth="1"/>
    <col min="15113" max="15113" width="11.140625" style="525" customWidth="1"/>
    <col min="15114" max="15114" width="16.42578125" style="525" customWidth="1"/>
    <col min="15115" max="15115" width="10.140625" style="525" bestFit="1" customWidth="1"/>
    <col min="15116" max="15116" width="16.85546875" style="525" bestFit="1" customWidth="1"/>
    <col min="15117" max="15117" width="14.5703125" style="525" bestFit="1" customWidth="1"/>
    <col min="15118"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7.140625" style="525" bestFit="1" customWidth="1"/>
    <col min="15369" max="15369" width="11.140625" style="525" customWidth="1"/>
    <col min="15370" max="15370" width="16.42578125" style="525" customWidth="1"/>
    <col min="15371" max="15371" width="10.140625" style="525" bestFit="1" customWidth="1"/>
    <col min="15372" max="15372" width="16.85546875" style="525" bestFit="1" customWidth="1"/>
    <col min="15373" max="15373" width="14.5703125" style="525" bestFit="1" customWidth="1"/>
    <col min="15374"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7.140625" style="525" bestFit="1" customWidth="1"/>
    <col min="15625" max="15625" width="11.140625" style="525" customWidth="1"/>
    <col min="15626" max="15626" width="16.42578125" style="525" customWidth="1"/>
    <col min="15627" max="15627" width="10.140625" style="525" bestFit="1" customWidth="1"/>
    <col min="15628" max="15628" width="16.85546875" style="525" bestFit="1" customWidth="1"/>
    <col min="15629" max="15629" width="14.5703125" style="525" bestFit="1" customWidth="1"/>
    <col min="15630"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7.140625" style="525" bestFit="1" customWidth="1"/>
    <col min="15881" max="15881" width="11.140625" style="525" customWidth="1"/>
    <col min="15882" max="15882" width="16.42578125" style="525" customWidth="1"/>
    <col min="15883" max="15883" width="10.140625" style="525" bestFit="1" customWidth="1"/>
    <col min="15884" max="15884" width="16.85546875" style="525" bestFit="1" customWidth="1"/>
    <col min="15885" max="15885" width="14.5703125" style="525" bestFit="1" customWidth="1"/>
    <col min="15886"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7.140625" style="525" bestFit="1" customWidth="1"/>
    <col min="16137" max="16137" width="11.140625" style="525" customWidth="1"/>
    <col min="16138" max="16138" width="16.42578125" style="525" customWidth="1"/>
    <col min="16139" max="16139" width="10.140625" style="525" bestFit="1" customWidth="1"/>
    <col min="16140" max="16140" width="16.85546875" style="525" bestFit="1" customWidth="1"/>
    <col min="16141" max="16141" width="14.5703125" style="525" bestFit="1" customWidth="1"/>
    <col min="16142" max="16384" width="9.140625" style="525"/>
  </cols>
  <sheetData>
    <row r="1" spans="1:12">
      <c r="C1" s="526" t="s">
        <v>1424</v>
      </c>
      <c r="G1" s="1388" t="s">
        <v>1020</v>
      </c>
    </row>
    <row r="3" spans="1:12">
      <c r="A3" s="2740" t="s">
        <v>1423</v>
      </c>
      <c r="B3" s="2740"/>
      <c r="C3" s="2740"/>
      <c r="D3" s="2740"/>
      <c r="E3" s="2740"/>
      <c r="F3" s="2740"/>
      <c r="G3" s="2740"/>
      <c r="H3" s="2740"/>
      <c r="I3" s="2740"/>
      <c r="J3" s="2740"/>
    </row>
    <row r="4" spans="1:12" ht="17.25">
      <c r="A4" s="2741" t="s">
        <v>1361</v>
      </c>
      <c r="B4" s="2741"/>
      <c r="C4" s="2741"/>
      <c r="D4" s="2741"/>
      <c r="E4" s="2741"/>
      <c r="F4" s="2741"/>
      <c r="G4" s="2741"/>
      <c r="H4" s="2741"/>
      <c r="I4" s="2741"/>
      <c r="J4" s="2741"/>
    </row>
    <row r="5" spans="1:12">
      <c r="A5" s="2357"/>
      <c r="B5" s="2357"/>
      <c r="C5" s="2304"/>
      <c r="D5" s="2357"/>
      <c r="E5" s="2357"/>
      <c r="F5" s="2357"/>
      <c r="G5" s="2357"/>
      <c r="H5" s="2357"/>
      <c r="I5" s="2742" t="s">
        <v>1263</v>
      </c>
      <c r="J5" s="2742"/>
    </row>
    <row r="6" spans="1:12" s="568" customFormat="1">
      <c r="A6" s="2743" t="s">
        <v>1294</v>
      </c>
      <c r="B6" s="2743" t="s">
        <v>1360</v>
      </c>
      <c r="C6" s="2746" t="s">
        <v>1359</v>
      </c>
      <c r="D6" s="2747" t="s">
        <v>1358</v>
      </c>
      <c r="E6" s="2748"/>
      <c r="F6" s="2748"/>
      <c r="G6" s="2748"/>
      <c r="H6" s="2743" t="s">
        <v>1422</v>
      </c>
      <c r="I6" s="2749" t="s">
        <v>1421</v>
      </c>
      <c r="J6" s="2750"/>
      <c r="L6" s="573"/>
    </row>
    <row r="7" spans="1:12" s="568" customFormat="1">
      <c r="A7" s="2744"/>
      <c r="B7" s="2744"/>
      <c r="C7" s="2746"/>
      <c r="D7" s="2747" t="s">
        <v>1355</v>
      </c>
      <c r="E7" s="2748"/>
      <c r="F7" s="2747" t="s">
        <v>1415</v>
      </c>
      <c r="G7" s="2748"/>
      <c r="H7" s="2744"/>
      <c r="I7" s="2751"/>
      <c r="J7" s="2752"/>
      <c r="L7" s="573"/>
    </row>
    <row r="8" spans="1:12" s="568" customFormat="1" ht="49.5">
      <c r="A8" s="2745"/>
      <c r="B8" s="2745"/>
      <c r="C8" s="2746"/>
      <c r="D8" s="569" t="s">
        <v>1352</v>
      </c>
      <c r="E8" s="569" t="s">
        <v>102</v>
      </c>
      <c r="F8" s="569" t="s">
        <v>1352</v>
      </c>
      <c r="G8" s="569" t="s">
        <v>102</v>
      </c>
      <c r="H8" s="2745"/>
      <c r="I8" s="569" t="s">
        <v>1352</v>
      </c>
      <c r="J8" s="569" t="s">
        <v>102</v>
      </c>
      <c r="L8" s="573"/>
    </row>
    <row r="9" spans="1:12" s="540" customFormat="1">
      <c r="A9" s="567" t="s">
        <v>1351</v>
      </c>
      <c r="B9" s="529"/>
      <c r="C9" s="566"/>
      <c r="D9" s="565"/>
      <c r="E9" s="565">
        <f>SUM(E21+E23)</f>
        <v>25920000</v>
      </c>
      <c r="F9" s="565"/>
      <c r="G9" s="565">
        <f>SUM(G21+G23)</f>
        <v>13420000</v>
      </c>
      <c r="H9" s="565">
        <f>SUM(H21+H23)</f>
        <v>81580000</v>
      </c>
      <c r="I9" s="565"/>
      <c r="J9" s="565">
        <f>SUM(J21+J23)</f>
        <v>19370000</v>
      </c>
      <c r="L9" s="571"/>
    </row>
    <row r="10" spans="1:12">
      <c r="A10" s="552" t="s">
        <v>1308</v>
      </c>
      <c r="B10" s="554" t="s">
        <v>511</v>
      </c>
      <c r="C10" s="553">
        <v>150000</v>
      </c>
      <c r="D10" s="552">
        <v>60</v>
      </c>
      <c r="E10" s="557">
        <f t="shared" ref="E10:E20" si="0">$C10*D10</f>
        <v>9000000</v>
      </c>
      <c r="F10" s="552"/>
      <c r="G10" s="557">
        <f t="shared" ref="G10:G20" si="1">$C10*F10</f>
        <v>0</v>
      </c>
      <c r="H10" s="557">
        <f t="shared" ref="H10:H20" si="2">E10+(G10*3)</f>
        <v>9000000</v>
      </c>
      <c r="I10" s="551"/>
      <c r="J10" s="557">
        <f t="shared" ref="J10:J20" si="3">$C10*I10</f>
        <v>0</v>
      </c>
    </row>
    <row r="11" spans="1:12">
      <c r="A11" s="552" t="s">
        <v>1350</v>
      </c>
      <c r="B11" s="554" t="s">
        <v>1287</v>
      </c>
      <c r="C11" s="553">
        <v>15000</v>
      </c>
      <c r="D11" s="552">
        <v>220</v>
      </c>
      <c r="E11" s="557">
        <f t="shared" si="0"/>
        <v>3300000</v>
      </c>
      <c r="F11" s="552"/>
      <c r="G11" s="557">
        <f t="shared" si="1"/>
        <v>0</v>
      </c>
      <c r="H11" s="557">
        <f t="shared" si="2"/>
        <v>3300000</v>
      </c>
      <c r="I11" s="551"/>
      <c r="J11" s="557">
        <f t="shared" si="3"/>
        <v>0</v>
      </c>
    </row>
    <row r="12" spans="1:12">
      <c r="A12" s="552" t="s">
        <v>1349</v>
      </c>
      <c r="B12" s="554" t="s">
        <v>228</v>
      </c>
      <c r="C12" s="553">
        <v>450000</v>
      </c>
      <c r="D12" s="552">
        <v>5</v>
      </c>
      <c r="E12" s="557">
        <f t="shared" si="0"/>
        <v>2250000</v>
      </c>
      <c r="F12" s="552">
        <v>5</v>
      </c>
      <c r="G12" s="557">
        <f t="shared" si="1"/>
        <v>2250000</v>
      </c>
      <c r="H12" s="557">
        <f t="shared" si="2"/>
        <v>9000000</v>
      </c>
      <c r="I12" s="551">
        <v>5</v>
      </c>
      <c r="J12" s="557">
        <f t="shared" si="3"/>
        <v>2250000</v>
      </c>
    </row>
    <row r="13" spans="1:12">
      <c r="A13" s="552" t="s">
        <v>1348</v>
      </c>
      <c r="B13" s="554"/>
      <c r="C13" s="553"/>
      <c r="D13" s="552"/>
      <c r="E13" s="557">
        <f t="shared" si="0"/>
        <v>0</v>
      </c>
      <c r="F13" s="552"/>
      <c r="G13" s="557">
        <f t="shared" si="1"/>
        <v>0</v>
      </c>
      <c r="H13" s="557">
        <f t="shared" si="2"/>
        <v>0</v>
      </c>
      <c r="I13" s="551"/>
      <c r="J13" s="557">
        <f t="shared" si="3"/>
        <v>0</v>
      </c>
    </row>
    <row r="14" spans="1:12">
      <c r="A14" s="552" t="s">
        <v>1284</v>
      </c>
      <c r="B14" s="554" t="s">
        <v>11</v>
      </c>
      <c r="C14" s="553">
        <v>10000</v>
      </c>
      <c r="D14" s="552">
        <v>160</v>
      </c>
      <c r="E14" s="557">
        <f t="shared" si="0"/>
        <v>1600000</v>
      </c>
      <c r="F14" s="552">
        <v>160</v>
      </c>
      <c r="G14" s="557">
        <f t="shared" si="1"/>
        <v>1600000</v>
      </c>
      <c r="H14" s="557">
        <f t="shared" si="2"/>
        <v>6400000</v>
      </c>
      <c r="I14" s="551">
        <v>200</v>
      </c>
      <c r="J14" s="557">
        <f t="shared" si="3"/>
        <v>2000000</v>
      </c>
    </row>
    <row r="15" spans="1:12">
      <c r="A15" s="552" t="s">
        <v>1283</v>
      </c>
      <c r="B15" s="554" t="s">
        <v>11</v>
      </c>
      <c r="C15" s="553">
        <v>3000</v>
      </c>
      <c r="D15" s="552">
        <v>320</v>
      </c>
      <c r="E15" s="557">
        <f t="shared" si="0"/>
        <v>960000</v>
      </c>
      <c r="F15" s="552">
        <v>320</v>
      </c>
      <c r="G15" s="557">
        <f t="shared" si="1"/>
        <v>960000</v>
      </c>
      <c r="H15" s="557">
        <f t="shared" si="2"/>
        <v>3840000</v>
      </c>
      <c r="I15" s="552">
        <v>400</v>
      </c>
      <c r="J15" s="557">
        <f t="shared" si="3"/>
        <v>1200000</v>
      </c>
    </row>
    <row r="16" spans="1:12">
      <c r="A16" s="552" t="s">
        <v>1282</v>
      </c>
      <c r="B16" s="554" t="s">
        <v>11</v>
      </c>
      <c r="C16" s="553">
        <v>15000</v>
      </c>
      <c r="D16" s="552">
        <v>144</v>
      </c>
      <c r="E16" s="557">
        <f t="shared" si="0"/>
        <v>2160000</v>
      </c>
      <c r="F16" s="552">
        <v>144</v>
      </c>
      <c r="G16" s="557">
        <f t="shared" si="1"/>
        <v>2160000</v>
      </c>
      <c r="H16" s="557">
        <f t="shared" si="2"/>
        <v>8640000</v>
      </c>
      <c r="I16" s="552">
        <v>240</v>
      </c>
      <c r="J16" s="557">
        <f t="shared" si="3"/>
        <v>3600000</v>
      </c>
    </row>
    <row r="17" spans="1:13">
      <c r="A17" s="552" t="s">
        <v>1347</v>
      </c>
      <c r="B17" s="554" t="s">
        <v>11</v>
      </c>
      <c r="C17" s="553">
        <v>10000</v>
      </c>
      <c r="D17" s="552">
        <v>20</v>
      </c>
      <c r="E17" s="557">
        <f t="shared" si="0"/>
        <v>200000</v>
      </c>
      <c r="F17" s="552">
        <v>20</v>
      </c>
      <c r="G17" s="557">
        <f t="shared" si="1"/>
        <v>200000</v>
      </c>
      <c r="H17" s="557">
        <f t="shared" si="2"/>
        <v>800000</v>
      </c>
      <c r="I17" s="552">
        <v>20</v>
      </c>
      <c r="J17" s="557">
        <f t="shared" si="3"/>
        <v>200000</v>
      </c>
    </row>
    <row r="18" spans="1:13">
      <c r="A18" s="552" t="s">
        <v>1346</v>
      </c>
      <c r="B18" s="554" t="s">
        <v>11</v>
      </c>
      <c r="C18" s="553">
        <v>1000</v>
      </c>
      <c r="D18" s="552">
        <v>200</v>
      </c>
      <c r="E18" s="557">
        <f t="shared" si="0"/>
        <v>200000</v>
      </c>
      <c r="F18" s="552"/>
      <c r="G18" s="557">
        <f t="shared" si="1"/>
        <v>0</v>
      </c>
      <c r="H18" s="557">
        <f t="shared" si="2"/>
        <v>200000</v>
      </c>
      <c r="I18" s="552"/>
      <c r="J18" s="557">
        <f t="shared" si="3"/>
        <v>0</v>
      </c>
      <c r="M18" s="572"/>
    </row>
    <row r="19" spans="1:13">
      <c r="A19" s="552" t="s">
        <v>1318</v>
      </c>
      <c r="B19" s="554" t="s">
        <v>513</v>
      </c>
      <c r="C19" s="553">
        <v>250000</v>
      </c>
      <c r="D19" s="552">
        <v>5</v>
      </c>
      <c r="E19" s="557">
        <f t="shared" si="0"/>
        <v>1250000</v>
      </c>
      <c r="F19" s="552">
        <v>5</v>
      </c>
      <c r="G19" s="557">
        <f t="shared" si="1"/>
        <v>1250000</v>
      </c>
      <c r="H19" s="557">
        <f t="shared" si="2"/>
        <v>5000000</v>
      </c>
      <c r="I19" s="552">
        <v>6</v>
      </c>
      <c r="J19" s="557">
        <f t="shared" si="3"/>
        <v>1500000</v>
      </c>
      <c r="M19" s="572"/>
    </row>
    <row r="20" spans="1:13">
      <c r="A20" s="552" t="s">
        <v>1345</v>
      </c>
      <c r="B20" s="554" t="s">
        <v>511</v>
      </c>
      <c r="C20" s="553">
        <v>250000</v>
      </c>
      <c r="D20" s="552">
        <v>20</v>
      </c>
      <c r="E20" s="557">
        <f t="shared" si="0"/>
        <v>5000000</v>
      </c>
      <c r="F20" s="552">
        <v>20</v>
      </c>
      <c r="G20" s="557">
        <f t="shared" si="1"/>
        <v>5000000</v>
      </c>
      <c r="H20" s="557">
        <f t="shared" si="2"/>
        <v>20000000</v>
      </c>
      <c r="I20" s="552">
        <v>30</v>
      </c>
      <c r="J20" s="557">
        <f t="shared" si="3"/>
        <v>7500000</v>
      </c>
      <c r="M20" s="572"/>
    </row>
    <row r="21" spans="1:13" s="540" customFormat="1">
      <c r="A21" s="556" t="s">
        <v>1344</v>
      </c>
      <c r="B21" s="554"/>
      <c r="C21" s="553"/>
      <c r="D21" s="552"/>
      <c r="E21" s="564">
        <f>SUM(E10:E20)</f>
        <v>25920000</v>
      </c>
      <c r="F21" s="552"/>
      <c r="G21" s="564">
        <f>SUM(G10:G20)</f>
        <v>13420000</v>
      </c>
      <c r="H21" s="564">
        <f>SUM(H10:H20)</f>
        <v>66180000</v>
      </c>
      <c r="I21" s="555"/>
      <c r="J21" s="555">
        <f>SUM(J10:J20)</f>
        <v>18250000</v>
      </c>
      <c r="L21" s="570"/>
      <c r="M21" s="572"/>
    </row>
    <row r="22" spans="1:13" s="540" customFormat="1" ht="17.25">
      <c r="A22" s="563" t="s">
        <v>12</v>
      </c>
      <c r="B22" s="562"/>
      <c r="C22" s="561"/>
      <c r="D22" s="560"/>
      <c r="E22" s="559">
        <v>20000000</v>
      </c>
      <c r="F22" s="559"/>
      <c r="G22" s="559">
        <v>10000000</v>
      </c>
      <c r="H22" s="559">
        <f>B32</f>
        <v>50000000</v>
      </c>
      <c r="I22" s="558"/>
      <c r="J22" s="558"/>
      <c r="L22" s="570"/>
      <c r="M22" s="572"/>
    </row>
    <row r="23" spans="1:13">
      <c r="A23" s="552" t="s">
        <v>1342</v>
      </c>
      <c r="B23" s="554"/>
      <c r="C23" s="553"/>
      <c r="D23" s="552"/>
      <c r="E23" s="557"/>
      <c r="F23" s="557"/>
      <c r="G23" s="557"/>
      <c r="H23" s="553">
        <v>15400000</v>
      </c>
      <c r="I23" s="551"/>
      <c r="J23" s="551">
        <f>B37*B39</f>
        <v>1120000</v>
      </c>
      <c r="M23" s="572"/>
    </row>
    <row r="24" spans="1:13" s="540" customFormat="1">
      <c r="A24" s="556" t="s">
        <v>1341</v>
      </c>
      <c r="B24" s="554"/>
      <c r="C24" s="553"/>
      <c r="D24" s="552"/>
      <c r="E24" s="552"/>
      <c r="F24" s="552"/>
      <c r="G24" s="552"/>
      <c r="H24" s="552"/>
      <c r="I24" s="551"/>
      <c r="J24" s="555">
        <f>J26</f>
        <v>65000000</v>
      </c>
      <c r="L24" s="571"/>
    </row>
    <row r="25" spans="1:13">
      <c r="A25" s="552" t="s">
        <v>1340</v>
      </c>
      <c r="B25" s="554" t="s">
        <v>11</v>
      </c>
      <c r="C25" s="553"/>
      <c r="D25" s="552"/>
      <c r="E25" s="552"/>
      <c r="F25" s="552"/>
      <c r="G25" s="552"/>
      <c r="H25" s="552"/>
      <c r="I25" s="551">
        <v>13000</v>
      </c>
      <c r="J25" s="551"/>
    </row>
    <row r="26" spans="1:13">
      <c r="A26" s="552" t="s">
        <v>1339</v>
      </c>
      <c r="B26" s="554" t="s">
        <v>1338</v>
      </c>
      <c r="C26" s="553">
        <v>5000</v>
      </c>
      <c r="D26" s="552"/>
      <c r="E26" s="552"/>
      <c r="F26" s="552"/>
      <c r="G26" s="552"/>
      <c r="H26" s="552"/>
      <c r="I26" s="551">
        <f>I25</f>
        <v>13000</v>
      </c>
      <c r="J26" s="551">
        <f>I26*C26</f>
        <v>65000000</v>
      </c>
    </row>
    <row r="27" spans="1:13" s="540" customFormat="1">
      <c r="A27" s="550" t="s">
        <v>1337</v>
      </c>
      <c r="B27" s="548"/>
      <c r="C27" s="549"/>
      <c r="D27" s="548"/>
      <c r="E27" s="548"/>
      <c r="F27" s="548"/>
      <c r="G27" s="548"/>
      <c r="H27" s="548"/>
      <c r="I27" s="547"/>
      <c r="J27" s="547">
        <f>J24-J9</f>
        <v>45630000</v>
      </c>
      <c r="L27" s="571"/>
    </row>
    <row r="28" spans="1:13" s="540" customFormat="1">
      <c r="A28" s="546" t="s">
        <v>1269</v>
      </c>
      <c r="B28" s="545" t="s">
        <v>90</v>
      </c>
      <c r="C28" s="544"/>
      <c r="D28" s="543"/>
      <c r="E28" s="543"/>
      <c r="F28" s="543"/>
      <c r="G28" s="543"/>
      <c r="H28" s="543"/>
      <c r="I28" s="542"/>
      <c r="J28" s="541">
        <f>J27/J24</f>
        <v>0.70199999999999996</v>
      </c>
      <c r="L28" s="571"/>
    </row>
    <row r="29" spans="1:13">
      <c r="A29" s="539"/>
      <c r="B29" s="537"/>
      <c r="C29" s="538"/>
      <c r="D29" s="537"/>
      <c r="E29" s="537"/>
      <c r="F29" s="537"/>
      <c r="G29" s="537"/>
      <c r="H29" s="537"/>
      <c r="I29" s="536"/>
      <c r="J29" s="536"/>
    </row>
    <row r="30" spans="1:13">
      <c r="A30" s="2753" t="s">
        <v>1336</v>
      </c>
      <c r="B30" s="2754"/>
      <c r="C30" s="2754"/>
    </row>
    <row r="31" spans="1:13">
      <c r="A31" s="530" t="s">
        <v>1335</v>
      </c>
      <c r="B31" s="2737"/>
      <c r="C31" s="2737"/>
    </row>
    <row r="32" spans="1:13">
      <c r="A32" s="529" t="s">
        <v>1330</v>
      </c>
      <c r="B32" s="2738">
        <v>50000000</v>
      </c>
      <c r="C32" s="2738"/>
      <c r="D32" s="535"/>
      <c r="E32" s="535"/>
      <c r="F32" s="535"/>
      <c r="G32" s="535"/>
      <c r="H32" s="534"/>
    </row>
    <row r="33" spans="1:8">
      <c r="A33" s="528" t="s">
        <v>1329</v>
      </c>
      <c r="B33" s="2739" t="s">
        <v>1414</v>
      </c>
      <c r="C33" s="2739"/>
      <c r="D33" s="533"/>
      <c r="E33" s="533"/>
      <c r="F33" s="533"/>
      <c r="G33" s="533"/>
      <c r="H33" s="533"/>
    </row>
    <row r="34" spans="1:8">
      <c r="A34" s="527" t="s">
        <v>1328</v>
      </c>
      <c r="B34" s="2735">
        <v>0.11</v>
      </c>
      <c r="C34" s="2735"/>
      <c r="D34" s="532"/>
      <c r="E34" s="532"/>
      <c r="F34" s="532"/>
      <c r="G34" s="532"/>
      <c r="H34" s="532"/>
    </row>
    <row r="35" spans="1:8">
      <c r="A35" s="531" t="s">
        <v>1333</v>
      </c>
      <c r="B35" s="2736" t="s">
        <v>1420</v>
      </c>
      <c r="C35" s="2736"/>
    </row>
    <row r="36" spans="1:8">
      <c r="A36" s="530" t="s">
        <v>1331</v>
      </c>
      <c r="B36" s="2737"/>
      <c r="C36" s="2737"/>
    </row>
    <row r="37" spans="1:8">
      <c r="A37" s="529" t="s">
        <v>1330</v>
      </c>
      <c r="B37" s="2738">
        <v>14000000</v>
      </c>
      <c r="C37" s="2738"/>
    </row>
    <row r="38" spans="1:8">
      <c r="A38" s="528" t="s">
        <v>1329</v>
      </c>
      <c r="B38" s="2739" t="s">
        <v>1159</v>
      </c>
      <c r="C38" s="2739"/>
    </row>
    <row r="39" spans="1:8">
      <c r="A39" s="527" t="s">
        <v>1328</v>
      </c>
      <c r="B39" s="2735">
        <v>0.08</v>
      </c>
      <c r="C39" s="2735"/>
    </row>
  </sheetData>
  <mergeCells count="21">
    <mergeCell ref="B33:C33"/>
    <mergeCell ref="B39:C39"/>
    <mergeCell ref="A3:J3"/>
    <mergeCell ref="A4:J4"/>
    <mergeCell ref="I5:J5"/>
    <mergeCell ref="A6:A8"/>
    <mergeCell ref="B6:B8"/>
    <mergeCell ref="C6:C8"/>
    <mergeCell ref="D6:G6"/>
    <mergeCell ref="H6:H8"/>
    <mergeCell ref="I6:J7"/>
    <mergeCell ref="D7:E7"/>
    <mergeCell ref="F7:G7"/>
    <mergeCell ref="A30:C30"/>
    <mergeCell ref="B31:C31"/>
    <mergeCell ref="B32:C32"/>
    <mergeCell ref="B34:C34"/>
    <mergeCell ref="B35:C35"/>
    <mergeCell ref="B36:C36"/>
    <mergeCell ref="B37:C37"/>
    <mergeCell ref="B38:C38"/>
  </mergeCells>
  <pageMargins left="0.7" right="0.3" top="0.4" bottom="0.5" header="0.21" footer="0.3"/>
  <pageSetup paperSize="9" scale="85" orientation="landscape" r:id="rId1"/>
  <headerFooter>
    <oddFooter>&amp;CTrang</oddFooter>
  </headerFooter>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M38"/>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7.140625" style="525" bestFit="1" customWidth="1"/>
    <col min="9" max="9" width="11.140625" style="525" customWidth="1"/>
    <col min="10" max="10" width="16.42578125" style="525" customWidth="1"/>
    <col min="11" max="11" width="10.140625" style="525" bestFit="1" customWidth="1"/>
    <col min="12" max="12" width="16.85546875" style="570" bestFit="1" customWidth="1"/>
    <col min="13" max="13" width="14.5703125" style="525" bestFit="1" customWidth="1"/>
    <col min="14"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7.140625" style="525" bestFit="1" customWidth="1"/>
    <col min="265" max="265" width="11.140625" style="525" customWidth="1"/>
    <col min="266" max="266" width="16.42578125" style="525" customWidth="1"/>
    <col min="267" max="267" width="10.140625" style="525" bestFit="1" customWidth="1"/>
    <col min="268" max="268" width="16.85546875" style="525" bestFit="1" customWidth="1"/>
    <col min="269" max="269" width="14.5703125" style="525" bestFit="1" customWidth="1"/>
    <col min="270"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7.140625" style="525" bestFit="1" customWidth="1"/>
    <col min="521" max="521" width="11.140625" style="525" customWidth="1"/>
    <col min="522" max="522" width="16.42578125" style="525" customWidth="1"/>
    <col min="523" max="523" width="10.140625" style="525" bestFit="1" customWidth="1"/>
    <col min="524" max="524" width="16.85546875" style="525" bestFit="1" customWidth="1"/>
    <col min="525" max="525" width="14.5703125" style="525" bestFit="1" customWidth="1"/>
    <col min="526"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7.140625" style="525" bestFit="1" customWidth="1"/>
    <col min="777" max="777" width="11.140625" style="525" customWidth="1"/>
    <col min="778" max="778" width="16.42578125" style="525" customWidth="1"/>
    <col min="779" max="779" width="10.140625" style="525" bestFit="1" customWidth="1"/>
    <col min="780" max="780" width="16.85546875" style="525" bestFit="1" customWidth="1"/>
    <col min="781" max="781" width="14.5703125" style="525" bestFit="1" customWidth="1"/>
    <col min="782"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7.140625" style="525" bestFit="1" customWidth="1"/>
    <col min="1033" max="1033" width="11.140625" style="525" customWidth="1"/>
    <col min="1034" max="1034" width="16.42578125" style="525" customWidth="1"/>
    <col min="1035" max="1035" width="10.140625" style="525" bestFit="1" customWidth="1"/>
    <col min="1036" max="1036" width="16.85546875" style="525" bestFit="1" customWidth="1"/>
    <col min="1037" max="1037" width="14.5703125" style="525" bestFit="1" customWidth="1"/>
    <col min="1038"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7.140625" style="525" bestFit="1" customWidth="1"/>
    <col min="1289" max="1289" width="11.140625" style="525" customWidth="1"/>
    <col min="1290" max="1290" width="16.42578125" style="525" customWidth="1"/>
    <col min="1291" max="1291" width="10.140625" style="525" bestFit="1" customWidth="1"/>
    <col min="1292" max="1292" width="16.85546875" style="525" bestFit="1" customWidth="1"/>
    <col min="1293" max="1293" width="14.5703125" style="525" bestFit="1" customWidth="1"/>
    <col min="1294"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7.140625" style="525" bestFit="1" customWidth="1"/>
    <col min="1545" max="1545" width="11.140625" style="525" customWidth="1"/>
    <col min="1546" max="1546" width="16.42578125" style="525" customWidth="1"/>
    <col min="1547" max="1547" width="10.140625" style="525" bestFit="1" customWidth="1"/>
    <col min="1548" max="1548" width="16.85546875" style="525" bestFit="1" customWidth="1"/>
    <col min="1549" max="1549" width="14.5703125" style="525" bestFit="1" customWidth="1"/>
    <col min="1550"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7.140625" style="525" bestFit="1" customWidth="1"/>
    <col min="1801" max="1801" width="11.140625" style="525" customWidth="1"/>
    <col min="1802" max="1802" width="16.42578125" style="525" customWidth="1"/>
    <col min="1803" max="1803" width="10.140625" style="525" bestFit="1" customWidth="1"/>
    <col min="1804" max="1804" width="16.85546875" style="525" bestFit="1" customWidth="1"/>
    <col min="1805" max="1805" width="14.5703125" style="525" bestFit="1" customWidth="1"/>
    <col min="1806"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7.140625" style="525" bestFit="1" customWidth="1"/>
    <col min="2057" max="2057" width="11.140625" style="525" customWidth="1"/>
    <col min="2058" max="2058" width="16.42578125" style="525" customWidth="1"/>
    <col min="2059" max="2059" width="10.140625" style="525" bestFit="1" customWidth="1"/>
    <col min="2060" max="2060" width="16.85546875" style="525" bestFit="1" customWidth="1"/>
    <col min="2061" max="2061" width="14.5703125" style="525" bestFit="1" customWidth="1"/>
    <col min="2062"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7.140625" style="525" bestFit="1" customWidth="1"/>
    <col min="2313" max="2313" width="11.140625" style="525" customWidth="1"/>
    <col min="2314" max="2314" width="16.42578125" style="525" customWidth="1"/>
    <col min="2315" max="2315" width="10.140625" style="525" bestFit="1" customWidth="1"/>
    <col min="2316" max="2316" width="16.85546875" style="525" bestFit="1" customWidth="1"/>
    <col min="2317" max="2317" width="14.5703125" style="525" bestFit="1" customWidth="1"/>
    <col min="2318"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7.140625" style="525" bestFit="1" customWidth="1"/>
    <col min="2569" max="2569" width="11.140625" style="525" customWidth="1"/>
    <col min="2570" max="2570" width="16.42578125" style="525" customWidth="1"/>
    <col min="2571" max="2571" width="10.140625" style="525" bestFit="1" customWidth="1"/>
    <col min="2572" max="2572" width="16.85546875" style="525" bestFit="1" customWidth="1"/>
    <col min="2573" max="2573" width="14.5703125" style="525" bestFit="1" customWidth="1"/>
    <col min="2574"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7.140625" style="525" bestFit="1" customWidth="1"/>
    <col min="2825" max="2825" width="11.140625" style="525" customWidth="1"/>
    <col min="2826" max="2826" width="16.42578125" style="525" customWidth="1"/>
    <col min="2827" max="2827" width="10.140625" style="525" bestFit="1" customWidth="1"/>
    <col min="2828" max="2828" width="16.85546875" style="525" bestFit="1" customWidth="1"/>
    <col min="2829" max="2829" width="14.5703125" style="525" bestFit="1" customWidth="1"/>
    <col min="2830"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7.140625" style="525" bestFit="1" customWidth="1"/>
    <col min="3081" max="3081" width="11.140625" style="525" customWidth="1"/>
    <col min="3082" max="3082" width="16.42578125" style="525" customWidth="1"/>
    <col min="3083" max="3083" width="10.140625" style="525" bestFit="1" customWidth="1"/>
    <col min="3084" max="3084" width="16.85546875" style="525" bestFit="1" customWidth="1"/>
    <col min="3085" max="3085" width="14.5703125" style="525" bestFit="1" customWidth="1"/>
    <col min="3086"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7.140625" style="525" bestFit="1" customWidth="1"/>
    <col min="3337" max="3337" width="11.140625" style="525" customWidth="1"/>
    <col min="3338" max="3338" width="16.42578125" style="525" customWidth="1"/>
    <col min="3339" max="3339" width="10.140625" style="525" bestFit="1" customWidth="1"/>
    <col min="3340" max="3340" width="16.85546875" style="525" bestFit="1" customWidth="1"/>
    <col min="3341" max="3341" width="14.5703125" style="525" bestFit="1" customWidth="1"/>
    <col min="3342"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7.140625" style="525" bestFit="1" customWidth="1"/>
    <col min="3593" max="3593" width="11.140625" style="525" customWidth="1"/>
    <col min="3594" max="3594" width="16.42578125" style="525" customWidth="1"/>
    <col min="3595" max="3595" width="10.140625" style="525" bestFit="1" customWidth="1"/>
    <col min="3596" max="3596" width="16.85546875" style="525" bestFit="1" customWidth="1"/>
    <col min="3597" max="3597" width="14.5703125" style="525" bestFit="1" customWidth="1"/>
    <col min="3598"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7.140625" style="525" bestFit="1" customWidth="1"/>
    <col min="3849" max="3849" width="11.140625" style="525" customWidth="1"/>
    <col min="3850" max="3850" width="16.42578125" style="525" customWidth="1"/>
    <col min="3851" max="3851" width="10.140625" style="525" bestFit="1" customWidth="1"/>
    <col min="3852" max="3852" width="16.85546875" style="525" bestFit="1" customWidth="1"/>
    <col min="3853" max="3853" width="14.5703125" style="525" bestFit="1" customWidth="1"/>
    <col min="3854"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7.140625" style="525" bestFit="1" customWidth="1"/>
    <col min="4105" max="4105" width="11.140625" style="525" customWidth="1"/>
    <col min="4106" max="4106" width="16.42578125" style="525" customWidth="1"/>
    <col min="4107" max="4107" width="10.140625" style="525" bestFit="1" customWidth="1"/>
    <col min="4108" max="4108" width="16.85546875" style="525" bestFit="1" customWidth="1"/>
    <col min="4109" max="4109" width="14.5703125" style="525" bestFit="1" customWidth="1"/>
    <col min="4110"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7.140625" style="525" bestFit="1" customWidth="1"/>
    <col min="4361" max="4361" width="11.140625" style="525" customWidth="1"/>
    <col min="4362" max="4362" width="16.42578125" style="525" customWidth="1"/>
    <col min="4363" max="4363" width="10.140625" style="525" bestFit="1" customWidth="1"/>
    <col min="4364" max="4364" width="16.85546875" style="525" bestFit="1" customWidth="1"/>
    <col min="4365" max="4365" width="14.5703125" style="525" bestFit="1" customWidth="1"/>
    <col min="4366"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7.140625" style="525" bestFit="1" customWidth="1"/>
    <col min="4617" max="4617" width="11.140625" style="525" customWidth="1"/>
    <col min="4618" max="4618" width="16.42578125" style="525" customWidth="1"/>
    <col min="4619" max="4619" width="10.140625" style="525" bestFit="1" customWidth="1"/>
    <col min="4620" max="4620" width="16.85546875" style="525" bestFit="1" customWidth="1"/>
    <col min="4621" max="4621" width="14.5703125" style="525" bestFit="1" customWidth="1"/>
    <col min="4622"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7.140625" style="525" bestFit="1" customWidth="1"/>
    <col min="4873" max="4873" width="11.140625" style="525" customWidth="1"/>
    <col min="4874" max="4874" width="16.42578125" style="525" customWidth="1"/>
    <col min="4875" max="4875" width="10.140625" style="525" bestFit="1" customWidth="1"/>
    <col min="4876" max="4876" width="16.85546875" style="525" bestFit="1" customWidth="1"/>
    <col min="4877" max="4877" width="14.5703125" style="525" bestFit="1" customWidth="1"/>
    <col min="4878"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7.140625" style="525" bestFit="1" customWidth="1"/>
    <col min="5129" max="5129" width="11.140625" style="525" customWidth="1"/>
    <col min="5130" max="5130" width="16.42578125" style="525" customWidth="1"/>
    <col min="5131" max="5131" width="10.140625" style="525" bestFit="1" customWidth="1"/>
    <col min="5132" max="5132" width="16.85546875" style="525" bestFit="1" customWidth="1"/>
    <col min="5133" max="5133" width="14.5703125" style="525" bestFit="1" customWidth="1"/>
    <col min="5134"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7.140625" style="525" bestFit="1" customWidth="1"/>
    <col min="5385" max="5385" width="11.140625" style="525" customWidth="1"/>
    <col min="5386" max="5386" width="16.42578125" style="525" customWidth="1"/>
    <col min="5387" max="5387" width="10.140625" style="525" bestFit="1" customWidth="1"/>
    <col min="5388" max="5388" width="16.85546875" style="525" bestFit="1" customWidth="1"/>
    <col min="5389" max="5389" width="14.5703125" style="525" bestFit="1" customWidth="1"/>
    <col min="5390"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7.140625" style="525" bestFit="1" customWidth="1"/>
    <col min="5641" max="5641" width="11.140625" style="525" customWidth="1"/>
    <col min="5642" max="5642" width="16.42578125" style="525" customWidth="1"/>
    <col min="5643" max="5643" width="10.140625" style="525" bestFit="1" customWidth="1"/>
    <col min="5644" max="5644" width="16.85546875" style="525" bestFit="1" customWidth="1"/>
    <col min="5645" max="5645" width="14.5703125" style="525" bestFit="1" customWidth="1"/>
    <col min="5646"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7.140625" style="525" bestFit="1" customWidth="1"/>
    <col min="5897" max="5897" width="11.140625" style="525" customWidth="1"/>
    <col min="5898" max="5898" width="16.42578125" style="525" customWidth="1"/>
    <col min="5899" max="5899" width="10.140625" style="525" bestFit="1" customWidth="1"/>
    <col min="5900" max="5900" width="16.85546875" style="525" bestFit="1" customWidth="1"/>
    <col min="5901" max="5901" width="14.5703125" style="525" bestFit="1" customWidth="1"/>
    <col min="5902"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7.140625" style="525" bestFit="1" customWidth="1"/>
    <col min="6153" max="6153" width="11.140625" style="525" customWidth="1"/>
    <col min="6154" max="6154" width="16.42578125" style="525" customWidth="1"/>
    <col min="6155" max="6155" width="10.140625" style="525" bestFit="1" customWidth="1"/>
    <col min="6156" max="6156" width="16.85546875" style="525" bestFit="1" customWidth="1"/>
    <col min="6157" max="6157" width="14.5703125" style="525" bestFit="1" customWidth="1"/>
    <col min="6158"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7.140625" style="525" bestFit="1" customWidth="1"/>
    <col min="6409" max="6409" width="11.140625" style="525" customWidth="1"/>
    <col min="6410" max="6410" width="16.42578125" style="525" customWidth="1"/>
    <col min="6411" max="6411" width="10.140625" style="525" bestFit="1" customWidth="1"/>
    <col min="6412" max="6412" width="16.85546875" style="525" bestFit="1" customWidth="1"/>
    <col min="6413" max="6413" width="14.5703125" style="525" bestFit="1" customWidth="1"/>
    <col min="6414"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7.140625" style="525" bestFit="1" customWidth="1"/>
    <col min="6665" max="6665" width="11.140625" style="525" customWidth="1"/>
    <col min="6666" max="6666" width="16.42578125" style="525" customWidth="1"/>
    <col min="6667" max="6667" width="10.140625" style="525" bestFit="1" customWidth="1"/>
    <col min="6668" max="6668" width="16.85546875" style="525" bestFit="1" customWidth="1"/>
    <col min="6669" max="6669" width="14.5703125" style="525" bestFit="1" customWidth="1"/>
    <col min="6670"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7.140625" style="525" bestFit="1" customWidth="1"/>
    <col min="6921" max="6921" width="11.140625" style="525" customWidth="1"/>
    <col min="6922" max="6922" width="16.42578125" style="525" customWidth="1"/>
    <col min="6923" max="6923" width="10.140625" style="525" bestFit="1" customWidth="1"/>
    <col min="6924" max="6924" width="16.85546875" style="525" bestFit="1" customWidth="1"/>
    <col min="6925" max="6925" width="14.5703125" style="525" bestFit="1" customWidth="1"/>
    <col min="6926"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7.140625" style="525" bestFit="1" customWidth="1"/>
    <col min="7177" max="7177" width="11.140625" style="525" customWidth="1"/>
    <col min="7178" max="7178" width="16.42578125" style="525" customWidth="1"/>
    <col min="7179" max="7179" width="10.140625" style="525" bestFit="1" customWidth="1"/>
    <col min="7180" max="7180" width="16.85546875" style="525" bestFit="1" customWidth="1"/>
    <col min="7181" max="7181" width="14.5703125" style="525" bestFit="1" customWidth="1"/>
    <col min="7182"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7.140625" style="525" bestFit="1" customWidth="1"/>
    <col min="7433" max="7433" width="11.140625" style="525" customWidth="1"/>
    <col min="7434" max="7434" width="16.42578125" style="525" customWidth="1"/>
    <col min="7435" max="7435" width="10.140625" style="525" bestFit="1" customWidth="1"/>
    <col min="7436" max="7436" width="16.85546875" style="525" bestFit="1" customWidth="1"/>
    <col min="7437" max="7437" width="14.5703125" style="525" bestFit="1" customWidth="1"/>
    <col min="7438"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7.140625" style="525" bestFit="1" customWidth="1"/>
    <col min="7689" max="7689" width="11.140625" style="525" customWidth="1"/>
    <col min="7690" max="7690" width="16.42578125" style="525" customWidth="1"/>
    <col min="7691" max="7691" width="10.140625" style="525" bestFit="1" customWidth="1"/>
    <col min="7692" max="7692" width="16.85546875" style="525" bestFit="1" customWidth="1"/>
    <col min="7693" max="7693" width="14.5703125" style="525" bestFit="1" customWidth="1"/>
    <col min="7694"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7.140625" style="525" bestFit="1" customWidth="1"/>
    <col min="7945" max="7945" width="11.140625" style="525" customWidth="1"/>
    <col min="7946" max="7946" width="16.42578125" style="525" customWidth="1"/>
    <col min="7947" max="7947" width="10.140625" style="525" bestFit="1" customWidth="1"/>
    <col min="7948" max="7948" width="16.85546875" style="525" bestFit="1" customWidth="1"/>
    <col min="7949" max="7949" width="14.5703125" style="525" bestFit="1" customWidth="1"/>
    <col min="7950"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7.140625" style="525" bestFit="1" customWidth="1"/>
    <col min="8201" max="8201" width="11.140625" style="525" customWidth="1"/>
    <col min="8202" max="8202" width="16.42578125" style="525" customWidth="1"/>
    <col min="8203" max="8203" width="10.140625" style="525" bestFit="1" customWidth="1"/>
    <col min="8204" max="8204" width="16.85546875" style="525" bestFit="1" customWidth="1"/>
    <col min="8205" max="8205" width="14.5703125" style="525" bestFit="1" customWidth="1"/>
    <col min="8206"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7.140625" style="525" bestFit="1" customWidth="1"/>
    <col min="8457" max="8457" width="11.140625" style="525" customWidth="1"/>
    <col min="8458" max="8458" width="16.42578125" style="525" customWidth="1"/>
    <col min="8459" max="8459" width="10.140625" style="525" bestFit="1" customWidth="1"/>
    <col min="8460" max="8460" width="16.85546875" style="525" bestFit="1" customWidth="1"/>
    <col min="8461" max="8461" width="14.5703125" style="525" bestFit="1" customWidth="1"/>
    <col min="8462"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7.140625" style="525" bestFit="1" customWidth="1"/>
    <col min="8713" max="8713" width="11.140625" style="525" customWidth="1"/>
    <col min="8714" max="8714" width="16.42578125" style="525" customWidth="1"/>
    <col min="8715" max="8715" width="10.140625" style="525" bestFit="1" customWidth="1"/>
    <col min="8716" max="8716" width="16.85546875" style="525" bestFit="1" customWidth="1"/>
    <col min="8717" max="8717" width="14.5703125" style="525" bestFit="1" customWidth="1"/>
    <col min="8718"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7.140625" style="525" bestFit="1" customWidth="1"/>
    <col min="8969" max="8969" width="11.140625" style="525" customWidth="1"/>
    <col min="8970" max="8970" width="16.42578125" style="525" customWidth="1"/>
    <col min="8971" max="8971" width="10.140625" style="525" bestFit="1" customWidth="1"/>
    <col min="8972" max="8972" width="16.85546875" style="525" bestFit="1" customWidth="1"/>
    <col min="8973" max="8973" width="14.5703125" style="525" bestFit="1" customWidth="1"/>
    <col min="8974"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7.140625" style="525" bestFit="1" customWidth="1"/>
    <col min="9225" max="9225" width="11.140625" style="525" customWidth="1"/>
    <col min="9226" max="9226" width="16.42578125" style="525" customWidth="1"/>
    <col min="9227" max="9227" width="10.140625" style="525" bestFit="1" customWidth="1"/>
    <col min="9228" max="9228" width="16.85546875" style="525" bestFit="1" customWidth="1"/>
    <col min="9229" max="9229" width="14.5703125" style="525" bestFit="1" customWidth="1"/>
    <col min="9230"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7.140625" style="525" bestFit="1" customWidth="1"/>
    <col min="9481" max="9481" width="11.140625" style="525" customWidth="1"/>
    <col min="9482" max="9482" width="16.42578125" style="525" customWidth="1"/>
    <col min="9483" max="9483" width="10.140625" style="525" bestFit="1" customWidth="1"/>
    <col min="9484" max="9484" width="16.85546875" style="525" bestFit="1" customWidth="1"/>
    <col min="9485" max="9485" width="14.5703125" style="525" bestFit="1" customWidth="1"/>
    <col min="9486"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7.140625" style="525" bestFit="1" customWidth="1"/>
    <col min="9737" max="9737" width="11.140625" style="525" customWidth="1"/>
    <col min="9738" max="9738" width="16.42578125" style="525" customWidth="1"/>
    <col min="9739" max="9739" width="10.140625" style="525" bestFit="1" customWidth="1"/>
    <col min="9740" max="9740" width="16.85546875" style="525" bestFit="1" customWidth="1"/>
    <col min="9741" max="9741" width="14.5703125" style="525" bestFit="1" customWidth="1"/>
    <col min="9742"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7.140625" style="525" bestFit="1" customWidth="1"/>
    <col min="9993" max="9993" width="11.140625" style="525" customWidth="1"/>
    <col min="9994" max="9994" width="16.42578125" style="525" customWidth="1"/>
    <col min="9995" max="9995" width="10.140625" style="525" bestFit="1" customWidth="1"/>
    <col min="9996" max="9996" width="16.85546875" style="525" bestFit="1" customWidth="1"/>
    <col min="9997" max="9997" width="14.5703125" style="525" bestFit="1" customWidth="1"/>
    <col min="9998"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7.140625" style="525" bestFit="1" customWidth="1"/>
    <col min="10249" max="10249" width="11.140625" style="525" customWidth="1"/>
    <col min="10250" max="10250" width="16.42578125" style="525" customWidth="1"/>
    <col min="10251" max="10251" width="10.140625" style="525" bestFit="1" customWidth="1"/>
    <col min="10252" max="10252" width="16.85546875" style="525" bestFit="1" customWidth="1"/>
    <col min="10253" max="10253" width="14.5703125" style="525" bestFit="1" customWidth="1"/>
    <col min="10254"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7.140625" style="525" bestFit="1" customWidth="1"/>
    <col min="10505" max="10505" width="11.140625" style="525" customWidth="1"/>
    <col min="10506" max="10506" width="16.42578125" style="525" customWidth="1"/>
    <col min="10507" max="10507" width="10.140625" style="525" bestFit="1" customWidth="1"/>
    <col min="10508" max="10508" width="16.85546875" style="525" bestFit="1" customWidth="1"/>
    <col min="10509" max="10509" width="14.5703125" style="525" bestFit="1" customWidth="1"/>
    <col min="10510"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7.140625" style="525" bestFit="1" customWidth="1"/>
    <col min="10761" max="10761" width="11.140625" style="525" customWidth="1"/>
    <col min="10762" max="10762" width="16.42578125" style="525" customWidth="1"/>
    <col min="10763" max="10763" width="10.140625" style="525" bestFit="1" customWidth="1"/>
    <col min="10764" max="10764" width="16.85546875" style="525" bestFit="1" customWidth="1"/>
    <col min="10765" max="10765" width="14.5703125" style="525" bestFit="1" customWidth="1"/>
    <col min="10766"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7.140625" style="525" bestFit="1" customWidth="1"/>
    <col min="11017" max="11017" width="11.140625" style="525" customWidth="1"/>
    <col min="11018" max="11018" width="16.42578125" style="525" customWidth="1"/>
    <col min="11019" max="11019" width="10.140625" style="525" bestFit="1" customWidth="1"/>
    <col min="11020" max="11020" width="16.85546875" style="525" bestFit="1" customWidth="1"/>
    <col min="11021" max="11021" width="14.5703125" style="525" bestFit="1" customWidth="1"/>
    <col min="11022"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7.140625" style="525" bestFit="1" customWidth="1"/>
    <col min="11273" max="11273" width="11.140625" style="525" customWidth="1"/>
    <col min="11274" max="11274" width="16.42578125" style="525" customWidth="1"/>
    <col min="11275" max="11275" width="10.140625" style="525" bestFit="1" customWidth="1"/>
    <col min="11276" max="11276" width="16.85546875" style="525" bestFit="1" customWidth="1"/>
    <col min="11277" max="11277" width="14.5703125" style="525" bestFit="1" customWidth="1"/>
    <col min="11278"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7.140625" style="525" bestFit="1" customWidth="1"/>
    <col min="11529" max="11529" width="11.140625" style="525" customWidth="1"/>
    <col min="11530" max="11530" width="16.42578125" style="525" customWidth="1"/>
    <col min="11531" max="11531" width="10.140625" style="525" bestFit="1" customWidth="1"/>
    <col min="11532" max="11532" width="16.85546875" style="525" bestFit="1" customWidth="1"/>
    <col min="11533" max="11533" width="14.5703125" style="525" bestFit="1" customWidth="1"/>
    <col min="11534"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7.140625" style="525" bestFit="1" customWidth="1"/>
    <col min="11785" max="11785" width="11.140625" style="525" customWidth="1"/>
    <col min="11786" max="11786" width="16.42578125" style="525" customWidth="1"/>
    <col min="11787" max="11787" width="10.140625" style="525" bestFit="1" customWidth="1"/>
    <col min="11788" max="11788" width="16.85546875" style="525" bestFit="1" customWidth="1"/>
    <col min="11789" max="11789" width="14.5703125" style="525" bestFit="1" customWidth="1"/>
    <col min="11790"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7.140625" style="525" bestFit="1" customWidth="1"/>
    <col min="12041" max="12041" width="11.140625" style="525" customWidth="1"/>
    <col min="12042" max="12042" width="16.42578125" style="525" customWidth="1"/>
    <col min="12043" max="12043" width="10.140625" style="525" bestFit="1" customWidth="1"/>
    <col min="12044" max="12044" width="16.85546875" style="525" bestFit="1" customWidth="1"/>
    <col min="12045" max="12045" width="14.5703125" style="525" bestFit="1" customWidth="1"/>
    <col min="12046"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7.140625" style="525" bestFit="1" customWidth="1"/>
    <col min="12297" max="12297" width="11.140625" style="525" customWidth="1"/>
    <col min="12298" max="12298" width="16.42578125" style="525" customWidth="1"/>
    <col min="12299" max="12299" width="10.140625" style="525" bestFit="1" customWidth="1"/>
    <col min="12300" max="12300" width="16.85546875" style="525" bestFit="1" customWidth="1"/>
    <col min="12301" max="12301" width="14.5703125" style="525" bestFit="1" customWidth="1"/>
    <col min="12302"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7.140625" style="525" bestFit="1" customWidth="1"/>
    <col min="12553" max="12553" width="11.140625" style="525" customWidth="1"/>
    <col min="12554" max="12554" width="16.42578125" style="525" customWidth="1"/>
    <col min="12555" max="12555" width="10.140625" style="525" bestFit="1" customWidth="1"/>
    <col min="12556" max="12556" width="16.85546875" style="525" bestFit="1" customWidth="1"/>
    <col min="12557" max="12557" width="14.5703125" style="525" bestFit="1" customWidth="1"/>
    <col min="12558"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7.140625" style="525" bestFit="1" customWidth="1"/>
    <col min="12809" max="12809" width="11.140625" style="525" customWidth="1"/>
    <col min="12810" max="12810" width="16.42578125" style="525" customWidth="1"/>
    <col min="12811" max="12811" width="10.140625" style="525" bestFit="1" customWidth="1"/>
    <col min="12812" max="12812" width="16.85546875" style="525" bestFit="1" customWidth="1"/>
    <col min="12813" max="12813" width="14.5703125" style="525" bestFit="1" customWidth="1"/>
    <col min="12814"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7.140625" style="525" bestFit="1" customWidth="1"/>
    <col min="13065" max="13065" width="11.140625" style="525" customWidth="1"/>
    <col min="13066" max="13066" width="16.42578125" style="525" customWidth="1"/>
    <col min="13067" max="13067" width="10.140625" style="525" bestFit="1" customWidth="1"/>
    <col min="13068" max="13068" width="16.85546875" style="525" bestFit="1" customWidth="1"/>
    <col min="13069" max="13069" width="14.5703125" style="525" bestFit="1" customWidth="1"/>
    <col min="13070"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7.140625" style="525" bestFit="1" customWidth="1"/>
    <col min="13321" max="13321" width="11.140625" style="525" customWidth="1"/>
    <col min="13322" max="13322" width="16.42578125" style="525" customWidth="1"/>
    <col min="13323" max="13323" width="10.140625" style="525" bestFit="1" customWidth="1"/>
    <col min="13324" max="13324" width="16.85546875" style="525" bestFit="1" customWidth="1"/>
    <col min="13325" max="13325" width="14.5703125" style="525" bestFit="1" customWidth="1"/>
    <col min="13326"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7.140625" style="525" bestFit="1" customWidth="1"/>
    <col min="13577" max="13577" width="11.140625" style="525" customWidth="1"/>
    <col min="13578" max="13578" width="16.42578125" style="525" customWidth="1"/>
    <col min="13579" max="13579" width="10.140625" style="525" bestFit="1" customWidth="1"/>
    <col min="13580" max="13580" width="16.85546875" style="525" bestFit="1" customWidth="1"/>
    <col min="13581" max="13581" width="14.5703125" style="525" bestFit="1" customWidth="1"/>
    <col min="13582"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7.140625" style="525" bestFit="1" customWidth="1"/>
    <col min="13833" max="13833" width="11.140625" style="525" customWidth="1"/>
    <col min="13834" max="13834" width="16.42578125" style="525" customWidth="1"/>
    <col min="13835" max="13835" width="10.140625" style="525" bestFit="1" customWidth="1"/>
    <col min="13836" max="13836" width="16.85546875" style="525" bestFit="1" customWidth="1"/>
    <col min="13837" max="13837" width="14.5703125" style="525" bestFit="1" customWidth="1"/>
    <col min="13838"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7.140625" style="525" bestFit="1" customWidth="1"/>
    <col min="14089" max="14089" width="11.140625" style="525" customWidth="1"/>
    <col min="14090" max="14090" width="16.42578125" style="525" customWidth="1"/>
    <col min="14091" max="14091" width="10.140625" style="525" bestFit="1" customWidth="1"/>
    <col min="14092" max="14092" width="16.85546875" style="525" bestFit="1" customWidth="1"/>
    <col min="14093" max="14093" width="14.5703125" style="525" bestFit="1" customWidth="1"/>
    <col min="14094"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7.140625" style="525" bestFit="1" customWidth="1"/>
    <col min="14345" max="14345" width="11.140625" style="525" customWidth="1"/>
    <col min="14346" max="14346" width="16.42578125" style="525" customWidth="1"/>
    <col min="14347" max="14347" width="10.140625" style="525" bestFit="1" customWidth="1"/>
    <col min="14348" max="14348" width="16.85546875" style="525" bestFit="1" customWidth="1"/>
    <col min="14349" max="14349" width="14.5703125" style="525" bestFit="1" customWidth="1"/>
    <col min="14350"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7.140625" style="525" bestFit="1" customWidth="1"/>
    <col min="14601" max="14601" width="11.140625" style="525" customWidth="1"/>
    <col min="14602" max="14602" width="16.42578125" style="525" customWidth="1"/>
    <col min="14603" max="14603" width="10.140625" style="525" bestFit="1" customWidth="1"/>
    <col min="14604" max="14604" width="16.85546875" style="525" bestFit="1" customWidth="1"/>
    <col min="14605" max="14605" width="14.5703125" style="525" bestFit="1" customWidth="1"/>
    <col min="14606"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7.140625" style="525" bestFit="1" customWidth="1"/>
    <col min="14857" max="14857" width="11.140625" style="525" customWidth="1"/>
    <col min="14858" max="14858" width="16.42578125" style="525" customWidth="1"/>
    <col min="14859" max="14859" width="10.140625" style="525" bestFit="1" customWidth="1"/>
    <col min="14860" max="14860" width="16.85546875" style="525" bestFit="1" customWidth="1"/>
    <col min="14861" max="14861" width="14.5703125" style="525" bestFit="1" customWidth="1"/>
    <col min="14862"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7.140625" style="525" bestFit="1" customWidth="1"/>
    <col min="15113" max="15113" width="11.140625" style="525" customWidth="1"/>
    <col min="15114" max="15114" width="16.42578125" style="525" customWidth="1"/>
    <col min="15115" max="15115" width="10.140625" style="525" bestFit="1" customWidth="1"/>
    <col min="15116" max="15116" width="16.85546875" style="525" bestFit="1" customWidth="1"/>
    <col min="15117" max="15117" width="14.5703125" style="525" bestFit="1" customWidth="1"/>
    <col min="15118"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7.140625" style="525" bestFit="1" customWidth="1"/>
    <col min="15369" max="15369" width="11.140625" style="525" customWidth="1"/>
    <col min="15370" max="15370" width="16.42578125" style="525" customWidth="1"/>
    <col min="15371" max="15371" width="10.140625" style="525" bestFit="1" customWidth="1"/>
    <col min="15372" max="15372" width="16.85546875" style="525" bestFit="1" customWidth="1"/>
    <col min="15373" max="15373" width="14.5703125" style="525" bestFit="1" customWidth="1"/>
    <col min="15374"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7.140625" style="525" bestFit="1" customWidth="1"/>
    <col min="15625" max="15625" width="11.140625" style="525" customWidth="1"/>
    <col min="15626" max="15626" width="16.42578125" style="525" customWidth="1"/>
    <col min="15627" max="15627" width="10.140625" style="525" bestFit="1" customWidth="1"/>
    <col min="15628" max="15628" width="16.85546875" style="525" bestFit="1" customWidth="1"/>
    <col min="15629" max="15629" width="14.5703125" style="525" bestFit="1" customWidth="1"/>
    <col min="15630"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7.140625" style="525" bestFit="1" customWidth="1"/>
    <col min="15881" max="15881" width="11.140625" style="525" customWidth="1"/>
    <col min="15882" max="15882" width="16.42578125" style="525" customWidth="1"/>
    <col min="15883" max="15883" width="10.140625" style="525" bestFit="1" customWidth="1"/>
    <col min="15884" max="15884" width="16.85546875" style="525" bestFit="1" customWidth="1"/>
    <col min="15885" max="15885" width="14.5703125" style="525" bestFit="1" customWidth="1"/>
    <col min="15886"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7.140625" style="525" bestFit="1" customWidth="1"/>
    <col min="16137" max="16137" width="11.140625" style="525" customWidth="1"/>
    <col min="16138" max="16138" width="16.42578125" style="525" customWidth="1"/>
    <col min="16139" max="16139" width="10.140625" style="525" bestFit="1" customWidth="1"/>
    <col min="16140" max="16140" width="16.85546875" style="525" bestFit="1" customWidth="1"/>
    <col min="16141" max="16141" width="14.5703125" style="525" bestFit="1" customWidth="1"/>
    <col min="16142" max="16384" width="9.140625" style="525"/>
  </cols>
  <sheetData>
    <row r="1" spans="1:12">
      <c r="C1" s="526" t="s">
        <v>1432</v>
      </c>
      <c r="G1" s="1388" t="s">
        <v>1020</v>
      </c>
    </row>
    <row r="6" spans="1:12">
      <c r="A6" s="2740" t="s">
        <v>1431</v>
      </c>
      <c r="B6" s="2740"/>
      <c r="C6" s="2740"/>
      <c r="D6" s="2740"/>
      <c r="E6" s="2740"/>
      <c r="F6" s="2740"/>
      <c r="G6" s="2740"/>
      <c r="H6" s="2740"/>
      <c r="I6" s="2740"/>
      <c r="J6" s="2740"/>
    </row>
    <row r="7" spans="1:12" ht="17.25">
      <c r="A7" s="2741" t="s">
        <v>1361</v>
      </c>
      <c r="B7" s="2741"/>
      <c r="C7" s="2741"/>
      <c r="D7" s="2741"/>
      <c r="E7" s="2741"/>
      <c r="F7" s="2741"/>
      <c r="G7" s="2741"/>
      <c r="H7" s="2741"/>
      <c r="I7" s="2741"/>
      <c r="J7" s="2741"/>
    </row>
    <row r="8" spans="1:12">
      <c r="A8" s="2357"/>
      <c r="B8" s="2357"/>
      <c r="C8" s="2304"/>
      <c r="D8" s="2357"/>
      <c r="E8" s="2357"/>
      <c r="F8" s="2357"/>
      <c r="G8" s="2357"/>
      <c r="H8" s="2357"/>
      <c r="I8" s="2742" t="s">
        <v>1263</v>
      </c>
      <c r="J8" s="2742"/>
    </row>
    <row r="9" spans="1:12">
      <c r="A9" s="2743" t="s">
        <v>1294</v>
      </c>
      <c r="B9" s="2743" t="s">
        <v>1360</v>
      </c>
      <c r="C9" s="2746" t="s">
        <v>1359</v>
      </c>
      <c r="D9" s="2747" t="s">
        <v>1358</v>
      </c>
      <c r="E9" s="2748"/>
      <c r="F9" s="2748"/>
      <c r="G9" s="2748"/>
      <c r="H9" s="2743" t="s">
        <v>1430</v>
      </c>
      <c r="I9" s="2749" t="s">
        <v>1356</v>
      </c>
      <c r="J9" s="2750"/>
    </row>
    <row r="10" spans="1:12">
      <c r="A10" s="2744"/>
      <c r="B10" s="2744"/>
      <c r="C10" s="2746"/>
      <c r="D10" s="2747" t="s">
        <v>1355</v>
      </c>
      <c r="E10" s="2748"/>
      <c r="F10" s="2747" t="s">
        <v>1415</v>
      </c>
      <c r="G10" s="2748"/>
      <c r="H10" s="2744"/>
      <c r="I10" s="2751"/>
      <c r="J10" s="2752"/>
    </row>
    <row r="11" spans="1:12" ht="49.5">
      <c r="A11" s="2745"/>
      <c r="B11" s="2745"/>
      <c r="C11" s="2746"/>
      <c r="D11" s="569" t="s">
        <v>1352</v>
      </c>
      <c r="E11" s="569" t="s">
        <v>102</v>
      </c>
      <c r="F11" s="569" t="s">
        <v>1352</v>
      </c>
      <c r="G11" s="569" t="s">
        <v>102</v>
      </c>
      <c r="H11" s="2745"/>
      <c r="I11" s="569" t="s">
        <v>1352</v>
      </c>
      <c r="J11" s="569" t="s">
        <v>102</v>
      </c>
    </row>
    <row r="12" spans="1:12" s="540" customFormat="1">
      <c r="A12" s="567" t="s">
        <v>1351</v>
      </c>
      <c r="B12" s="529"/>
      <c r="C12" s="566"/>
      <c r="D12" s="565"/>
      <c r="E12" s="565">
        <f>SUM(E20+E22)</f>
        <v>48351000</v>
      </c>
      <c r="F12" s="565"/>
      <c r="G12" s="565">
        <f>SUM(G20+G22)</f>
        <v>10650000</v>
      </c>
      <c r="H12" s="565">
        <f>SUM(H20+H22)</f>
        <v>83731000</v>
      </c>
      <c r="I12" s="565"/>
      <c r="J12" s="565">
        <f>SUM(J20+J22)</f>
        <v>8980000</v>
      </c>
      <c r="L12" s="571"/>
    </row>
    <row r="13" spans="1:12">
      <c r="A13" s="552" t="s">
        <v>1429</v>
      </c>
      <c r="B13" s="554" t="s">
        <v>1428</v>
      </c>
      <c r="C13" s="553">
        <v>27000</v>
      </c>
      <c r="D13" s="552">
        <v>350</v>
      </c>
      <c r="E13" s="557">
        <f t="shared" ref="E13:E19" si="0">$C13*D13</f>
        <v>9450000</v>
      </c>
      <c r="F13" s="552"/>
      <c r="G13" s="557">
        <f>$C13*F13</f>
        <v>0</v>
      </c>
      <c r="H13" s="557">
        <f t="shared" ref="H13:H19" si="1">E13+(G13*2)</f>
        <v>9450000</v>
      </c>
      <c r="I13" s="551"/>
      <c r="J13" s="557">
        <f>$C13*I13</f>
        <v>0</v>
      </c>
    </row>
    <row r="14" spans="1:12">
      <c r="A14" s="552" t="s">
        <v>1350</v>
      </c>
      <c r="B14" s="554" t="s">
        <v>1287</v>
      </c>
      <c r="C14" s="553">
        <v>70000</v>
      </c>
      <c r="D14" s="552">
        <v>390</v>
      </c>
      <c r="E14" s="557">
        <f t="shared" si="0"/>
        <v>27300000</v>
      </c>
      <c r="F14" s="552"/>
      <c r="G14" s="557">
        <f>$C14*F14</f>
        <v>0</v>
      </c>
      <c r="H14" s="557">
        <f t="shared" si="1"/>
        <v>27300000</v>
      </c>
      <c r="I14" s="551"/>
      <c r="J14" s="557">
        <f>$C14*I14</f>
        <v>0</v>
      </c>
    </row>
    <row r="15" spans="1:12">
      <c r="A15" s="552" t="s">
        <v>1349</v>
      </c>
      <c r="B15" s="554" t="s">
        <v>228</v>
      </c>
      <c r="C15" s="553">
        <v>450000</v>
      </c>
      <c r="D15" s="552">
        <v>5</v>
      </c>
      <c r="E15" s="557">
        <f t="shared" si="0"/>
        <v>2250000</v>
      </c>
      <c r="F15" s="552"/>
      <c r="G15" s="557">
        <f>$C15*F15</f>
        <v>0</v>
      </c>
      <c r="H15" s="557">
        <f t="shared" si="1"/>
        <v>2250000</v>
      </c>
      <c r="I15" s="551"/>
      <c r="J15" s="557">
        <f>$C15*I15</f>
        <v>0</v>
      </c>
    </row>
    <row r="16" spans="1:12">
      <c r="A16" s="552" t="s">
        <v>1427</v>
      </c>
      <c r="B16" s="554" t="s">
        <v>11</v>
      </c>
      <c r="C16" s="553">
        <v>3000</v>
      </c>
      <c r="D16" s="552">
        <v>178</v>
      </c>
      <c r="E16" s="557">
        <f t="shared" si="0"/>
        <v>534000</v>
      </c>
      <c r="F16" s="552"/>
      <c r="G16" s="557">
        <f>$C16*F16</f>
        <v>0</v>
      </c>
      <c r="H16" s="557">
        <f t="shared" si="1"/>
        <v>534000</v>
      </c>
      <c r="I16" s="551"/>
      <c r="J16" s="557">
        <f>$C16*I16</f>
        <v>0</v>
      </c>
    </row>
    <row r="17" spans="1:13">
      <c r="A17" s="552" t="s">
        <v>1426</v>
      </c>
      <c r="B17" s="554" t="s">
        <v>11</v>
      </c>
      <c r="C17" s="553">
        <v>10000</v>
      </c>
      <c r="D17" s="552">
        <v>71</v>
      </c>
      <c r="E17" s="557">
        <f t="shared" si="0"/>
        <v>710000</v>
      </c>
      <c r="F17" s="552">
        <v>105</v>
      </c>
      <c r="G17" s="557">
        <f>$C17*F17</f>
        <v>1050000</v>
      </c>
      <c r="H17" s="557">
        <f t="shared" si="1"/>
        <v>2810000</v>
      </c>
      <c r="I17" s="551">
        <v>142</v>
      </c>
      <c r="J17" s="557">
        <f>$C17*I17</f>
        <v>1420000</v>
      </c>
    </row>
    <row r="18" spans="1:13">
      <c r="A18" s="552" t="s">
        <v>1372</v>
      </c>
      <c r="B18" s="554" t="s">
        <v>11</v>
      </c>
      <c r="C18" s="553">
        <v>1000</v>
      </c>
      <c r="D18" s="552">
        <v>107</v>
      </c>
      <c r="E18" s="557">
        <f t="shared" si="0"/>
        <v>107000</v>
      </c>
      <c r="F18" s="552"/>
      <c r="G18" s="557"/>
      <c r="H18" s="557">
        <f t="shared" si="1"/>
        <v>107000</v>
      </c>
      <c r="I18" s="551"/>
      <c r="J18" s="557"/>
    </row>
    <row r="19" spans="1:13">
      <c r="A19" s="552" t="s">
        <v>1345</v>
      </c>
      <c r="B19" s="554" t="s">
        <v>511</v>
      </c>
      <c r="C19" s="553">
        <v>200000</v>
      </c>
      <c r="D19" s="552">
        <v>40</v>
      </c>
      <c r="E19" s="557">
        <f t="shared" si="0"/>
        <v>8000000</v>
      </c>
      <c r="F19" s="552">
        <v>48</v>
      </c>
      <c r="G19" s="557">
        <f>$C19*F19</f>
        <v>9600000</v>
      </c>
      <c r="H19" s="557">
        <f t="shared" si="1"/>
        <v>27200000</v>
      </c>
      <c r="I19" s="552">
        <v>35</v>
      </c>
      <c r="J19" s="557">
        <f>$C19*I19</f>
        <v>7000000</v>
      </c>
    </row>
    <row r="20" spans="1:13" s="540" customFormat="1">
      <c r="A20" s="556" t="s">
        <v>1344</v>
      </c>
      <c r="B20" s="554"/>
      <c r="C20" s="553"/>
      <c r="D20" s="552"/>
      <c r="E20" s="564">
        <f>SUM(E13:E19)</f>
        <v>48351000</v>
      </c>
      <c r="F20" s="552"/>
      <c r="G20" s="564">
        <f>SUM(G13:G19)</f>
        <v>10650000</v>
      </c>
      <c r="H20" s="564">
        <f>SUM(H13:H19)</f>
        <v>69651000</v>
      </c>
      <c r="I20" s="555"/>
      <c r="J20" s="555">
        <f>SUM(J13:J19)</f>
        <v>8420000</v>
      </c>
      <c r="L20" s="570"/>
      <c r="M20" s="572"/>
    </row>
    <row r="21" spans="1:13" s="540" customFormat="1" ht="17.25">
      <c r="A21" s="563" t="s">
        <v>12</v>
      </c>
      <c r="B21" s="562"/>
      <c r="C21" s="561"/>
      <c r="D21" s="560"/>
      <c r="E21" s="559">
        <v>35000000</v>
      </c>
      <c r="F21" s="559"/>
      <c r="G21" s="559">
        <v>8000000</v>
      </c>
      <c r="H21" s="559">
        <f>B31</f>
        <v>50000000</v>
      </c>
      <c r="I21" s="558"/>
      <c r="J21" s="558"/>
      <c r="L21" s="570"/>
      <c r="M21" s="572"/>
    </row>
    <row r="22" spans="1:13">
      <c r="A22" s="552" t="s">
        <v>1342</v>
      </c>
      <c r="B22" s="554"/>
      <c r="C22" s="553"/>
      <c r="D22" s="552"/>
      <c r="E22" s="557"/>
      <c r="F22" s="557"/>
      <c r="G22" s="557"/>
      <c r="H22" s="553">
        <v>14080000</v>
      </c>
      <c r="I22" s="551"/>
      <c r="J22" s="551">
        <f>B36*B38</f>
        <v>560000</v>
      </c>
      <c r="M22" s="572"/>
    </row>
    <row r="23" spans="1:13" s="540" customFormat="1">
      <c r="A23" s="556" t="s">
        <v>1341</v>
      </c>
      <c r="B23" s="554"/>
      <c r="C23" s="553"/>
      <c r="D23" s="552"/>
      <c r="E23" s="552"/>
      <c r="F23" s="552"/>
      <c r="G23" s="552"/>
      <c r="H23" s="552"/>
      <c r="I23" s="551"/>
      <c r="J23" s="555">
        <f>J25</f>
        <v>65000000</v>
      </c>
      <c r="L23" s="571"/>
      <c r="M23" s="574"/>
    </row>
    <row r="24" spans="1:13">
      <c r="A24" s="552" t="s">
        <v>1340</v>
      </c>
      <c r="B24" s="554" t="s">
        <v>11</v>
      </c>
      <c r="C24" s="553"/>
      <c r="D24" s="552"/>
      <c r="E24" s="552"/>
      <c r="F24" s="552"/>
      <c r="G24" s="552"/>
      <c r="H24" s="552"/>
      <c r="I24" s="551">
        <v>1000</v>
      </c>
      <c r="J24" s="551"/>
    </row>
    <row r="25" spans="1:13">
      <c r="A25" s="552" t="s">
        <v>1339</v>
      </c>
      <c r="B25" s="554" t="s">
        <v>1338</v>
      </c>
      <c r="C25" s="553">
        <v>65000</v>
      </c>
      <c r="D25" s="552"/>
      <c r="E25" s="552"/>
      <c r="F25" s="552"/>
      <c r="G25" s="552"/>
      <c r="H25" s="552"/>
      <c r="I25" s="551">
        <f>I24</f>
        <v>1000</v>
      </c>
      <c r="J25" s="551">
        <f>I25*C25</f>
        <v>65000000</v>
      </c>
    </row>
    <row r="26" spans="1:13" s="540" customFormat="1">
      <c r="A26" s="550" t="s">
        <v>1337</v>
      </c>
      <c r="B26" s="548"/>
      <c r="C26" s="549"/>
      <c r="D26" s="548"/>
      <c r="E26" s="548"/>
      <c r="F26" s="548"/>
      <c r="G26" s="548"/>
      <c r="H26" s="548"/>
      <c r="I26" s="547"/>
      <c r="J26" s="547">
        <f>J23-J12</f>
        <v>56020000</v>
      </c>
      <c r="L26" s="571"/>
    </row>
    <row r="27" spans="1:13" s="540" customFormat="1">
      <c r="A27" s="546" t="s">
        <v>1269</v>
      </c>
      <c r="B27" s="545" t="s">
        <v>90</v>
      </c>
      <c r="C27" s="544"/>
      <c r="D27" s="543"/>
      <c r="E27" s="543"/>
      <c r="F27" s="543"/>
      <c r="G27" s="543"/>
      <c r="H27" s="543"/>
      <c r="I27" s="542"/>
      <c r="J27" s="541">
        <f>J26/J23</f>
        <v>0.86184615384615382</v>
      </c>
      <c r="L27" s="571"/>
    </row>
    <row r="28" spans="1:13">
      <c r="A28" s="539"/>
      <c r="B28" s="537"/>
      <c r="C28" s="538"/>
      <c r="D28" s="537"/>
      <c r="E28" s="537"/>
      <c r="F28" s="537"/>
      <c r="G28" s="537"/>
      <c r="H28" s="537"/>
      <c r="I28" s="536"/>
      <c r="J28" s="536"/>
    </row>
    <row r="29" spans="1:13">
      <c r="A29" s="2753" t="s">
        <v>1336</v>
      </c>
      <c r="B29" s="2754"/>
      <c r="C29" s="2754"/>
    </row>
    <row r="30" spans="1:13">
      <c r="A30" s="530" t="s">
        <v>1335</v>
      </c>
      <c r="B30" s="2737"/>
      <c r="C30" s="2737"/>
    </row>
    <row r="31" spans="1:13">
      <c r="A31" s="529" t="s">
        <v>1330</v>
      </c>
      <c r="B31" s="2738">
        <v>50000000</v>
      </c>
      <c r="C31" s="2738"/>
      <c r="D31" s="535"/>
      <c r="E31" s="535"/>
      <c r="F31" s="535"/>
      <c r="G31" s="535"/>
      <c r="H31" s="534"/>
    </row>
    <row r="32" spans="1:13">
      <c r="A32" s="528" t="s">
        <v>1329</v>
      </c>
      <c r="B32" s="2739" t="s">
        <v>1425</v>
      </c>
      <c r="C32" s="2739"/>
      <c r="D32" s="533"/>
      <c r="E32" s="533"/>
      <c r="F32" s="533"/>
      <c r="G32" s="533"/>
      <c r="H32" s="533"/>
    </row>
    <row r="33" spans="1:8">
      <c r="A33" s="527" t="s">
        <v>1328</v>
      </c>
      <c r="B33" s="2735">
        <v>0.11</v>
      </c>
      <c r="C33" s="2735"/>
      <c r="D33" s="532"/>
      <c r="E33" s="532"/>
      <c r="F33" s="532"/>
      <c r="G33" s="532"/>
      <c r="H33" s="532"/>
    </row>
    <row r="34" spans="1:8">
      <c r="A34" s="531" t="s">
        <v>1333</v>
      </c>
      <c r="B34" s="2736" t="s">
        <v>1420</v>
      </c>
      <c r="C34" s="2736"/>
    </row>
    <row r="35" spans="1:8">
      <c r="A35" s="530" t="s">
        <v>1331</v>
      </c>
      <c r="B35" s="2737"/>
      <c r="C35" s="2737"/>
    </row>
    <row r="36" spans="1:8">
      <c r="A36" s="529" t="s">
        <v>1330</v>
      </c>
      <c r="B36" s="2738">
        <v>7000000</v>
      </c>
      <c r="C36" s="2738"/>
    </row>
    <row r="37" spans="1:8">
      <c r="A37" s="528" t="s">
        <v>1329</v>
      </c>
      <c r="B37" s="2739" t="s">
        <v>1159</v>
      </c>
      <c r="C37" s="2739"/>
    </row>
    <row r="38" spans="1:8">
      <c r="A38" s="527" t="s">
        <v>1328</v>
      </c>
      <c r="B38" s="2735">
        <v>0.08</v>
      </c>
      <c r="C38" s="2735"/>
    </row>
  </sheetData>
  <mergeCells count="21">
    <mergeCell ref="B32:C32"/>
    <mergeCell ref="B38:C38"/>
    <mergeCell ref="A6:J6"/>
    <mergeCell ref="A7:J7"/>
    <mergeCell ref="I8:J8"/>
    <mergeCell ref="A9:A11"/>
    <mergeCell ref="B9:B11"/>
    <mergeCell ref="C9:C11"/>
    <mergeCell ref="D9:G9"/>
    <mergeCell ref="H9:H11"/>
    <mergeCell ref="I9:J10"/>
    <mergeCell ref="D10:E10"/>
    <mergeCell ref="F10:G10"/>
    <mergeCell ref="A29:C29"/>
    <mergeCell ref="B30:C30"/>
    <mergeCell ref="B31:C31"/>
    <mergeCell ref="B33:C33"/>
    <mergeCell ref="B34:C34"/>
    <mergeCell ref="B35:C35"/>
    <mergeCell ref="B36:C36"/>
    <mergeCell ref="B37:C37"/>
  </mergeCells>
  <pageMargins left="0.7" right="0.36" top="0.4" bottom="0.6" header="0.3" footer="0.3"/>
  <pageSetup paperSize="9" scale="85" orientation="landscape" r:id="rId1"/>
  <headerFooter>
    <oddFooter>&amp;CTrang</oddFooter>
  </headerFooter>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M38"/>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7.140625" style="525" bestFit="1" customWidth="1"/>
    <col min="9" max="9" width="11.140625" style="525" customWidth="1"/>
    <col min="10" max="10" width="16.42578125" style="525" customWidth="1"/>
    <col min="11" max="11" width="10.140625" style="525" bestFit="1" customWidth="1"/>
    <col min="12" max="12" width="16.85546875" style="570" bestFit="1" customWidth="1"/>
    <col min="13" max="13" width="14.5703125" style="525" bestFit="1" customWidth="1"/>
    <col min="14"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7.140625" style="525" bestFit="1" customWidth="1"/>
    <col min="265" max="265" width="11.140625" style="525" customWidth="1"/>
    <col min="266" max="266" width="16.42578125" style="525" customWidth="1"/>
    <col min="267" max="267" width="10.140625" style="525" bestFit="1" customWidth="1"/>
    <col min="268" max="268" width="16.85546875" style="525" bestFit="1" customWidth="1"/>
    <col min="269" max="269" width="14.5703125" style="525" bestFit="1" customWidth="1"/>
    <col min="270"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7.140625" style="525" bestFit="1" customWidth="1"/>
    <col min="521" max="521" width="11.140625" style="525" customWidth="1"/>
    <col min="522" max="522" width="16.42578125" style="525" customWidth="1"/>
    <col min="523" max="523" width="10.140625" style="525" bestFit="1" customWidth="1"/>
    <col min="524" max="524" width="16.85546875" style="525" bestFit="1" customWidth="1"/>
    <col min="525" max="525" width="14.5703125" style="525" bestFit="1" customWidth="1"/>
    <col min="526"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7.140625" style="525" bestFit="1" customWidth="1"/>
    <col min="777" max="777" width="11.140625" style="525" customWidth="1"/>
    <col min="778" max="778" width="16.42578125" style="525" customWidth="1"/>
    <col min="779" max="779" width="10.140625" style="525" bestFit="1" customWidth="1"/>
    <col min="780" max="780" width="16.85546875" style="525" bestFit="1" customWidth="1"/>
    <col min="781" max="781" width="14.5703125" style="525" bestFit="1" customWidth="1"/>
    <col min="782"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7.140625" style="525" bestFit="1" customWidth="1"/>
    <col min="1033" max="1033" width="11.140625" style="525" customWidth="1"/>
    <col min="1034" max="1034" width="16.42578125" style="525" customWidth="1"/>
    <col min="1035" max="1035" width="10.140625" style="525" bestFit="1" customWidth="1"/>
    <col min="1036" max="1036" width="16.85546875" style="525" bestFit="1" customWidth="1"/>
    <col min="1037" max="1037" width="14.5703125" style="525" bestFit="1" customWidth="1"/>
    <col min="1038"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7.140625" style="525" bestFit="1" customWidth="1"/>
    <col min="1289" max="1289" width="11.140625" style="525" customWidth="1"/>
    <col min="1290" max="1290" width="16.42578125" style="525" customWidth="1"/>
    <col min="1291" max="1291" width="10.140625" style="525" bestFit="1" customWidth="1"/>
    <col min="1292" max="1292" width="16.85546875" style="525" bestFit="1" customWidth="1"/>
    <col min="1293" max="1293" width="14.5703125" style="525" bestFit="1" customWidth="1"/>
    <col min="1294"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7.140625" style="525" bestFit="1" customWidth="1"/>
    <col min="1545" max="1545" width="11.140625" style="525" customWidth="1"/>
    <col min="1546" max="1546" width="16.42578125" style="525" customWidth="1"/>
    <col min="1547" max="1547" width="10.140625" style="525" bestFit="1" customWidth="1"/>
    <col min="1548" max="1548" width="16.85546875" style="525" bestFit="1" customWidth="1"/>
    <col min="1549" max="1549" width="14.5703125" style="525" bestFit="1" customWidth="1"/>
    <col min="1550"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7.140625" style="525" bestFit="1" customWidth="1"/>
    <col min="1801" max="1801" width="11.140625" style="525" customWidth="1"/>
    <col min="1802" max="1802" width="16.42578125" style="525" customWidth="1"/>
    <col min="1803" max="1803" width="10.140625" style="525" bestFit="1" customWidth="1"/>
    <col min="1804" max="1804" width="16.85546875" style="525" bestFit="1" customWidth="1"/>
    <col min="1805" max="1805" width="14.5703125" style="525" bestFit="1" customWidth="1"/>
    <col min="1806"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7.140625" style="525" bestFit="1" customWidth="1"/>
    <col min="2057" max="2057" width="11.140625" style="525" customWidth="1"/>
    <col min="2058" max="2058" width="16.42578125" style="525" customWidth="1"/>
    <col min="2059" max="2059" width="10.140625" style="525" bestFit="1" customWidth="1"/>
    <col min="2060" max="2060" width="16.85546875" style="525" bestFit="1" customWidth="1"/>
    <col min="2061" max="2061" width="14.5703125" style="525" bestFit="1" customWidth="1"/>
    <col min="2062"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7.140625" style="525" bestFit="1" customWidth="1"/>
    <col min="2313" max="2313" width="11.140625" style="525" customWidth="1"/>
    <col min="2314" max="2314" width="16.42578125" style="525" customWidth="1"/>
    <col min="2315" max="2315" width="10.140625" style="525" bestFit="1" customWidth="1"/>
    <col min="2316" max="2316" width="16.85546875" style="525" bestFit="1" customWidth="1"/>
    <col min="2317" max="2317" width="14.5703125" style="525" bestFit="1" customWidth="1"/>
    <col min="2318"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7.140625" style="525" bestFit="1" customWidth="1"/>
    <col min="2569" max="2569" width="11.140625" style="525" customWidth="1"/>
    <col min="2570" max="2570" width="16.42578125" style="525" customWidth="1"/>
    <col min="2571" max="2571" width="10.140625" style="525" bestFit="1" customWidth="1"/>
    <col min="2572" max="2572" width="16.85546875" style="525" bestFit="1" customWidth="1"/>
    <col min="2573" max="2573" width="14.5703125" style="525" bestFit="1" customWidth="1"/>
    <col min="2574"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7.140625" style="525" bestFit="1" customWidth="1"/>
    <col min="2825" max="2825" width="11.140625" style="525" customWidth="1"/>
    <col min="2826" max="2826" width="16.42578125" style="525" customWidth="1"/>
    <col min="2827" max="2827" width="10.140625" style="525" bestFit="1" customWidth="1"/>
    <col min="2828" max="2828" width="16.85546875" style="525" bestFit="1" customWidth="1"/>
    <col min="2829" max="2829" width="14.5703125" style="525" bestFit="1" customWidth="1"/>
    <col min="2830"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7.140625" style="525" bestFit="1" customWidth="1"/>
    <col min="3081" max="3081" width="11.140625" style="525" customWidth="1"/>
    <col min="3082" max="3082" width="16.42578125" style="525" customWidth="1"/>
    <col min="3083" max="3083" width="10.140625" style="525" bestFit="1" customWidth="1"/>
    <col min="3084" max="3084" width="16.85546875" style="525" bestFit="1" customWidth="1"/>
    <col min="3085" max="3085" width="14.5703125" style="525" bestFit="1" customWidth="1"/>
    <col min="3086"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7.140625" style="525" bestFit="1" customWidth="1"/>
    <col min="3337" max="3337" width="11.140625" style="525" customWidth="1"/>
    <col min="3338" max="3338" width="16.42578125" style="525" customWidth="1"/>
    <col min="3339" max="3339" width="10.140625" style="525" bestFit="1" customWidth="1"/>
    <col min="3340" max="3340" width="16.85546875" style="525" bestFit="1" customWidth="1"/>
    <col min="3341" max="3341" width="14.5703125" style="525" bestFit="1" customWidth="1"/>
    <col min="3342"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7.140625" style="525" bestFit="1" customWidth="1"/>
    <col min="3593" max="3593" width="11.140625" style="525" customWidth="1"/>
    <col min="3594" max="3594" width="16.42578125" style="525" customWidth="1"/>
    <col min="3595" max="3595" width="10.140625" style="525" bestFit="1" customWidth="1"/>
    <col min="3596" max="3596" width="16.85546875" style="525" bestFit="1" customWidth="1"/>
    <col min="3597" max="3597" width="14.5703125" style="525" bestFit="1" customWidth="1"/>
    <col min="3598"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7.140625" style="525" bestFit="1" customWidth="1"/>
    <col min="3849" max="3849" width="11.140625" style="525" customWidth="1"/>
    <col min="3850" max="3850" width="16.42578125" style="525" customWidth="1"/>
    <col min="3851" max="3851" width="10.140625" style="525" bestFit="1" customWidth="1"/>
    <col min="3852" max="3852" width="16.85546875" style="525" bestFit="1" customWidth="1"/>
    <col min="3853" max="3853" width="14.5703125" style="525" bestFit="1" customWidth="1"/>
    <col min="3854"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7.140625" style="525" bestFit="1" customWidth="1"/>
    <col min="4105" max="4105" width="11.140625" style="525" customWidth="1"/>
    <col min="4106" max="4106" width="16.42578125" style="525" customWidth="1"/>
    <col min="4107" max="4107" width="10.140625" style="525" bestFit="1" customWidth="1"/>
    <col min="4108" max="4108" width="16.85546875" style="525" bestFit="1" customWidth="1"/>
    <col min="4109" max="4109" width="14.5703125" style="525" bestFit="1" customWidth="1"/>
    <col min="4110"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7.140625" style="525" bestFit="1" customWidth="1"/>
    <col min="4361" max="4361" width="11.140625" style="525" customWidth="1"/>
    <col min="4362" max="4362" width="16.42578125" style="525" customWidth="1"/>
    <col min="4363" max="4363" width="10.140625" style="525" bestFit="1" customWidth="1"/>
    <col min="4364" max="4364" width="16.85546875" style="525" bestFit="1" customWidth="1"/>
    <col min="4365" max="4365" width="14.5703125" style="525" bestFit="1" customWidth="1"/>
    <col min="4366"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7.140625" style="525" bestFit="1" customWidth="1"/>
    <col min="4617" max="4617" width="11.140625" style="525" customWidth="1"/>
    <col min="4618" max="4618" width="16.42578125" style="525" customWidth="1"/>
    <col min="4619" max="4619" width="10.140625" style="525" bestFit="1" customWidth="1"/>
    <col min="4620" max="4620" width="16.85546875" style="525" bestFit="1" customWidth="1"/>
    <col min="4621" max="4621" width="14.5703125" style="525" bestFit="1" customWidth="1"/>
    <col min="4622"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7.140625" style="525" bestFit="1" customWidth="1"/>
    <col min="4873" max="4873" width="11.140625" style="525" customWidth="1"/>
    <col min="4874" max="4874" width="16.42578125" style="525" customWidth="1"/>
    <col min="4875" max="4875" width="10.140625" style="525" bestFit="1" customWidth="1"/>
    <col min="4876" max="4876" width="16.85546875" style="525" bestFit="1" customWidth="1"/>
    <col min="4877" max="4877" width="14.5703125" style="525" bestFit="1" customWidth="1"/>
    <col min="4878"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7.140625" style="525" bestFit="1" customWidth="1"/>
    <col min="5129" max="5129" width="11.140625" style="525" customWidth="1"/>
    <col min="5130" max="5130" width="16.42578125" style="525" customWidth="1"/>
    <col min="5131" max="5131" width="10.140625" style="525" bestFit="1" customWidth="1"/>
    <col min="5132" max="5132" width="16.85546875" style="525" bestFit="1" customWidth="1"/>
    <col min="5133" max="5133" width="14.5703125" style="525" bestFit="1" customWidth="1"/>
    <col min="5134"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7.140625" style="525" bestFit="1" customWidth="1"/>
    <col min="5385" max="5385" width="11.140625" style="525" customWidth="1"/>
    <col min="5386" max="5386" width="16.42578125" style="525" customWidth="1"/>
    <col min="5387" max="5387" width="10.140625" style="525" bestFit="1" customWidth="1"/>
    <col min="5388" max="5388" width="16.85546875" style="525" bestFit="1" customWidth="1"/>
    <col min="5389" max="5389" width="14.5703125" style="525" bestFit="1" customWidth="1"/>
    <col min="5390"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7.140625" style="525" bestFit="1" customWidth="1"/>
    <col min="5641" max="5641" width="11.140625" style="525" customWidth="1"/>
    <col min="5642" max="5642" width="16.42578125" style="525" customWidth="1"/>
    <col min="5643" max="5643" width="10.140625" style="525" bestFit="1" customWidth="1"/>
    <col min="5644" max="5644" width="16.85546875" style="525" bestFit="1" customWidth="1"/>
    <col min="5645" max="5645" width="14.5703125" style="525" bestFit="1" customWidth="1"/>
    <col min="5646"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7.140625" style="525" bestFit="1" customWidth="1"/>
    <col min="5897" max="5897" width="11.140625" style="525" customWidth="1"/>
    <col min="5898" max="5898" width="16.42578125" style="525" customWidth="1"/>
    <col min="5899" max="5899" width="10.140625" style="525" bestFit="1" customWidth="1"/>
    <col min="5900" max="5900" width="16.85546875" style="525" bestFit="1" customWidth="1"/>
    <col min="5901" max="5901" width="14.5703125" style="525" bestFit="1" customWidth="1"/>
    <col min="5902"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7.140625" style="525" bestFit="1" customWidth="1"/>
    <col min="6153" max="6153" width="11.140625" style="525" customWidth="1"/>
    <col min="6154" max="6154" width="16.42578125" style="525" customWidth="1"/>
    <col min="6155" max="6155" width="10.140625" style="525" bestFit="1" customWidth="1"/>
    <col min="6156" max="6156" width="16.85546875" style="525" bestFit="1" customWidth="1"/>
    <col min="6157" max="6157" width="14.5703125" style="525" bestFit="1" customWidth="1"/>
    <col min="6158"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7.140625" style="525" bestFit="1" customWidth="1"/>
    <col min="6409" max="6409" width="11.140625" style="525" customWidth="1"/>
    <col min="6410" max="6410" width="16.42578125" style="525" customWidth="1"/>
    <col min="6411" max="6411" width="10.140625" style="525" bestFit="1" customWidth="1"/>
    <col min="6412" max="6412" width="16.85546875" style="525" bestFit="1" customWidth="1"/>
    <col min="6413" max="6413" width="14.5703125" style="525" bestFit="1" customWidth="1"/>
    <col min="6414"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7.140625" style="525" bestFit="1" customWidth="1"/>
    <col min="6665" max="6665" width="11.140625" style="525" customWidth="1"/>
    <col min="6666" max="6666" width="16.42578125" style="525" customWidth="1"/>
    <col min="6667" max="6667" width="10.140625" style="525" bestFit="1" customWidth="1"/>
    <col min="6668" max="6668" width="16.85546875" style="525" bestFit="1" customWidth="1"/>
    <col min="6669" max="6669" width="14.5703125" style="525" bestFit="1" customWidth="1"/>
    <col min="6670"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7.140625" style="525" bestFit="1" customWidth="1"/>
    <col min="6921" max="6921" width="11.140625" style="525" customWidth="1"/>
    <col min="6922" max="6922" width="16.42578125" style="525" customWidth="1"/>
    <col min="6923" max="6923" width="10.140625" style="525" bestFit="1" customWidth="1"/>
    <col min="6924" max="6924" width="16.85546875" style="525" bestFit="1" customWidth="1"/>
    <col min="6925" max="6925" width="14.5703125" style="525" bestFit="1" customWidth="1"/>
    <col min="6926"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7.140625" style="525" bestFit="1" customWidth="1"/>
    <col min="7177" max="7177" width="11.140625" style="525" customWidth="1"/>
    <col min="7178" max="7178" width="16.42578125" style="525" customWidth="1"/>
    <col min="7179" max="7179" width="10.140625" style="525" bestFit="1" customWidth="1"/>
    <col min="7180" max="7180" width="16.85546875" style="525" bestFit="1" customWidth="1"/>
    <col min="7181" max="7181" width="14.5703125" style="525" bestFit="1" customWidth="1"/>
    <col min="7182"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7.140625" style="525" bestFit="1" customWidth="1"/>
    <col min="7433" max="7433" width="11.140625" style="525" customWidth="1"/>
    <col min="7434" max="7434" width="16.42578125" style="525" customWidth="1"/>
    <col min="7435" max="7435" width="10.140625" style="525" bestFit="1" customWidth="1"/>
    <col min="7436" max="7436" width="16.85546875" style="525" bestFit="1" customWidth="1"/>
    <col min="7437" max="7437" width="14.5703125" style="525" bestFit="1" customWidth="1"/>
    <col min="7438"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7.140625" style="525" bestFit="1" customWidth="1"/>
    <col min="7689" max="7689" width="11.140625" style="525" customWidth="1"/>
    <col min="7690" max="7690" width="16.42578125" style="525" customWidth="1"/>
    <col min="7691" max="7691" width="10.140625" style="525" bestFit="1" customWidth="1"/>
    <col min="7692" max="7692" width="16.85546875" style="525" bestFit="1" customWidth="1"/>
    <col min="7693" max="7693" width="14.5703125" style="525" bestFit="1" customWidth="1"/>
    <col min="7694"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7.140625" style="525" bestFit="1" customWidth="1"/>
    <col min="7945" max="7945" width="11.140625" style="525" customWidth="1"/>
    <col min="7946" max="7946" width="16.42578125" style="525" customWidth="1"/>
    <col min="7947" max="7947" width="10.140625" style="525" bestFit="1" customWidth="1"/>
    <col min="7948" max="7948" width="16.85546875" style="525" bestFit="1" customWidth="1"/>
    <col min="7949" max="7949" width="14.5703125" style="525" bestFit="1" customWidth="1"/>
    <col min="7950"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7.140625" style="525" bestFit="1" customWidth="1"/>
    <col min="8201" max="8201" width="11.140625" style="525" customWidth="1"/>
    <col min="8202" max="8202" width="16.42578125" style="525" customWidth="1"/>
    <col min="8203" max="8203" width="10.140625" style="525" bestFit="1" customWidth="1"/>
    <col min="8204" max="8204" width="16.85546875" style="525" bestFit="1" customWidth="1"/>
    <col min="8205" max="8205" width="14.5703125" style="525" bestFit="1" customWidth="1"/>
    <col min="8206"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7.140625" style="525" bestFit="1" customWidth="1"/>
    <col min="8457" max="8457" width="11.140625" style="525" customWidth="1"/>
    <col min="8458" max="8458" width="16.42578125" style="525" customWidth="1"/>
    <col min="8459" max="8459" width="10.140625" style="525" bestFit="1" customWidth="1"/>
    <col min="8460" max="8460" width="16.85546875" style="525" bestFit="1" customWidth="1"/>
    <col min="8461" max="8461" width="14.5703125" style="525" bestFit="1" customWidth="1"/>
    <col min="8462"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7.140625" style="525" bestFit="1" customWidth="1"/>
    <col min="8713" max="8713" width="11.140625" style="525" customWidth="1"/>
    <col min="8714" max="8714" width="16.42578125" style="525" customWidth="1"/>
    <col min="8715" max="8715" width="10.140625" style="525" bestFit="1" customWidth="1"/>
    <col min="8716" max="8716" width="16.85546875" style="525" bestFit="1" customWidth="1"/>
    <col min="8717" max="8717" width="14.5703125" style="525" bestFit="1" customWidth="1"/>
    <col min="8718"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7.140625" style="525" bestFit="1" customWidth="1"/>
    <col min="8969" max="8969" width="11.140625" style="525" customWidth="1"/>
    <col min="8970" max="8970" width="16.42578125" style="525" customWidth="1"/>
    <col min="8971" max="8971" width="10.140625" style="525" bestFit="1" customWidth="1"/>
    <col min="8972" max="8972" width="16.85546875" style="525" bestFit="1" customWidth="1"/>
    <col min="8973" max="8973" width="14.5703125" style="525" bestFit="1" customWidth="1"/>
    <col min="8974"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7.140625" style="525" bestFit="1" customWidth="1"/>
    <col min="9225" max="9225" width="11.140625" style="525" customWidth="1"/>
    <col min="9226" max="9226" width="16.42578125" style="525" customWidth="1"/>
    <col min="9227" max="9227" width="10.140625" style="525" bestFit="1" customWidth="1"/>
    <col min="9228" max="9228" width="16.85546875" style="525" bestFit="1" customWidth="1"/>
    <col min="9229" max="9229" width="14.5703125" style="525" bestFit="1" customWidth="1"/>
    <col min="9230"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7.140625" style="525" bestFit="1" customWidth="1"/>
    <col min="9481" max="9481" width="11.140625" style="525" customWidth="1"/>
    <col min="9482" max="9482" width="16.42578125" style="525" customWidth="1"/>
    <col min="9483" max="9483" width="10.140625" style="525" bestFit="1" customWidth="1"/>
    <col min="9484" max="9484" width="16.85546875" style="525" bestFit="1" customWidth="1"/>
    <col min="9485" max="9485" width="14.5703125" style="525" bestFit="1" customWidth="1"/>
    <col min="9486"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7.140625" style="525" bestFit="1" customWidth="1"/>
    <col min="9737" max="9737" width="11.140625" style="525" customWidth="1"/>
    <col min="9738" max="9738" width="16.42578125" style="525" customWidth="1"/>
    <col min="9739" max="9739" width="10.140625" style="525" bestFit="1" customWidth="1"/>
    <col min="9740" max="9740" width="16.85546875" style="525" bestFit="1" customWidth="1"/>
    <col min="9741" max="9741" width="14.5703125" style="525" bestFit="1" customWidth="1"/>
    <col min="9742"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7.140625" style="525" bestFit="1" customWidth="1"/>
    <col min="9993" max="9993" width="11.140625" style="525" customWidth="1"/>
    <col min="9994" max="9994" width="16.42578125" style="525" customWidth="1"/>
    <col min="9995" max="9995" width="10.140625" style="525" bestFit="1" customWidth="1"/>
    <col min="9996" max="9996" width="16.85546875" style="525" bestFit="1" customWidth="1"/>
    <col min="9997" max="9997" width="14.5703125" style="525" bestFit="1" customWidth="1"/>
    <col min="9998"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7.140625" style="525" bestFit="1" customWidth="1"/>
    <col min="10249" max="10249" width="11.140625" style="525" customWidth="1"/>
    <col min="10250" max="10250" width="16.42578125" style="525" customWidth="1"/>
    <col min="10251" max="10251" width="10.140625" style="525" bestFit="1" customWidth="1"/>
    <col min="10252" max="10252" width="16.85546875" style="525" bestFit="1" customWidth="1"/>
    <col min="10253" max="10253" width="14.5703125" style="525" bestFit="1" customWidth="1"/>
    <col min="10254"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7.140625" style="525" bestFit="1" customWidth="1"/>
    <col min="10505" max="10505" width="11.140625" style="525" customWidth="1"/>
    <col min="10506" max="10506" width="16.42578125" style="525" customWidth="1"/>
    <col min="10507" max="10507" width="10.140625" style="525" bestFit="1" customWidth="1"/>
    <col min="10508" max="10508" width="16.85546875" style="525" bestFit="1" customWidth="1"/>
    <col min="10509" max="10509" width="14.5703125" style="525" bestFit="1" customWidth="1"/>
    <col min="10510"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7.140625" style="525" bestFit="1" customWidth="1"/>
    <col min="10761" max="10761" width="11.140625" style="525" customWidth="1"/>
    <col min="10762" max="10762" width="16.42578125" style="525" customWidth="1"/>
    <col min="10763" max="10763" width="10.140625" style="525" bestFit="1" customWidth="1"/>
    <col min="10764" max="10764" width="16.85546875" style="525" bestFit="1" customWidth="1"/>
    <col min="10765" max="10765" width="14.5703125" style="525" bestFit="1" customWidth="1"/>
    <col min="10766"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7.140625" style="525" bestFit="1" customWidth="1"/>
    <col min="11017" max="11017" width="11.140625" style="525" customWidth="1"/>
    <col min="11018" max="11018" width="16.42578125" style="525" customWidth="1"/>
    <col min="11019" max="11019" width="10.140625" style="525" bestFit="1" customWidth="1"/>
    <col min="11020" max="11020" width="16.85546875" style="525" bestFit="1" customWidth="1"/>
    <col min="11021" max="11021" width="14.5703125" style="525" bestFit="1" customWidth="1"/>
    <col min="11022"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7.140625" style="525" bestFit="1" customWidth="1"/>
    <col min="11273" max="11273" width="11.140625" style="525" customWidth="1"/>
    <col min="11274" max="11274" width="16.42578125" style="525" customWidth="1"/>
    <col min="11275" max="11275" width="10.140625" style="525" bestFit="1" customWidth="1"/>
    <col min="11276" max="11276" width="16.85546875" style="525" bestFit="1" customWidth="1"/>
    <col min="11277" max="11277" width="14.5703125" style="525" bestFit="1" customWidth="1"/>
    <col min="11278"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7.140625" style="525" bestFit="1" customWidth="1"/>
    <col min="11529" max="11529" width="11.140625" style="525" customWidth="1"/>
    <col min="11530" max="11530" width="16.42578125" style="525" customWidth="1"/>
    <col min="11531" max="11531" width="10.140625" style="525" bestFit="1" customWidth="1"/>
    <col min="11532" max="11532" width="16.85546875" style="525" bestFit="1" customWidth="1"/>
    <col min="11533" max="11533" width="14.5703125" style="525" bestFit="1" customWidth="1"/>
    <col min="11534"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7.140625" style="525" bestFit="1" customWidth="1"/>
    <col min="11785" max="11785" width="11.140625" style="525" customWidth="1"/>
    <col min="11786" max="11786" width="16.42578125" style="525" customWidth="1"/>
    <col min="11787" max="11787" width="10.140625" style="525" bestFit="1" customWidth="1"/>
    <col min="11788" max="11788" width="16.85546875" style="525" bestFit="1" customWidth="1"/>
    <col min="11789" max="11789" width="14.5703125" style="525" bestFit="1" customWidth="1"/>
    <col min="11790"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7.140625" style="525" bestFit="1" customWidth="1"/>
    <col min="12041" max="12041" width="11.140625" style="525" customWidth="1"/>
    <col min="12042" max="12042" width="16.42578125" style="525" customWidth="1"/>
    <col min="12043" max="12043" width="10.140625" style="525" bestFit="1" customWidth="1"/>
    <col min="12044" max="12044" width="16.85546875" style="525" bestFit="1" customWidth="1"/>
    <col min="12045" max="12045" width="14.5703125" style="525" bestFit="1" customWidth="1"/>
    <col min="12046"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7.140625" style="525" bestFit="1" customWidth="1"/>
    <col min="12297" max="12297" width="11.140625" style="525" customWidth="1"/>
    <col min="12298" max="12298" width="16.42578125" style="525" customWidth="1"/>
    <col min="12299" max="12299" width="10.140625" style="525" bestFit="1" customWidth="1"/>
    <col min="12300" max="12300" width="16.85546875" style="525" bestFit="1" customWidth="1"/>
    <col min="12301" max="12301" width="14.5703125" style="525" bestFit="1" customWidth="1"/>
    <col min="12302"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7.140625" style="525" bestFit="1" customWidth="1"/>
    <col min="12553" max="12553" width="11.140625" style="525" customWidth="1"/>
    <col min="12554" max="12554" width="16.42578125" style="525" customWidth="1"/>
    <col min="12555" max="12555" width="10.140625" style="525" bestFit="1" customWidth="1"/>
    <col min="12556" max="12556" width="16.85546875" style="525" bestFit="1" customWidth="1"/>
    <col min="12557" max="12557" width="14.5703125" style="525" bestFit="1" customWidth="1"/>
    <col min="12558"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7.140625" style="525" bestFit="1" customWidth="1"/>
    <col min="12809" max="12809" width="11.140625" style="525" customWidth="1"/>
    <col min="12810" max="12810" width="16.42578125" style="525" customWidth="1"/>
    <col min="12811" max="12811" width="10.140625" style="525" bestFit="1" customWidth="1"/>
    <col min="12812" max="12812" width="16.85546875" style="525" bestFit="1" customWidth="1"/>
    <col min="12813" max="12813" width="14.5703125" style="525" bestFit="1" customWidth="1"/>
    <col min="12814"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7.140625" style="525" bestFit="1" customWidth="1"/>
    <col min="13065" max="13065" width="11.140625" style="525" customWidth="1"/>
    <col min="13066" max="13066" width="16.42578125" style="525" customWidth="1"/>
    <col min="13067" max="13067" width="10.140625" style="525" bestFit="1" customWidth="1"/>
    <col min="13068" max="13068" width="16.85546875" style="525" bestFit="1" customWidth="1"/>
    <col min="13069" max="13069" width="14.5703125" style="525" bestFit="1" customWidth="1"/>
    <col min="13070"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7.140625" style="525" bestFit="1" customWidth="1"/>
    <col min="13321" max="13321" width="11.140625" style="525" customWidth="1"/>
    <col min="13322" max="13322" width="16.42578125" style="525" customWidth="1"/>
    <col min="13323" max="13323" width="10.140625" style="525" bestFit="1" customWidth="1"/>
    <col min="13324" max="13324" width="16.85546875" style="525" bestFit="1" customWidth="1"/>
    <col min="13325" max="13325" width="14.5703125" style="525" bestFit="1" customWidth="1"/>
    <col min="13326"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7.140625" style="525" bestFit="1" customWidth="1"/>
    <col min="13577" max="13577" width="11.140625" style="525" customWidth="1"/>
    <col min="13578" max="13578" width="16.42578125" style="525" customWidth="1"/>
    <col min="13579" max="13579" width="10.140625" style="525" bestFit="1" customWidth="1"/>
    <col min="13580" max="13580" width="16.85546875" style="525" bestFit="1" customWidth="1"/>
    <col min="13581" max="13581" width="14.5703125" style="525" bestFit="1" customWidth="1"/>
    <col min="13582"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7.140625" style="525" bestFit="1" customWidth="1"/>
    <col min="13833" max="13833" width="11.140625" style="525" customWidth="1"/>
    <col min="13834" max="13834" width="16.42578125" style="525" customWidth="1"/>
    <col min="13835" max="13835" width="10.140625" style="525" bestFit="1" customWidth="1"/>
    <col min="13836" max="13836" width="16.85546875" style="525" bestFit="1" customWidth="1"/>
    <col min="13837" max="13837" width="14.5703125" style="525" bestFit="1" customWidth="1"/>
    <col min="13838"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7.140625" style="525" bestFit="1" customWidth="1"/>
    <col min="14089" max="14089" width="11.140625" style="525" customWidth="1"/>
    <col min="14090" max="14090" width="16.42578125" style="525" customWidth="1"/>
    <col min="14091" max="14091" width="10.140625" style="525" bestFit="1" customWidth="1"/>
    <col min="14092" max="14092" width="16.85546875" style="525" bestFit="1" customWidth="1"/>
    <col min="14093" max="14093" width="14.5703125" style="525" bestFit="1" customWidth="1"/>
    <col min="14094"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7.140625" style="525" bestFit="1" customWidth="1"/>
    <col min="14345" max="14345" width="11.140625" style="525" customWidth="1"/>
    <col min="14346" max="14346" width="16.42578125" style="525" customWidth="1"/>
    <col min="14347" max="14347" width="10.140625" style="525" bestFit="1" customWidth="1"/>
    <col min="14348" max="14348" width="16.85546875" style="525" bestFit="1" customWidth="1"/>
    <col min="14349" max="14349" width="14.5703125" style="525" bestFit="1" customWidth="1"/>
    <col min="14350"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7.140625" style="525" bestFit="1" customWidth="1"/>
    <col min="14601" max="14601" width="11.140625" style="525" customWidth="1"/>
    <col min="14602" max="14602" width="16.42578125" style="525" customWidth="1"/>
    <col min="14603" max="14603" width="10.140625" style="525" bestFit="1" customWidth="1"/>
    <col min="14604" max="14604" width="16.85546875" style="525" bestFit="1" customWidth="1"/>
    <col min="14605" max="14605" width="14.5703125" style="525" bestFit="1" customWidth="1"/>
    <col min="14606"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7.140625" style="525" bestFit="1" customWidth="1"/>
    <col min="14857" max="14857" width="11.140625" style="525" customWidth="1"/>
    <col min="14858" max="14858" width="16.42578125" style="525" customWidth="1"/>
    <col min="14859" max="14859" width="10.140625" style="525" bestFit="1" customWidth="1"/>
    <col min="14860" max="14860" width="16.85546875" style="525" bestFit="1" customWidth="1"/>
    <col min="14861" max="14861" width="14.5703125" style="525" bestFit="1" customWidth="1"/>
    <col min="14862"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7.140625" style="525" bestFit="1" customWidth="1"/>
    <col min="15113" max="15113" width="11.140625" style="525" customWidth="1"/>
    <col min="15114" max="15114" width="16.42578125" style="525" customWidth="1"/>
    <col min="15115" max="15115" width="10.140625" style="525" bestFit="1" customWidth="1"/>
    <col min="15116" max="15116" width="16.85546875" style="525" bestFit="1" customWidth="1"/>
    <col min="15117" max="15117" width="14.5703125" style="525" bestFit="1" customWidth="1"/>
    <col min="15118"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7.140625" style="525" bestFit="1" customWidth="1"/>
    <col min="15369" max="15369" width="11.140625" style="525" customWidth="1"/>
    <col min="15370" max="15370" width="16.42578125" style="525" customWidth="1"/>
    <col min="15371" max="15371" width="10.140625" style="525" bestFit="1" customWidth="1"/>
    <col min="15372" max="15372" width="16.85546875" style="525" bestFit="1" customWidth="1"/>
    <col min="15373" max="15373" width="14.5703125" style="525" bestFit="1" customWidth="1"/>
    <col min="15374"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7.140625" style="525" bestFit="1" customWidth="1"/>
    <col min="15625" max="15625" width="11.140625" style="525" customWidth="1"/>
    <col min="15626" max="15626" width="16.42578125" style="525" customWidth="1"/>
    <col min="15627" max="15627" width="10.140625" style="525" bestFit="1" customWidth="1"/>
    <col min="15628" max="15628" width="16.85546875" style="525" bestFit="1" customWidth="1"/>
    <col min="15629" max="15629" width="14.5703125" style="525" bestFit="1" customWidth="1"/>
    <col min="15630"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7.140625" style="525" bestFit="1" customWidth="1"/>
    <col min="15881" max="15881" width="11.140625" style="525" customWidth="1"/>
    <col min="15882" max="15882" width="16.42578125" style="525" customWidth="1"/>
    <col min="15883" max="15883" width="10.140625" style="525" bestFit="1" customWidth="1"/>
    <col min="15884" max="15884" width="16.85546875" style="525" bestFit="1" customWidth="1"/>
    <col min="15885" max="15885" width="14.5703125" style="525" bestFit="1" customWidth="1"/>
    <col min="15886"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7.140625" style="525" bestFit="1" customWidth="1"/>
    <col min="16137" max="16137" width="11.140625" style="525" customWidth="1"/>
    <col min="16138" max="16138" width="16.42578125" style="525" customWidth="1"/>
    <col min="16139" max="16139" width="10.140625" style="525" bestFit="1" customWidth="1"/>
    <col min="16140" max="16140" width="16.85546875" style="525" bestFit="1" customWidth="1"/>
    <col min="16141" max="16141" width="14.5703125" style="525" bestFit="1" customWidth="1"/>
    <col min="16142" max="16384" width="9.140625" style="525"/>
  </cols>
  <sheetData>
    <row r="1" spans="1:12">
      <c r="C1" s="526" t="s">
        <v>1435</v>
      </c>
      <c r="G1" s="1388" t="s">
        <v>1020</v>
      </c>
    </row>
    <row r="6" spans="1:12">
      <c r="A6" s="2740" t="s">
        <v>1434</v>
      </c>
      <c r="B6" s="2740"/>
      <c r="C6" s="2740"/>
      <c r="D6" s="2740"/>
      <c r="E6" s="2740"/>
      <c r="F6" s="2740"/>
      <c r="G6" s="2740"/>
      <c r="H6" s="2740"/>
      <c r="I6" s="2740"/>
      <c r="J6" s="2740"/>
    </row>
    <row r="7" spans="1:12" ht="17.25">
      <c r="A7" s="2741" t="s">
        <v>1361</v>
      </c>
      <c r="B7" s="2741"/>
      <c r="C7" s="2741"/>
      <c r="D7" s="2741"/>
      <c r="E7" s="2741"/>
      <c r="F7" s="2741"/>
      <c r="G7" s="2741"/>
      <c r="H7" s="2741"/>
      <c r="I7" s="2741"/>
      <c r="J7" s="2741"/>
    </row>
    <row r="8" spans="1:12">
      <c r="A8" s="2357"/>
      <c r="B8" s="2357"/>
      <c r="C8" s="2304"/>
      <c r="D8" s="2357"/>
      <c r="E8" s="2357"/>
      <c r="F8" s="2357"/>
      <c r="G8" s="2357"/>
      <c r="H8" s="2357"/>
      <c r="I8" s="2742" t="s">
        <v>1263</v>
      </c>
      <c r="J8" s="2742"/>
    </row>
    <row r="9" spans="1:12">
      <c r="A9" s="2743" t="s">
        <v>1294</v>
      </c>
      <c r="B9" s="2743" t="s">
        <v>1360</v>
      </c>
      <c r="C9" s="2746" t="s">
        <v>1359</v>
      </c>
      <c r="D9" s="2747" t="s">
        <v>1358</v>
      </c>
      <c r="E9" s="2748"/>
      <c r="F9" s="2748"/>
      <c r="G9" s="2748"/>
      <c r="H9" s="2743" t="s">
        <v>1430</v>
      </c>
      <c r="I9" s="2749" t="s">
        <v>1356</v>
      </c>
      <c r="J9" s="2750"/>
    </row>
    <row r="10" spans="1:12">
      <c r="A10" s="2744"/>
      <c r="B10" s="2744"/>
      <c r="C10" s="2746"/>
      <c r="D10" s="2747" t="s">
        <v>1355</v>
      </c>
      <c r="E10" s="2748"/>
      <c r="F10" s="2747" t="s">
        <v>1415</v>
      </c>
      <c r="G10" s="2748"/>
      <c r="H10" s="2744"/>
      <c r="I10" s="2751"/>
      <c r="J10" s="2752"/>
    </row>
    <row r="11" spans="1:12" ht="49.5">
      <c r="A11" s="2745"/>
      <c r="B11" s="2745"/>
      <c r="C11" s="2746"/>
      <c r="D11" s="569" t="s">
        <v>1352</v>
      </c>
      <c r="E11" s="569" t="s">
        <v>102</v>
      </c>
      <c r="F11" s="569" t="s">
        <v>1352</v>
      </c>
      <c r="G11" s="569" t="s">
        <v>102</v>
      </c>
      <c r="H11" s="2745"/>
      <c r="I11" s="569" t="s">
        <v>1352</v>
      </c>
      <c r="J11" s="569" t="s">
        <v>102</v>
      </c>
    </row>
    <row r="12" spans="1:12" s="540" customFormat="1">
      <c r="A12" s="567" t="s">
        <v>1351</v>
      </c>
      <c r="B12" s="529"/>
      <c r="C12" s="566"/>
      <c r="D12" s="565"/>
      <c r="E12" s="565">
        <f>SUM(E20+E22)</f>
        <v>31000000</v>
      </c>
      <c r="F12" s="565"/>
      <c r="G12" s="565">
        <f>SUM(G20+G22)</f>
        <v>4350000</v>
      </c>
      <c r="H12" s="565">
        <f>SUM(H20+H22)</f>
        <v>48830000</v>
      </c>
      <c r="I12" s="565"/>
      <c r="J12" s="565">
        <f>SUM(J20+J22)</f>
        <v>4920000</v>
      </c>
      <c r="L12" s="571"/>
    </row>
    <row r="13" spans="1:12">
      <c r="A13" s="552" t="s">
        <v>1429</v>
      </c>
      <c r="B13" s="554" t="s">
        <v>1428</v>
      </c>
      <c r="C13" s="553">
        <v>27000</v>
      </c>
      <c r="D13" s="552">
        <v>250</v>
      </c>
      <c r="E13" s="557">
        <f t="shared" ref="E13:E19" si="0">$C13*D13</f>
        <v>6750000</v>
      </c>
      <c r="F13" s="552"/>
      <c r="G13" s="557">
        <f>$C13*F13</f>
        <v>0</v>
      </c>
      <c r="H13" s="557">
        <f t="shared" ref="H13:H19" si="1">E13+(G13*2)</f>
        <v>6750000</v>
      </c>
      <c r="I13" s="551"/>
      <c r="J13" s="557">
        <f>$C13*I13</f>
        <v>0</v>
      </c>
    </row>
    <row r="14" spans="1:12">
      <c r="A14" s="552" t="s">
        <v>1350</v>
      </c>
      <c r="B14" s="554" t="s">
        <v>1287</v>
      </c>
      <c r="C14" s="553">
        <v>70000</v>
      </c>
      <c r="D14" s="552">
        <v>250</v>
      </c>
      <c r="E14" s="557">
        <f t="shared" si="0"/>
        <v>17500000</v>
      </c>
      <c r="F14" s="552"/>
      <c r="G14" s="557">
        <f>$C14*F14</f>
        <v>0</v>
      </c>
      <c r="H14" s="557">
        <f t="shared" si="1"/>
        <v>17500000</v>
      </c>
      <c r="I14" s="551"/>
      <c r="J14" s="557">
        <f>$C14*I14</f>
        <v>0</v>
      </c>
    </row>
    <row r="15" spans="1:12">
      <c r="A15" s="552" t="s">
        <v>1349</v>
      </c>
      <c r="B15" s="554" t="s">
        <v>228</v>
      </c>
      <c r="C15" s="553">
        <v>450000</v>
      </c>
      <c r="D15" s="552">
        <v>4</v>
      </c>
      <c r="E15" s="557">
        <f t="shared" si="0"/>
        <v>1800000</v>
      </c>
      <c r="F15" s="552"/>
      <c r="G15" s="557">
        <f>$C15*F15</f>
        <v>0</v>
      </c>
      <c r="H15" s="557">
        <f t="shared" si="1"/>
        <v>1800000</v>
      </c>
      <c r="I15" s="551"/>
      <c r="J15" s="557">
        <f>$C15*I15</f>
        <v>0</v>
      </c>
    </row>
    <row r="16" spans="1:12">
      <c r="A16" s="552" t="s">
        <v>1427</v>
      </c>
      <c r="B16" s="554" t="s">
        <v>11</v>
      </c>
      <c r="C16" s="553">
        <v>3000</v>
      </c>
      <c r="D16" s="552">
        <v>125</v>
      </c>
      <c r="E16" s="557">
        <f t="shared" si="0"/>
        <v>375000</v>
      </c>
      <c r="F16" s="552"/>
      <c r="G16" s="557">
        <f>$C16*F16</f>
        <v>0</v>
      </c>
      <c r="H16" s="557">
        <f t="shared" si="1"/>
        <v>375000</v>
      </c>
      <c r="I16" s="551"/>
      <c r="J16" s="557">
        <f>$C16*I16</f>
        <v>0</v>
      </c>
    </row>
    <row r="17" spans="1:13">
      <c r="A17" s="552" t="s">
        <v>1426</v>
      </c>
      <c r="B17" s="554" t="s">
        <v>11</v>
      </c>
      <c r="C17" s="553">
        <v>10000</v>
      </c>
      <c r="D17" s="552">
        <v>50</v>
      </c>
      <c r="E17" s="557">
        <f t="shared" si="0"/>
        <v>500000</v>
      </c>
      <c r="F17" s="552">
        <v>75</v>
      </c>
      <c r="G17" s="557">
        <f>$C17*F17</f>
        <v>750000</v>
      </c>
      <c r="H17" s="557">
        <f t="shared" si="1"/>
        <v>2000000</v>
      </c>
      <c r="I17" s="551">
        <v>100</v>
      </c>
      <c r="J17" s="557">
        <f>$C17*I17</f>
        <v>1000000</v>
      </c>
    </row>
    <row r="18" spans="1:13">
      <c r="A18" s="552" t="s">
        <v>1372</v>
      </c>
      <c r="B18" s="554" t="s">
        <v>11</v>
      </c>
      <c r="C18" s="553">
        <v>1000</v>
      </c>
      <c r="D18" s="552">
        <v>75</v>
      </c>
      <c r="E18" s="557">
        <f t="shared" si="0"/>
        <v>75000</v>
      </c>
      <c r="F18" s="552"/>
      <c r="G18" s="557"/>
      <c r="H18" s="557">
        <f t="shared" si="1"/>
        <v>75000</v>
      </c>
      <c r="I18" s="551"/>
      <c r="J18" s="557"/>
    </row>
    <row r="19" spans="1:13">
      <c r="A19" s="552" t="s">
        <v>1345</v>
      </c>
      <c r="B19" s="554" t="s">
        <v>511</v>
      </c>
      <c r="C19" s="553">
        <v>200000</v>
      </c>
      <c r="D19" s="552">
        <v>20</v>
      </c>
      <c r="E19" s="557">
        <f t="shared" si="0"/>
        <v>4000000</v>
      </c>
      <c r="F19" s="552">
        <v>18</v>
      </c>
      <c r="G19" s="557">
        <f>$C19*F19</f>
        <v>3600000</v>
      </c>
      <c r="H19" s="557">
        <f t="shared" si="1"/>
        <v>11200000</v>
      </c>
      <c r="I19" s="552">
        <v>18</v>
      </c>
      <c r="J19" s="557">
        <f>$C19*I19</f>
        <v>3600000</v>
      </c>
    </row>
    <row r="20" spans="1:13" s="540" customFormat="1">
      <c r="A20" s="556" t="s">
        <v>1344</v>
      </c>
      <c r="B20" s="554"/>
      <c r="C20" s="553"/>
      <c r="D20" s="552"/>
      <c r="E20" s="564">
        <f>SUM(E13:E19)</f>
        <v>31000000</v>
      </c>
      <c r="F20" s="552"/>
      <c r="G20" s="564">
        <f>SUM(G13:G19)</f>
        <v>4350000</v>
      </c>
      <c r="H20" s="564">
        <f>SUM(H13:H19)</f>
        <v>39700000</v>
      </c>
      <c r="I20" s="555"/>
      <c r="J20" s="555">
        <f>SUM(J13:J19)</f>
        <v>4600000</v>
      </c>
      <c r="L20" s="570"/>
      <c r="M20" s="572"/>
    </row>
    <row r="21" spans="1:13" s="540" customFormat="1" ht="17.25">
      <c r="A21" s="563" t="s">
        <v>12</v>
      </c>
      <c r="B21" s="562"/>
      <c r="C21" s="561"/>
      <c r="D21" s="560"/>
      <c r="E21" s="559">
        <v>25000000</v>
      </c>
      <c r="F21" s="559"/>
      <c r="G21" s="559">
        <v>3000000</v>
      </c>
      <c r="H21" s="559">
        <f>B31</f>
        <v>30000000</v>
      </c>
      <c r="I21" s="558"/>
      <c r="J21" s="558"/>
      <c r="L21" s="570"/>
      <c r="M21" s="572"/>
    </row>
    <row r="22" spans="1:13">
      <c r="A22" s="552" t="s">
        <v>1342</v>
      </c>
      <c r="B22" s="554"/>
      <c r="C22" s="553"/>
      <c r="D22" s="552"/>
      <c r="E22" s="557"/>
      <c r="F22" s="557"/>
      <c r="G22" s="557"/>
      <c r="H22" s="553">
        <v>9130000</v>
      </c>
      <c r="I22" s="551"/>
      <c r="J22" s="551">
        <f>B36*B38</f>
        <v>320000</v>
      </c>
      <c r="M22" s="572"/>
    </row>
    <row r="23" spans="1:13" s="540" customFormat="1">
      <c r="A23" s="556" t="s">
        <v>1341</v>
      </c>
      <c r="B23" s="554"/>
      <c r="C23" s="553"/>
      <c r="D23" s="552"/>
      <c r="E23" s="552"/>
      <c r="F23" s="552"/>
      <c r="G23" s="552"/>
      <c r="H23" s="552"/>
      <c r="I23" s="551"/>
      <c r="J23" s="555">
        <f>J25</f>
        <v>45500000</v>
      </c>
      <c r="L23" s="570"/>
      <c r="M23" s="574"/>
    </row>
    <row r="24" spans="1:13">
      <c r="A24" s="552" t="s">
        <v>1340</v>
      </c>
      <c r="B24" s="554" t="s">
        <v>11</v>
      </c>
      <c r="C24" s="553"/>
      <c r="D24" s="552"/>
      <c r="E24" s="552"/>
      <c r="F24" s="552"/>
      <c r="G24" s="552"/>
      <c r="H24" s="552"/>
      <c r="I24" s="551">
        <v>700</v>
      </c>
      <c r="J24" s="551"/>
    </row>
    <row r="25" spans="1:13">
      <c r="A25" s="552" t="s">
        <v>1339</v>
      </c>
      <c r="B25" s="554" t="s">
        <v>1338</v>
      </c>
      <c r="C25" s="553">
        <v>65000</v>
      </c>
      <c r="D25" s="552"/>
      <c r="E25" s="552"/>
      <c r="F25" s="552"/>
      <c r="G25" s="552"/>
      <c r="H25" s="552"/>
      <c r="I25" s="551">
        <f>I24</f>
        <v>700</v>
      </c>
      <c r="J25" s="551">
        <f>I25*C25</f>
        <v>45500000</v>
      </c>
    </row>
    <row r="26" spans="1:13" s="540" customFormat="1">
      <c r="A26" s="550" t="s">
        <v>1337</v>
      </c>
      <c r="B26" s="548"/>
      <c r="C26" s="549"/>
      <c r="D26" s="548"/>
      <c r="E26" s="548"/>
      <c r="F26" s="548"/>
      <c r="G26" s="548"/>
      <c r="H26" s="548"/>
      <c r="I26" s="547"/>
      <c r="J26" s="547">
        <f>J23-J12</f>
        <v>40580000</v>
      </c>
      <c r="L26" s="571"/>
    </row>
    <row r="27" spans="1:13" s="540" customFormat="1">
      <c r="A27" s="546" t="s">
        <v>1269</v>
      </c>
      <c r="B27" s="545" t="s">
        <v>90</v>
      </c>
      <c r="C27" s="544"/>
      <c r="D27" s="543"/>
      <c r="E27" s="543"/>
      <c r="F27" s="543"/>
      <c r="G27" s="543"/>
      <c r="H27" s="543"/>
      <c r="I27" s="542"/>
      <c r="J27" s="541">
        <f>J26/J23</f>
        <v>0.89186813186813185</v>
      </c>
      <c r="L27" s="571"/>
    </row>
    <row r="28" spans="1:13">
      <c r="A28" s="539"/>
      <c r="B28" s="537"/>
      <c r="C28" s="538"/>
      <c r="D28" s="537"/>
      <c r="E28" s="537"/>
      <c r="F28" s="537"/>
      <c r="G28" s="537"/>
      <c r="H28" s="537"/>
      <c r="I28" s="536"/>
      <c r="J28" s="536"/>
    </row>
    <row r="29" spans="1:13">
      <c r="A29" s="2753" t="s">
        <v>1336</v>
      </c>
      <c r="B29" s="2754"/>
      <c r="C29" s="2754"/>
    </row>
    <row r="30" spans="1:13">
      <c r="A30" s="530" t="s">
        <v>1335</v>
      </c>
      <c r="B30" s="2737"/>
      <c r="C30" s="2737"/>
    </row>
    <row r="31" spans="1:13">
      <c r="A31" s="529" t="s">
        <v>1330</v>
      </c>
      <c r="B31" s="2738">
        <v>30000000</v>
      </c>
      <c r="C31" s="2738"/>
      <c r="D31" s="535"/>
      <c r="E31" s="535"/>
      <c r="F31" s="535"/>
      <c r="G31" s="535"/>
      <c r="H31" s="534"/>
    </row>
    <row r="32" spans="1:13">
      <c r="A32" s="528" t="s">
        <v>1329</v>
      </c>
      <c r="B32" s="2739" t="s">
        <v>1433</v>
      </c>
      <c r="C32" s="2739"/>
      <c r="D32" s="533"/>
      <c r="E32" s="533"/>
      <c r="F32" s="533"/>
      <c r="G32" s="533"/>
      <c r="H32" s="533"/>
    </row>
    <row r="33" spans="1:8">
      <c r="A33" s="527" t="s">
        <v>1328</v>
      </c>
      <c r="B33" s="2735">
        <v>0.11</v>
      </c>
      <c r="C33" s="2735"/>
      <c r="D33" s="532"/>
      <c r="E33" s="532"/>
      <c r="F33" s="532"/>
      <c r="G33" s="532"/>
      <c r="H33" s="532"/>
    </row>
    <row r="34" spans="1:8">
      <c r="A34" s="531" t="s">
        <v>1333</v>
      </c>
      <c r="B34" s="2736" t="s">
        <v>1420</v>
      </c>
      <c r="C34" s="2736"/>
    </row>
    <row r="35" spans="1:8">
      <c r="A35" s="530" t="s">
        <v>1331</v>
      </c>
      <c r="B35" s="2737"/>
      <c r="C35" s="2737"/>
    </row>
    <row r="36" spans="1:8">
      <c r="A36" s="529" t="s">
        <v>1330</v>
      </c>
      <c r="B36" s="2738">
        <v>4000000</v>
      </c>
      <c r="C36" s="2738"/>
    </row>
    <row r="37" spans="1:8">
      <c r="A37" s="528" t="s">
        <v>1329</v>
      </c>
      <c r="B37" s="2739" t="s">
        <v>1159</v>
      </c>
      <c r="C37" s="2739"/>
    </row>
    <row r="38" spans="1:8">
      <c r="A38" s="527" t="s">
        <v>1328</v>
      </c>
      <c r="B38" s="2735">
        <v>0.08</v>
      </c>
      <c r="C38" s="2735"/>
    </row>
  </sheetData>
  <mergeCells count="21">
    <mergeCell ref="B32:C32"/>
    <mergeCell ref="B38:C38"/>
    <mergeCell ref="A6:J6"/>
    <mergeCell ref="A7:J7"/>
    <mergeCell ref="I8:J8"/>
    <mergeCell ref="A9:A11"/>
    <mergeCell ref="B9:B11"/>
    <mergeCell ref="C9:C11"/>
    <mergeCell ref="D9:G9"/>
    <mergeCell ref="H9:H11"/>
    <mergeCell ref="I9:J10"/>
    <mergeCell ref="D10:E10"/>
    <mergeCell ref="F10:G10"/>
    <mergeCell ref="A29:C29"/>
    <mergeCell ref="B30:C30"/>
    <mergeCell ref="B31:C31"/>
    <mergeCell ref="B33:C33"/>
    <mergeCell ref="B34:C34"/>
    <mergeCell ref="B35:C35"/>
    <mergeCell ref="B36:C36"/>
    <mergeCell ref="B37:C37"/>
  </mergeCells>
  <pageMargins left="0.7" right="0.36" top="0.4" bottom="0.56999999999999995" header="0.3" footer="0.3"/>
  <pageSetup paperSize="9" scale="85" orientation="landscape" r:id="rId1"/>
  <headerFooter>
    <oddFooter>&amp;CTrang</oddFooter>
  </headerFooter>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M39"/>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7.140625" style="525" bestFit="1" customWidth="1"/>
    <col min="9" max="9" width="11.140625" style="525" customWidth="1"/>
    <col min="10" max="10" width="16.42578125" style="525" customWidth="1"/>
    <col min="11" max="11" width="10.140625" style="525" bestFit="1" customWidth="1"/>
    <col min="12" max="12" width="16.85546875" style="570" bestFit="1" customWidth="1"/>
    <col min="13" max="13" width="14.5703125" style="525" bestFit="1" customWidth="1"/>
    <col min="14"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7.140625" style="525" bestFit="1" customWidth="1"/>
    <col min="265" max="265" width="11.140625" style="525" customWidth="1"/>
    <col min="266" max="266" width="16.42578125" style="525" customWidth="1"/>
    <col min="267" max="267" width="10.140625" style="525" bestFit="1" customWidth="1"/>
    <col min="268" max="268" width="16.85546875" style="525" bestFit="1" customWidth="1"/>
    <col min="269" max="269" width="14.5703125" style="525" bestFit="1" customWidth="1"/>
    <col min="270"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7.140625" style="525" bestFit="1" customWidth="1"/>
    <col min="521" max="521" width="11.140625" style="525" customWidth="1"/>
    <col min="522" max="522" width="16.42578125" style="525" customWidth="1"/>
    <col min="523" max="523" width="10.140625" style="525" bestFit="1" customWidth="1"/>
    <col min="524" max="524" width="16.85546875" style="525" bestFit="1" customWidth="1"/>
    <col min="525" max="525" width="14.5703125" style="525" bestFit="1" customWidth="1"/>
    <col min="526"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7.140625" style="525" bestFit="1" customWidth="1"/>
    <col min="777" max="777" width="11.140625" style="525" customWidth="1"/>
    <col min="778" max="778" width="16.42578125" style="525" customWidth="1"/>
    <col min="779" max="779" width="10.140625" style="525" bestFit="1" customWidth="1"/>
    <col min="780" max="780" width="16.85546875" style="525" bestFit="1" customWidth="1"/>
    <col min="781" max="781" width="14.5703125" style="525" bestFit="1" customWidth="1"/>
    <col min="782"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7.140625" style="525" bestFit="1" customWidth="1"/>
    <col min="1033" max="1033" width="11.140625" style="525" customWidth="1"/>
    <col min="1034" max="1034" width="16.42578125" style="525" customWidth="1"/>
    <col min="1035" max="1035" width="10.140625" style="525" bestFit="1" customWidth="1"/>
    <col min="1036" max="1036" width="16.85546875" style="525" bestFit="1" customWidth="1"/>
    <col min="1037" max="1037" width="14.5703125" style="525" bestFit="1" customWidth="1"/>
    <col min="1038"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7.140625" style="525" bestFit="1" customWidth="1"/>
    <col min="1289" max="1289" width="11.140625" style="525" customWidth="1"/>
    <col min="1290" max="1290" width="16.42578125" style="525" customWidth="1"/>
    <col min="1291" max="1291" width="10.140625" style="525" bestFit="1" customWidth="1"/>
    <col min="1292" max="1292" width="16.85546875" style="525" bestFit="1" customWidth="1"/>
    <col min="1293" max="1293" width="14.5703125" style="525" bestFit="1" customWidth="1"/>
    <col min="1294"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7.140625" style="525" bestFit="1" customWidth="1"/>
    <col min="1545" max="1545" width="11.140625" style="525" customWidth="1"/>
    <col min="1546" max="1546" width="16.42578125" style="525" customWidth="1"/>
    <col min="1547" max="1547" width="10.140625" style="525" bestFit="1" customWidth="1"/>
    <col min="1548" max="1548" width="16.85546875" style="525" bestFit="1" customWidth="1"/>
    <col min="1549" max="1549" width="14.5703125" style="525" bestFit="1" customWidth="1"/>
    <col min="1550"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7.140625" style="525" bestFit="1" customWidth="1"/>
    <col min="1801" max="1801" width="11.140625" style="525" customWidth="1"/>
    <col min="1802" max="1802" width="16.42578125" style="525" customWidth="1"/>
    <col min="1803" max="1803" width="10.140625" style="525" bestFit="1" customWidth="1"/>
    <col min="1804" max="1804" width="16.85546875" style="525" bestFit="1" customWidth="1"/>
    <col min="1805" max="1805" width="14.5703125" style="525" bestFit="1" customWidth="1"/>
    <col min="1806"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7.140625" style="525" bestFit="1" customWidth="1"/>
    <col min="2057" max="2057" width="11.140625" style="525" customWidth="1"/>
    <col min="2058" max="2058" width="16.42578125" style="525" customWidth="1"/>
    <col min="2059" max="2059" width="10.140625" style="525" bestFit="1" customWidth="1"/>
    <col min="2060" max="2060" width="16.85546875" style="525" bestFit="1" customWidth="1"/>
    <col min="2061" max="2061" width="14.5703125" style="525" bestFit="1" customWidth="1"/>
    <col min="2062"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7.140625" style="525" bestFit="1" customWidth="1"/>
    <col min="2313" max="2313" width="11.140625" style="525" customWidth="1"/>
    <col min="2314" max="2314" width="16.42578125" style="525" customWidth="1"/>
    <col min="2315" max="2315" width="10.140625" style="525" bestFit="1" customWidth="1"/>
    <col min="2316" max="2316" width="16.85546875" style="525" bestFit="1" customWidth="1"/>
    <col min="2317" max="2317" width="14.5703125" style="525" bestFit="1" customWidth="1"/>
    <col min="2318"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7.140625" style="525" bestFit="1" customWidth="1"/>
    <col min="2569" max="2569" width="11.140625" style="525" customWidth="1"/>
    <col min="2570" max="2570" width="16.42578125" style="525" customWidth="1"/>
    <col min="2571" max="2571" width="10.140625" style="525" bestFit="1" customWidth="1"/>
    <col min="2572" max="2572" width="16.85546875" style="525" bestFit="1" customWidth="1"/>
    <col min="2573" max="2573" width="14.5703125" style="525" bestFit="1" customWidth="1"/>
    <col min="2574"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7.140625" style="525" bestFit="1" customWidth="1"/>
    <col min="2825" max="2825" width="11.140625" style="525" customWidth="1"/>
    <col min="2826" max="2826" width="16.42578125" style="525" customWidth="1"/>
    <col min="2827" max="2827" width="10.140625" style="525" bestFit="1" customWidth="1"/>
    <col min="2828" max="2828" width="16.85546875" style="525" bestFit="1" customWidth="1"/>
    <col min="2829" max="2829" width="14.5703125" style="525" bestFit="1" customWidth="1"/>
    <col min="2830"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7.140625" style="525" bestFit="1" customWidth="1"/>
    <col min="3081" max="3081" width="11.140625" style="525" customWidth="1"/>
    <col min="3082" max="3082" width="16.42578125" style="525" customWidth="1"/>
    <col min="3083" max="3083" width="10.140625" style="525" bestFit="1" customWidth="1"/>
    <col min="3084" max="3084" width="16.85546875" style="525" bestFit="1" customWidth="1"/>
    <col min="3085" max="3085" width="14.5703125" style="525" bestFit="1" customWidth="1"/>
    <col min="3086"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7.140625" style="525" bestFit="1" customWidth="1"/>
    <col min="3337" max="3337" width="11.140625" style="525" customWidth="1"/>
    <col min="3338" max="3338" width="16.42578125" style="525" customWidth="1"/>
    <col min="3339" max="3339" width="10.140625" style="525" bestFit="1" customWidth="1"/>
    <col min="3340" max="3340" width="16.85546875" style="525" bestFit="1" customWidth="1"/>
    <col min="3341" max="3341" width="14.5703125" style="525" bestFit="1" customWidth="1"/>
    <col min="3342"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7.140625" style="525" bestFit="1" customWidth="1"/>
    <col min="3593" max="3593" width="11.140625" style="525" customWidth="1"/>
    <col min="3594" max="3594" width="16.42578125" style="525" customWidth="1"/>
    <col min="3595" max="3595" width="10.140625" style="525" bestFit="1" customWidth="1"/>
    <col min="3596" max="3596" width="16.85546875" style="525" bestFit="1" customWidth="1"/>
    <col min="3597" max="3597" width="14.5703125" style="525" bestFit="1" customWidth="1"/>
    <col min="3598"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7.140625" style="525" bestFit="1" customWidth="1"/>
    <col min="3849" max="3849" width="11.140625" style="525" customWidth="1"/>
    <col min="3850" max="3850" width="16.42578125" style="525" customWidth="1"/>
    <col min="3851" max="3851" width="10.140625" style="525" bestFit="1" customWidth="1"/>
    <col min="3852" max="3852" width="16.85546875" style="525" bestFit="1" customWidth="1"/>
    <col min="3853" max="3853" width="14.5703125" style="525" bestFit="1" customWidth="1"/>
    <col min="3854"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7.140625" style="525" bestFit="1" customWidth="1"/>
    <col min="4105" max="4105" width="11.140625" style="525" customWidth="1"/>
    <col min="4106" max="4106" width="16.42578125" style="525" customWidth="1"/>
    <col min="4107" max="4107" width="10.140625" style="525" bestFit="1" customWidth="1"/>
    <col min="4108" max="4108" width="16.85546875" style="525" bestFit="1" customWidth="1"/>
    <col min="4109" max="4109" width="14.5703125" style="525" bestFit="1" customWidth="1"/>
    <col min="4110"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7.140625" style="525" bestFit="1" customWidth="1"/>
    <col min="4361" max="4361" width="11.140625" style="525" customWidth="1"/>
    <col min="4362" max="4362" width="16.42578125" style="525" customWidth="1"/>
    <col min="4363" max="4363" width="10.140625" style="525" bestFit="1" customWidth="1"/>
    <col min="4364" max="4364" width="16.85546875" style="525" bestFit="1" customWidth="1"/>
    <col min="4365" max="4365" width="14.5703125" style="525" bestFit="1" customWidth="1"/>
    <col min="4366"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7.140625" style="525" bestFit="1" customWidth="1"/>
    <col min="4617" max="4617" width="11.140625" style="525" customWidth="1"/>
    <col min="4618" max="4618" width="16.42578125" style="525" customWidth="1"/>
    <col min="4619" max="4619" width="10.140625" style="525" bestFit="1" customWidth="1"/>
    <col min="4620" max="4620" width="16.85546875" style="525" bestFit="1" customWidth="1"/>
    <col min="4621" max="4621" width="14.5703125" style="525" bestFit="1" customWidth="1"/>
    <col min="4622"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7.140625" style="525" bestFit="1" customWidth="1"/>
    <col min="4873" max="4873" width="11.140625" style="525" customWidth="1"/>
    <col min="4874" max="4874" width="16.42578125" style="525" customWidth="1"/>
    <col min="4875" max="4875" width="10.140625" style="525" bestFit="1" customWidth="1"/>
    <col min="4876" max="4876" width="16.85546875" style="525" bestFit="1" customWidth="1"/>
    <col min="4877" max="4877" width="14.5703125" style="525" bestFit="1" customWidth="1"/>
    <col min="4878"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7.140625" style="525" bestFit="1" customWidth="1"/>
    <col min="5129" max="5129" width="11.140625" style="525" customWidth="1"/>
    <col min="5130" max="5130" width="16.42578125" style="525" customWidth="1"/>
    <col min="5131" max="5131" width="10.140625" style="525" bestFit="1" customWidth="1"/>
    <col min="5132" max="5132" width="16.85546875" style="525" bestFit="1" customWidth="1"/>
    <col min="5133" max="5133" width="14.5703125" style="525" bestFit="1" customWidth="1"/>
    <col min="5134"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7.140625" style="525" bestFit="1" customWidth="1"/>
    <col min="5385" max="5385" width="11.140625" style="525" customWidth="1"/>
    <col min="5386" max="5386" width="16.42578125" style="525" customWidth="1"/>
    <col min="5387" max="5387" width="10.140625" style="525" bestFit="1" customWidth="1"/>
    <col min="5388" max="5388" width="16.85546875" style="525" bestFit="1" customWidth="1"/>
    <col min="5389" max="5389" width="14.5703125" style="525" bestFit="1" customWidth="1"/>
    <col min="5390"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7.140625" style="525" bestFit="1" customWidth="1"/>
    <col min="5641" max="5641" width="11.140625" style="525" customWidth="1"/>
    <col min="5642" max="5642" width="16.42578125" style="525" customWidth="1"/>
    <col min="5643" max="5643" width="10.140625" style="525" bestFit="1" customWidth="1"/>
    <col min="5644" max="5644" width="16.85546875" style="525" bestFit="1" customWidth="1"/>
    <col min="5645" max="5645" width="14.5703125" style="525" bestFit="1" customWidth="1"/>
    <col min="5646"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7.140625" style="525" bestFit="1" customWidth="1"/>
    <col min="5897" max="5897" width="11.140625" style="525" customWidth="1"/>
    <col min="5898" max="5898" width="16.42578125" style="525" customWidth="1"/>
    <col min="5899" max="5899" width="10.140625" style="525" bestFit="1" customWidth="1"/>
    <col min="5900" max="5900" width="16.85546875" style="525" bestFit="1" customWidth="1"/>
    <col min="5901" max="5901" width="14.5703125" style="525" bestFit="1" customWidth="1"/>
    <col min="5902"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7.140625" style="525" bestFit="1" customWidth="1"/>
    <col min="6153" max="6153" width="11.140625" style="525" customWidth="1"/>
    <col min="6154" max="6154" width="16.42578125" style="525" customWidth="1"/>
    <col min="6155" max="6155" width="10.140625" style="525" bestFit="1" customWidth="1"/>
    <col min="6156" max="6156" width="16.85546875" style="525" bestFit="1" customWidth="1"/>
    <col min="6157" max="6157" width="14.5703125" style="525" bestFit="1" customWidth="1"/>
    <col min="6158"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7.140625" style="525" bestFit="1" customWidth="1"/>
    <col min="6409" max="6409" width="11.140625" style="525" customWidth="1"/>
    <col min="6410" max="6410" width="16.42578125" style="525" customWidth="1"/>
    <col min="6411" max="6411" width="10.140625" style="525" bestFit="1" customWidth="1"/>
    <col min="6412" max="6412" width="16.85546875" style="525" bestFit="1" customWidth="1"/>
    <col min="6413" max="6413" width="14.5703125" style="525" bestFit="1" customWidth="1"/>
    <col min="6414"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7.140625" style="525" bestFit="1" customWidth="1"/>
    <col min="6665" max="6665" width="11.140625" style="525" customWidth="1"/>
    <col min="6666" max="6666" width="16.42578125" style="525" customWidth="1"/>
    <col min="6667" max="6667" width="10.140625" style="525" bestFit="1" customWidth="1"/>
    <col min="6668" max="6668" width="16.85546875" style="525" bestFit="1" customWidth="1"/>
    <col min="6669" max="6669" width="14.5703125" style="525" bestFit="1" customWidth="1"/>
    <col min="6670"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7.140625" style="525" bestFit="1" customWidth="1"/>
    <col min="6921" max="6921" width="11.140625" style="525" customWidth="1"/>
    <col min="6922" max="6922" width="16.42578125" style="525" customWidth="1"/>
    <col min="6923" max="6923" width="10.140625" style="525" bestFit="1" customWidth="1"/>
    <col min="6924" max="6924" width="16.85546875" style="525" bestFit="1" customWidth="1"/>
    <col min="6925" max="6925" width="14.5703125" style="525" bestFit="1" customWidth="1"/>
    <col min="6926"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7.140625" style="525" bestFit="1" customWidth="1"/>
    <col min="7177" max="7177" width="11.140625" style="525" customWidth="1"/>
    <col min="7178" max="7178" width="16.42578125" style="525" customWidth="1"/>
    <col min="7179" max="7179" width="10.140625" style="525" bestFit="1" customWidth="1"/>
    <col min="7180" max="7180" width="16.85546875" style="525" bestFit="1" customWidth="1"/>
    <col min="7181" max="7181" width="14.5703125" style="525" bestFit="1" customWidth="1"/>
    <col min="7182"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7.140625" style="525" bestFit="1" customWidth="1"/>
    <col min="7433" max="7433" width="11.140625" style="525" customWidth="1"/>
    <col min="7434" max="7434" width="16.42578125" style="525" customWidth="1"/>
    <col min="7435" max="7435" width="10.140625" style="525" bestFit="1" customWidth="1"/>
    <col min="7436" max="7436" width="16.85546875" style="525" bestFit="1" customWidth="1"/>
    <col min="7437" max="7437" width="14.5703125" style="525" bestFit="1" customWidth="1"/>
    <col min="7438"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7.140625" style="525" bestFit="1" customWidth="1"/>
    <col min="7689" max="7689" width="11.140625" style="525" customWidth="1"/>
    <col min="7690" max="7690" width="16.42578125" style="525" customWidth="1"/>
    <col min="7691" max="7691" width="10.140625" style="525" bestFit="1" customWidth="1"/>
    <col min="7692" max="7692" width="16.85546875" style="525" bestFit="1" customWidth="1"/>
    <col min="7693" max="7693" width="14.5703125" style="525" bestFit="1" customWidth="1"/>
    <col min="7694"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7.140625" style="525" bestFit="1" customWidth="1"/>
    <col min="7945" max="7945" width="11.140625" style="525" customWidth="1"/>
    <col min="7946" max="7946" width="16.42578125" style="525" customWidth="1"/>
    <col min="7947" max="7947" width="10.140625" style="525" bestFit="1" customWidth="1"/>
    <col min="7948" max="7948" width="16.85546875" style="525" bestFit="1" customWidth="1"/>
    <col min="7949" max="7949" width="14.5703125" style="525" bestFit="1" customWidth="1"/>
    <col min="7950"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7.140625" style="525" bestFit="1" customWidth="1"/>
    <col min="8201" max="8201" width="11.140625" style="525" customWidth="1"/>
    <col min="8202" max="8202" width="16.42578125" style="525" customWidth="1"/>
    <col min="8203" max="8203" width="10.140625" style="525" bestFit="1" customWidth="1"/>
    <col min="8204" max="8204" width="16.85546875" style="525" bestFit="1" customWidth="1"/>
    <col min="8205" max="8205" width="14.5703125" style="525" bestFit="1" customWidth="1"/>
    <col min="8206"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7.140625" style="525" bestFit="1" customWidth="1"/>
    <col min="8457" max="8457" width="11.140625" style="525" customWidth="1"/>
    <col min="8458" max="8458" width="16.42578125" style="525" customWidth="1"/>
    <col min="8459" max="8459" width="10.140625" style="525" bestFit="1" customWidth="1"/>
    <col min="8460" max="8460" width="16.85546875" style="525" bestFit="1" customWidth="1"/>
    <col min="8461" max="8461" width="14.5703125" style="525" bestFit="1" customWidth="1"/>
    <col min="8462"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7.140625" style="525" bestFit="1" customWidth="1"/>
    <col min="8713" max="8713" width="11.140625" style="525" customWidth="1"/>
    <col min="8714" max="8714" width="16.42578125" style="525" customWidth="1"/>
    <col min="8715" max="8715" width="10.140625" style="525" bestFit="1" customWidth="1"/>
    <col min="8716" max="8716" width="16.85546875" style="525" bestFit="1" customWidth="1"/>
    <col min="8717" max="8717" width="14.5703125" style="525" bestFit="1" customWidth="1"/>
    <col min="8718"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7.140625" style="525" bestFit="1" customWidth="1"/>
    <col min="8969" max="8969" width="11.140625" style="525" customWidth="1"/>
    <col min="8970" max="8970" width="16.42578125" style="525" customWidth="1"/>
    <col min="8971" max="8971" width="10.140625" style="525" bestFit="1" customWidth="1"/>
    <col min="8972" max="8972" width="16.85546875" style="525" bestFit="1" customWidth="1"/>
    <col min="8973" max="8973" width="14.5703125" style="525" bestFit="1" customWidth="1"/>
    <col min="8974"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7.140625" style="525" bestFit="1" customWidth="1"/>
    <col min="9225" max="9225" width="11.140625" style="525" customWidth="1"/>
    <col min="9226" max="9226" width="16.42578125" style="525" customWidth="1"/>
    <col min="9227" max="9227" width="10.140625" style="525" bestFit="1" customWidth="1"/>
    <col min="9228" max="9228" width="16.85546875" style="525" bestFit="1" customWidth="1"/>
    <col min="9229" max="9229" width="14.5703125" style="525" bestFit="1" customWidth="1"/>
    <col min="9230"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7.140625" style="525" bestFit="1" customWidth="1"/>
    <col min="9481" max="9481" width="11.140625" style="525" customWidth="1"/>
    <col min="9482" max="9482" width="16.42578125" style="525" customWidth="1"/>
    <col min="9483" max="9483" width="10.140625" style="525" bestFit="1" customWidth="1"/>
    <col min="9484" max="9484" width="16.85546875" style="525" bestFit="1" customWidth="1"/>
    <col min="9485" max="9485" width="14.5703125" style="525" bestFit="1" customWidth="1"/>
    <col min="9486"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7.140625" style="525" bestFit="1" customWidth="1"/>
    <col min="9737" max="9737" width="11.140625" style="525" customWidth="1"/>
    <col min="9738" max="9738" width="16.42578125" style="525" customWidth="1"/>
    <col min="9739" max="9739" width="10.140625" style="525" bestFit="1" customWidth="1"/>
    <col min="9740" max="9740" width="16.85546875" style="525" bestFit="1" customWidth="1"/>
    <col min="9741" max="9741" width="14.5703125" style="525" bestFit="1" customWidth="1"/>
    <col min="9742"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7.140625" style="525" bestFit="1" customWidth="1"/>
    <col min="9993" max="9993" width="11.140625" style="525" customWidth="1"/>
    <col min="9994" max="9994" width="16.42578125" style="525" customWidth="1"/>
    <col min="9995" max="9995" width="10.140625" style="525" bestFit="1" customWidth="1"/>
    <col min="9996" max="9996" width="16.85546875" style="525" bestFit="1" customWidth="1"/>
    <col min="9997" max="9997" width="14.5703125" style="525" bestFit="1" customWidth="1"/>
    <col min="9998"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7.140625" style="525" bestFit="1" customWidth="1"/>
    <col min="10249" max="10249" width="11.140625" style="525" customWidth="1"/>
    <col min="10250" max="10250" width="16.42578125" style="525" customWidth="1"/>
    <col min="10251" max="10251" width="10.140625" style="525" bestFit="1" customWidth="1"/>
    <col min="10252" max="10252" width="16.85546875" style="525" bestFit="1" customWidth="1"/>
    <col min="10253" max="10253" width="14.5703125" style="525" bestFit="1" customWidth="1"/>
    <col min="10254"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7.140625" style="525" bestFit="1" customWidth="1"/>
    <col min="10505" max="10505" width="11.140625" style="525" customWidth="1"/>
    <col min="10506" max="10506" width="16.42578125" style="525" customWidth="1"/>
    <col min="10507" max="10507" width="10.140625" style="525" bestFit="1" customWidth="1"/>
    <col min="10508" max="10508" width="16.85546875" style="525" bestFit="1" customWidth="1"/>
    <col min="10509" max="10509" width="14.5703125" style="525" bestFit="1" customWidth="1"/>
    <col min="10510"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7.140625" style="525" bestFit="1" customWidth="1"/>
    <col min="10761" max="10761" width="11.140625" style="525" customWidth="1"/>
    <col min="10762" max="10762" width="16.42578125" style="525" customWidth="1"/>
    <col min="10763" max="10763" width="10.140625" style="525" bestFit="1" customWidth="1"/>
    <col min="10764" max="10764" width="16.85546875" style="525" bestFit="1" customWidth="1"/>
    <col min="10765" max="10765" width="14.5703125" style="525" bestFit="1" customWidth="1"/>
    <col min="10766"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7.140625" style="525" bestFit="1" customWidth="1"/>
    <col min="11017" max="11017" width="11.140625" style="525" customWidth="1"/>
    <col min="11018" max="11018" width="16.42578125" style="525" customWidth="1"/>
    <col min="11019" max="11019" width="10.140625" style="525" bestFit="1" customWidth="1"/>
    <col min="11020" max="11020" width="16.85546875" style="525" bestFit="1" customWidth="1"/>
    <col min="11021" max="11021" width="14.5703125" style="525" bestFit="1" customWidth="1"/>
    <col min="11022"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7.140625" style="525" bestFit="1" customWidth="1"/>
    <col min="11273" max="11273" width="11.140625" style="525" customWidth="1"/>
    <col min="11274" max="11274" width="16.42578125" style="525" customWidth="1"/>
    <col min="11275" max="11275" width="10.140625" style="525" bestFit="1" customWidth="1"/>
    <col min="11276" max="11276" width="16.85546875" style="525" bestFit="1" customWidth="1"/>
    <col min="11277" max="11277" width="14.5703125" style="525" bestFit="1" customWidth="1"/>
    <col min="11278"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7.140625" style="525" bestFit="1" customWidth="1"/>
    <col min="11529" max="11529" width="11.140625" style="525" customWidth="1"/>
    <col min="11530" max="11530" width="16.42578125" style="525" customWidth="1"/>
    <col min="11531" max="11531" width="10.140625" style="525" bestFit="1" customWidth="1"/>
    <col min="11532" max="11532" width="16.85546875" style="525" bestFit="1" customWidth="1"/>
    <col min="11533" max="11533" width="14.5703125" style="525" bestFit="1" customWidth="1"/>
    <col min="11534"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7.140625" style="525" bestFit="1" customWidth="1"/>
    <col min="11785" max="11785" width="11.140625" style="525" customWidth="1"/>
    <col min="11786" max="11786" width="16.42578125" style="525" customWidth="1"/>
    <col min="11787" max="11787" width="10.140625" style="525" bestFit="1" customWidth="1"/>
    <col min="11788" max="11788" width="16.85546875" style="525" bestFit="1" customWidth="1"/>
    <col min="11789" max="11789" width="14.5703125" style="525" bestFit="1" customWidth="1"/>
    <col min="11790"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7.140625" style="525" bestFit="1" customWidth="1"/>
    <col min="12041" max="12041" width="11.140625" style="525" customWidth="1"/>
    <col min="12042" max="12042" width="16.42578125" style="525" customWidth="1"/>
    <col min="12043" max="12043" width="10.140625" style="525" bestFit="1" customWidth="1"/>
    <col min="12044" max="12044" width="16.85546875" style="525" bestFit="1" customWidth="1"/>
    <col min="12045" max="12045" width="14.5703125" style="525" bestFit="1" customWidth="1"/>
    <col min="12046"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7.140625" style="525" bestFit="1" customWidth="1"/>
    <col min="12297" max="12297" width="11.140625" style="525" customWidth="1"/>
    <col min="12298" max="12298" width="16.42578125" style="525" customWidth="1"/>
    <col min="12299" max="12299" width="10.140625" style="525" bestFit="1" customWidth="1"/>
    <col min="12300" max="12300" width="16.85546875" style="525" bestFit="1" customWidth="1"/>
    <col min="12301" max="12301" width="14.5703125" style="525" bestFit="1" customWidth="1"/>
    <col min="12302"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7.140625" style="525" bestFit="1" customWidth="1"/>
    <col min="12553" max="12553" width="11.140625" style="525" customWidth="1"/>
    <col min="12554" max="12554" width="16.42578125" style="525" customWidth="1"/>
    <col min="12555" max="12555" width="10.140625" style="525" bestFit="1" customWidth="1"/>
    <col min="12556" max="12556" width="16.85546875" style="525" bestFit="1" customWidth="1"/>
    <col min="12557" max="12557" width="14.5703125" style="525" bestFit="1" customWidth="1"/>
    <col min="12558"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7.140625" style="525" bestFit="1" customWidth="1"/>
    <col min="12809" max="12809" width="11.140625" style="525" customWidth="1"/>
    <col min="12810" max="12810" width="16.42578125" style="525" customWidth="1"/>
    <col min="12811" max="12811" width="10.140625" style="525" bestFit="1" customWidth="1"/>
    <col min="12812" max="12812" width="16.85546875" style="525" bestFit="1" customWidth="1"/>
    <col min="12813" max="12813" width="14.5703125" style="525" bestFit="1" customWidth="1"/>
    <col min="12814"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7.140625" style="525" bestFit="1" customWidth="1"/>
    <col min="13065" max="13065" width="11.140625" style="525" customWidth="1"/>
    <col min="13066" max="13066" width="16.42578125" style="525" customWidth="1"/>
    <col min="13067" max="13067" width="10.140625" style="525" bestFit="1" customWidth="1"/>
    <col min="13068" max="13068" width="16.85546875" style="525" bestFit="1" customWidth="1"/>
    <col min="13069" max="13069" width="14.5703125" style="525" bestFit="1" customWidth="1"/>
    <col min="13070"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7.140625" style="525" bestFit="1" customWidth="1"/>
    <col min="13321" max="13321" width="11.140625" style="525" customWidth="1"/>
    <col min="13322" max="13322" width="16.42578125" style="525" customWidth="1"/>
    <col min="13323" max="13323" width="10.140625" style="525" bestFit="1" customWidth="1"/>
    <col min="13324" max="13324" width="16.85546875" style="525" bestFit="1" customWidth="1"/>
    <col min="13325" max="13325" width="14.5703125" style="525" bestFit="1" customWidth="1"/>
    <col min="13326"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7.140625" style="525" bestFit="1" customWidth="1"/>
    <col min="13577" max="13577" width="11.140625" style="525" customWidth="1"/>
    <col min="13578" max="13578" width="16.42578125" style="525" customWidth="1"/>
    <col min="13579" max="13579" width="10.140625" style="525" bestFit="1" customWidth="1"/>
    <col min="13580" max="13580" width="16.85546875" style="525" bestFit="1" customWidth="1"/>
    <col min="13581" max="13581" width="14.5703125" style="525" bestFit="1" customWidth="1"/>
    <col min="13582"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7.140625" style="525" bestFit="1" customWidth="1"/>
    <col min="13833" max="13833" width="11.140625" style="525" customWidth="1"/>
    <col min="13834" max="13834" width="16.42578125" style="525" customWidth="1"/>
    <col min="13835" max="13835" width="10.140625" style="525" bestFit="1" customWidth="1"/>
    <col min="13836" max="13836" width="16.85546875" style="525" bestFit="1" customWidth="1"/>
    <col min="13837" max="13837" width="14.5703125" style="525" bestFit="1" customWidth="1"/>
    <col min="13838"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7.140625" style="525" bestFit="1" customWidth="1"/>
    <col min="14089" max="14089" width="11.140625" style="525" customWidth="1"/>
    <col min="14090" max="14090" width="16.42578125" style="525" customWidth="1"/>
    <col min="14091" max="14091" width="10.140625" style="525" bestFit="1" customWidth="1"/>
    <col min="14092" max="14092" width="16.85546875" style="525" bestFit="1" customWidth="1"/>
    <col min="14093" max="14093" width="14.5703125" style="525" bestFit="1" customWidth="1"/>
    <col min="14094"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7.140625" style="525" bestFit="1" customWidth="1"/>
    <col min="14345" max="14345" width="11.140625" style="525" customWidth="1"/>
    <col min="14346" max="14346" width="16.42578125" style="525" customWidth="1"/>
    <col min="14347" max="14347" width="10.140625" style="525" bestFit="1" customWidth="1"/>
    <col min="14348" max="14348" width="16.85546875" style="525" bestFit="1" customWidth="1"/>
    <col min="14349" max="14349" width="14.5703125" style="525" bestFit="1" customWidth="1"/>
    <col min="14350"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7.140625" style="525" bestFit="1" customWidth="1"/>
    <col min="14601" max="14601" width="11.140625" style="525" customWidth="1"/>
    <col min="14602" max="14602" width="16.42578125" style="525" customWidth="1"/>
    <col min="14603" max="14603" width="10.140625" style="525" bestFit="1" customWidth="1"/>
    <col min="14604" max="14604" width="16.85546875" style="525" bestFit="1" customWidth="1"/>
    <col min="14605" max="14605" width="14.5703125" style="525" bestFit="1" customWidth="1"/>
    <col min="14606"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7.140625" style="525" bestFit="1" customWidth="1"/>
    <col min="14857" max="14857" width="11.140625" style="525" customWidth="1"/>
    <col min="14858" max="14858" width="16.42578125" style="525" customWidth="1"/>
    <col min="14859" max="14859" width="10.140625" style="525" bestFit="1" customWidth="1"/>
    <col min="14860" max="14860" width="16.85546875" style="525" bestFit="1" customWidth="1"/>
    <col min="14861" max="14861" width="14.5703125" style="525" bestFit="1" customWidth="1"/>
    <col min="14862"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7.140625" style="525" bestFit="1" customWidth="1"/>
    <col min="15113" max="15113" width="11.140625" style="525" customWidth="1"/>
    <col min="15114" max="15114" width="16.42578125" style="525" customWidth="1"/>
    <col min="15115" max="15115" width="10.140625" style="525" bestFit="1" customWidth="1"/>
    <col min="15116" max="15116" width="16.85546875" style="525" bestFit="1" customWidth="1"/>
    <col min="15117" max="15117" width="14.5703125" style="525" bestFit="1" customWidth="1"/>
    <col min="15118"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7.140625" style="525" bestFit="1" customWidth="1"/>
    <col min="15369" max="15369" width="11.140625" style="525" customWidth="1"/>
    <col min="15370" max="15370" width="16.42578125" style="525" customWidth="1"/>
    <col min="15371" max="15371" width="10.140625" style="525" bestFit="1" customWidth="1"/>
    <col min="15372" max="15372" width="16.85546875" style="525" bestFit="1" customWidth="1"/>
    <col min="15373" max="15373" width="14.5703125" style="525" bestFit="1" customWidth="1"/>
    <col min="15374"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7.140625" style="525" bestFit="1" customWidth="1"/>
    <col min="15625" max="15625" width="11.140625" style="525" customWidth="1"/>
    <col min="15626" max="15626" width="16.42578125" style="525" customWidth="1"/>
    <col min="15627" max="15627" width="10.140625" style="525" bestFit="1" customWidth="1"/>
    <col min="15628" max="15628" width="16.85546875" style="525" bestFit="1" customWidth="1"/>
    <col min="15629" max="15629" width="14.5703125" style="525" bestFit="1" customWidth="1"/>
    <col min="15630"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7.140625" style="525" bestFit="1" customWidth="1"/>
    <col min="15881" max="15881" width="11.140625" style="525" customWidth="1"/>
    <col min="15882" max="15882" width="16.42578125" style="525" customWidth="1"/>
    <col min="15883" max="15883" width="10.140625" style="525" bestFit="1" customWidth="1"/>
    <col min="15884" max="15884" width="16.85546875" style="525" bestFit="1" customWidth="1"/>
    <col min="15885" max="15885" width="14.5703125" style="525" bestFit="1" customWidth="1"/>
    <col min="15886"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7.140625" style="525" bestFit="1" customWidth="1"/>
    <col min="16137" max="16137" width="11.140625" style="525" customWidth="1"/>
    <col min="16138" max="16138" width="16.42578125" style="525" customWidth="1"/>
    <col min="16139" max="16139" width="10.140625" style="525" bestFit="1" customWidth="1"/>
    <col min="16140" max="16140" width="16.85546875" style="525" bestFit="1" customWidth="1"/>
    <col min="16141" max="16141" width="14.5703125" style="525" bestFit="1" customWidth="1"/>
    <col min="16142" max="16384" width="9.140625" style="525"/>
  </cols>
  <sheetData>
    <row r="1" spans="1:12">
      <c r="C1" s="526" t="s">
        <v>1419</v>
      </c>
      <c r="G1" s="1388" t="s">
        <v>1020</v>
      </c>
    </row>
    <row r="3" spans="1:12">
      <c r="A3" s="2740" t="s">
        <v>1418</v>
      </c>
      <c r="B3" s="2740"/>
      <c r="C3" s="2740"/>
      <c r="D3" s="2740"/>
      <c r="E3" s="2740"/>
      <c r="F3" s="2740"/>
      <c r="G3" s="2740"/>
      <c r="H3" s="2740"/>
      <c r="I3" s="2740"/>
      <c r="J3" s="2740"/>
    </row>
    <row r="4" spans="1:12" ht="17.25">
      <c r="A4" s="2741" t="s">
        <v>1361</v>
      </c>
      <c r="B4" s="2741"/>
      <c r="C4" s="2741"/>
      <c r="D4" s="2741"/>
      <c r="E4" s="2741"/>
      <c r="F4" s="2741"/>
      <c r="G4" s="2741"/>
      <c r="H4" s="2741"/>
      <c r="I4" s="2741"/>
      <c r="J4" s="2741"/>
    </row>
    <row r="5" spans="1:12">
      <c r="A5" s="2357"/>
      <c r="B5" s="2357"/>
      <c r="C5" s="2304"/>
      <c r="D5" s="2357"/>
      <c r="E5" s="2357"/>
      <c r="F5" s="2357"/>
      <c r="G5" s="2357"/>
      <c r="H5" s="2357"/>
      <c r="I5" s="2742" t="s">
        <v>1263</v>
      </c>
      <c r="J5" s="2742"/>
    </row>
    <row r="6" spans="1:12" s="568" customFormat="1">
      <c r="A6" s="2743" t="s">
        <v>1294</v>
      </c>
      <c r="B6" s="2743" t="s">
        <v>1360</v>
      </c>
      <c r="C6" s="2746" t="s">
        <v>1359</v>
      </c>
      <c r="D6" s="2747" t="s">
        <v>1358</v>
      </c>
      <c r="E6" s="2748"/>
      <c r="F6" s="2748"/>
      <c r="G6" s="2748"/>
      <c r="H6" s="2743" t="s">
        <v>1417</v>
      </c>
      <c r="I6" s="2749" t="s">
        <v>1416</v>
      </c>
      <c r="J6" s="2750"/>
      <c r="L6" s="573"/>
    </row>
    <row r="7" spans="1:12" s="568" customFormat="1">
      <c r="A7" s="2744"/>
      <c r="B7" s="2744"/>
      <c r="C7" s="2746"/>
      <c r="D7" s="2747" t="s">
        <v>1355</v>
      </c>
      <c r="E7" s="2748"/>
      <c r="F7" s="2747" t="s">
        <v>1415</v>
      </c>
      <c r="G7" s="2748"/>
      <c r="H7" s="2744"/>
      <c r="I7" s="2751"/>
      <c r="J7" s="2752"/>
      <c r="L7" s="573"/>
    </row>
    <row r="8" spans="1:12" s="568" customFormat="1" ht="49.5">
      <c r="A8" s="2745"/>
      <c r="B8" s="2745"/>
      <c r="C8" s="2746"/>
      <c r="D8" s="569" t="s">
        <v>1352</v>
      </c>
      <c r="E8" s="569" t="s">
        <v>102</v>
      </c>
      <c r="F8" s="569" t="s">
        <v>1352</v>
      </c>
      <c r="G8" s="569" t="s">
        <v>102</v>
      </c>
      <c r="H8" s="2745"/>
      <c r="I8" s="569" t="s">
        <v>1352</v>
      </c>
      <c r="J8" s="569" t="s">
        <v>102</v>
      </c>
      <c r="L8" s="573"/>
    </row>
    <row r="9" spans="1:12" s="540" customFormat="1">
      <c r="A9" s="567" t="s">
        <v>1351</v>
      </c>
      <c r="B9" s="529"/>
      <c r="C9" s="566"/>
      <c r="D9" s="565"/>
      <c r="E9" s="565">
        <f>SUM(E21+E23)</f>
        <v>44625000</v>
      </c>
      <c r="F9" s="565"/>
      <c r="G9" s="565">
        <f>SUM(G21+G23)</f>
        <v>30475000</v>
      </c>
      <c r="H9" s="565">
        <f>SUM(H21+H23)</f>
        <v>212065000</v>
      </c>
      <c r="I9" s="565"/>
      <c r="J9" s="565">
        <f>SUM(J21+J23)</f>
        <v>76850000</v>
      </c>
      <c r="L9" s="571"/>
    </row>
    <row r="10" spans="1:12">
      <c r="A10" s="552" t="s">
        <v>1308</v>
      </c>
      <c r="B10" s="554" t="s">
        <v>511</v>
      </c>
      <c r="C10" s="553">
        <v>150000</v>
      </c>
      <c r="D10" s="552">
        <v>60</v>
      </c>
      <c r="E10" s="557">
        <f t="shared" ref="E10:E20" si="0">$C10*D10</f>
        <v>9000000</v>
      </c>
      <c r="F10" s="552"/>
      <c r="G10" s="557">
        <f t="shared" ref="G10:G20" si="1">$C10*F10</f>
        <v>0</v>
      </c>
      <c r="H10" s="557">
        <f t="shared" ref="H10:H20" si="2">E10+(G10*4)</f>
        <v>9000000</v>
      </c>
      <c r="I10" s="551"/>
      <c r="J10" s="557">
        <f t="shared" ref="J10:J20" si="3">$C10*I10</f>
        <v>0</v>
      </c>
    </row>
    <row r="11" spans="1:12">
      <c r="A11" s="552" t="s">
        <v>1350</v>
      </c>
      <c r="B11" s="554" t="s">
        <v>1287</v>
      </c>
      <c r="C11" s="553">
        <v>45000</v>
      </c>
      <c r="D11" s="552">
        <v>110</v>
      </c>
      <c r="E11" s="557">
        <f t="shared" si="0"/>
        <v>4950000</v>
      </c>
      <c r="F11" s="552"/>
      <c r="G11" s="557">
        <f t="shared" si="1"/>
        <v>0</v>
      </c>
      <c r="H11" s="557">
        <f t="shared" si="2"/>
        <v>4950000</v>
      </c>
      <c r="I11" s="551"/>
      <c r="J11" s="557">
        <f t="shared" si="3"/>
        <v>0</v>
      </c>
    </row>
    <row r="12" spans="1:12">
      <c r="A12" s="552" t="s">
        <v>1349</v>
      </c>
      <c r="B12" s="554" t="s">
        <v>228</v>
      </c>
      <c r="C12" s="553">
        <v>450000</v>
      </c>
      <c r="D12" s="552">
        <v>10</v>
      </c>
      <c r="E12" s="557">
        <f t="shared" si="0"/>
        <v>4500000</v>
      </c>
      <c r="F12" s="552">
        <v>10</v>
      </c>
      <c r="G12" s="557">
        <f t="shared" si="1"/>
        <v>4500000</v>
      </c>
      <c r="H12" s="557">
        <f t="shared" si="2"/>
        <v>22500000</v>
      </c>
      <c r="I12" s="551">
        <v>15</v>
      </c>
      <c r="J12" s="557">
        <f t="shared" si="3"/>
        <v>6750000</v>
      </c>
    </row>
    <row r="13" spans="1:12">
      <c r="A13" s="552" t="s">
        <v>1348</v>
      </c>
      <c r="B13" s="554"/>
      <c r="C13" s="553"/>
      <c r="D13" s="552"/>
      <c r="E13" s="557">
        <f t="shared" si="0"/>
        <v>0</v>
      </c>
      <c r="F13" s="552"/>
      <c r="G13" s="557">
        <f t="shared" si="1"/>
        <v>0</v>
      </c>
      <c r="H13" s="557">
        <f t="shared" si="2"/>
        <v>0</v>
      </c>
      <c r="I13" s="551"/>
      <c r="J13" s="557">
        <f t="shared" si="3"/>
        <v>0</v>
      </c>
    </row>
    <row r="14" spans="1:12">
      <c r="A14" s="552" t="s">
        <v>1284</v>
      </c>
      <c r="B14" s="554" t="s">
        <v>11</v>
      </c>
      <c r="C14" s="553">
        <v>10000</v>
      </c>
      <c r="D14" s="552">
        <v>200</v>
      </c>
      <c r="E14" s="557">
        <f t="shared" si="0"/>
        <v>2000000</v>
      </c>
      <c r="F14" s="552">
        <v>200</v>
      </c>
      <c r="G14" s="557">
        <f t="shared" si="1"/>
        <v>2000000</v>
      </c>
      <c r="H14" s="557">
        <f t="shared" si="2"/>
        <v>10000000</v>
      </c>
      <c r="I14" s="551">
        <v>600</v>
      </c>
      <c r="J14" s="557">
        <f t="shared" si="3"/>
        <v>6000000</v>
      </c>
    </row>
    <row r="15" spans="1:12">
      <c r="A15" s="552" t="s">
        <v>1283</v>
      </c>
      <c r="B15" s="554" t="s">
        <v>11</v>
      </c>
      <c r="C15" s="553">
        <v>3000</v>
      </c>
      <c r="D15" s="552">
        <v>400</v>
      </c>
      <c r="E15" s="557">
        <f t="shared" si="0"/>
        <v>1200000</v>
      </c>
      <c r="F15" s="552">
        <v>400</v>
      </c>
      <c r="G15" s="557">
        <f t="shared" si="1"/>
        <v>1200000</v>
      </c>
      <c r="H15" s="557">
        <f t="shared" si="2"/>
        <v>6000000</v>
      </c>
      <c r="I15" s="552">
        <v>900</v>
      </c>
      <c r="J15" s="557">
        <f t="shared" si="3"/>
        <v>2700000</v>
      </c>
    </row>
    <row r="16" spans="1:12">
      <c r="A16" s="552" t="s">
        <v>1282</v>
      </c>
      <c r="B16" s="554" t="s">
        <v>11</v>
      </c>
      <c r="C16" s="553">
        <v>15000</v>
      </c>
      <c r="D16" s="552">
        <v>145</v>
      </c>
      <c r="E16" s="557">
        <f t="shared" si="0"/>
        <v>2175000</v>
      </c>
      <c r="F16" s="552">
        <v>145</v>
      </c>
      <c r="G16" s="557">
        <f t="shared" si="1"/>
        <v>2175000</v>
      </c>
      <c r="H16" s="557">
        <f t="shared" si="2"/>
        <v>10875000</v>
      </c>
      <c r="I16" s="552">
        <v>400</v>
      </c>
      <c r="J16" s="557">
        <f t="shared" si="3"/>
        <v>6000000</v>
      </c>
    </row>
    <row r="17" spans="1:13">
      <c r="A17" s="552" t="s">
        <v>1347</v>
      </c>
      <c r="B17" s="554" t="s">
        <v>11</v>
      </c>
      <c r="C17" s="553">
        <v>10000</v>
      </c>
      <c r="D17" s="552">
        <v>60</v>
      </c>
      <c r="E17" s="557">
        <f t="shared" si="0"/>
        <v>600000</v>
      </c>
      <c r="F17" s="552">
        <v>60</v>
      </c>
      <c r="G17" s="557">
        <f t="shared" si="1"/>
        <v>600000</v>
      </c>
      <c r="H17" s="557">
        <f t="shared" si="2"/>
        <v>3000000</v>
      </c>
      <c r="I17" s="552">
        <v>100</v>
      </c>
      <c r="J17" s="557">
        <f t="shared" si="3"/>
        <v>1000000</v>
      </c>
    </row>
    <row r="18" spans="1:13">
      <c r="A18" s="552" t="s">
        <v>1346</v>
      </c>
      <c r="B18" s="554" t="s">
        <v>11</v>
      </c>
      <c r="C18" s="553">
        <v>1000</v>
      </c>
      <c r="D18" s="552">
        <v>200</v>
      </c>
      <c r="E18" s="557">
        <f t="shared" si="0"/>
        <v>200000</v>
      </c>
      <c r="F18" s="552"/>
      <c r="G18" s="557">
        <f t="shared" si="1"/>
        <v>0</v>
      </c>
      <c r="H18" s="557">
        <f t="shared" si="2"/>
        <v>200000</v>
      </c>
      <c r="I18" s="552"/>
      <c r="J18" s="557">
        <f t="shared" si="3"/>
        <v>0</v>
      </c>
      <c r="M18" s="572"/>
    </row>
    <row r="19" spans="1:13">
      <c r="A19" s="552" t="s">
        <v>1318</v>
      </c>
      <c r="B19" s="554" t="s">
        <v>513</v>
      </c>
      <c r="C19" s="553">
        <v>250000</v>
      </c>
      <c r="D19" s="552">
        <v>20</v>
      </c>
      <c r="E19" s="557">
        <f t="shared" si="0"/>
        <v>5000000</v>
      </c>
      <c r="F19" s="552">
        <v>20</v>
      </c>
      <c r="G19" s="557">
        <f t="shared" si="1"/>
        <v>5000000</v>
      </c>
      <c r="H19" s="557">
        <f t="shared" si="2"/>
        <v>25000000</v>
      </c>
      <c r="I19" s="552">
        <v>50</v>
      </c>
      <c r="J19" s="557">
        <f t="shared" si="3"/>
        <v>12500000</v>
      </c>
      <c r="M19" s="572"/>
    </row>
    <row r="20" spans="1:13">
      <c r="A20" s="552" t="s">
        <v>1345</v>
      </c>
      <c r="B20" s="554" t="s">
        <v>511</v>
      </c>
      <c r="C20" s="553">
        <v>250000</v>
      </c>
      <c r="D20" s="552">
        <v>60</v>
      </c>
      <c r="E20" s="557">
        <f t="shared" si="0"/>
        <v>15000000</v>
      </c>
      <c r="F20" s="552">
        <v>60</v>
      </c>
      <c r="G20" s="557">
        <f t="shared" si="1"/>
        <v>15000000</v>
      </c>
      <c r="H20" s="557">
        <f t="shared" si="2"/>
        <v>75000000</v>
      </c>
      <c r="I20" s="552">
        <v>150</v>
      </c>
      <c r="J20" s="557">
        <f t="shared" si="3"/>
        <v>37500000</v>
      </c>
      <c r="M20" s="572"/>
    </row>
    <row r="21" spans="1:13" s="540" customFormat="1">
      <c r="A21" s="556" t="s">
        <v>1344</v>
      </c>
      <c r="B21" s="554"/>
      <c r="C21" s="553"/>
      <c r="D21" s="552"/>
      <c r="E21" s="564">
        <f>SUM(E10:E20)</f>
        <v>44625000</v>
      </c>
      <c r="F21" s="552"/>
      <c r="G21" s="564">
        <f>SUM(G10:G20)</f>
        <v>30475000</v>
      </c>
      <c r="H21" s="564">
        <f>SUM(H10:H20)</f>
        <v>166525000</v>
      </c>
      <c r="I21" s="555"/>
      <c r="J21" s="555">
        <f>SUM(J10:J20)</f>
        <v>72450000</v>
      </c>
      <c r="L21" s="570"/>
      <c r="M21" s="572"/>
    </row>
    <row r="22" spans="1:13" s="540" customFormat="1" ht="17.25">
      <c r="A22" s="563" t="s">
        <v>12</v>
      </c>
      <c r="B22" s="562"/>
      <c r="C22" s="561"/>
      <c r="D22" s="560"/>
      <c r="E22" s="559">
        <v>35000000</v>
      </c>
      <c r="F22" s="559"/>
      <c r="G22" s="559">
        <v>24000000</v>
      </c>
      <c r="H22" s="559">
        <f>B32</f>
        <v>130000000</v>
      </c>
      <c r="I22" s="558"/>
      <c r="J22" s="558"/>
      <c r="L22" s="570"/>
      <c r="M22" s="572"/>
    </row>
    <row r="23" spans="1:13">
      <c r="A23" s="552" t="s">
        <v>1342</v>
      </c>
      <c r="B23" s="554"/>
      <c r="C23" s="553"/>
      <c r="D23" s="552"/>
      <c r="E23" s="557"/>
      <c r="F23" s="557"/>
      <c r="G23" s="557"/>
      <c r="H23" s="553">
        <v>45540000</v>
      </c>
      <c r="I23" s="551"/>
      <c r="J23" s="551">
        <f>B37*B39</f>
        <v>4400000</v>
      </c>
      <c r="M23" s="572"/>
    </row>
    <row r="24" spans="1:13" s="540" customFormat="1">
      <c r="A24" s="556" t="s">
        <v>1341</v>
      </c>
      <c r="B24" s="554"/>
      <c r="C24" s="553"/>
      <c r="D24" s="552"/>
      <c r="E24" s="552"/>
      <c r="F24" s="552"/>
      <c r="G24" s="552"/>
      <c r="H24" s="552"/>
      <c r="I24" s="551"/>
      <c r="J24" s="555">
        <f>J26</f>
        <v>200000000</v>
      </c>
      <c r="L24" s="571"/>
    </row>
    <row r="25" spans="1:13">
      <c r="A25" s="552" t="s">
        <v>1340</v>
      </c>
      <c r="B25" s="554" t="s">
        <v>11</v>
      </c>
      <c r="C25" s="553"/>
      <c r="D25" s="552"/>
      <c r="E25" s="552"/>
      <c r="F25" s="552"/>
      <c r="G25" s="552"/>
      <c r="H25" s="552"/>
      <c r="I25" s="551">
        <v>10000</v>
      </c>
      <c r="J25" s="551"/>
    </row>
    <row r="26" spans="1:13">
      <c r="A26" s="552" t="s">
        <v>1339</v>
      </c>
      <c r="B26" s="554" t="s">
        <v>1338</v>
      </c>
      <c r="C26" s="553">
        <v>20000</v>
      </c>
      <c r="D26" s="552"/>
      <c r="E26" s="552"/>
      <c r="F26" s="552"/>
      <c r="G26" s="552"/>
      <c r="H26" s="552"/>
      <c r="I26" s="551">
        <f>I25</f>
        <v>10000</v>
      </c>
      <c r="J26" s="551">
        <f>I26*C26</f>
        <v>200000000</v>
      </c>
    </row>
    <row r="27" spans="1:13" s="540" customFormat="1">
      <c r="A27" s="550" t="s">
        <v>1337</v>
      </c>
      <c r="B27" s="548"/>
      <c r="C27" s="549"/>
      <c r="D27" s="548"/>
      <c r="E27" s="548"/>
      <c r="F27" s="548"/>
      <c r="G27" s="548"/>
      <c r="H27" s="548"/>
      <c r="I27" s="547"/>
      <c r="J27" s="547">
        <f>J24-J9</f>
        <v>123150000</v>
      </c>
      <c r="L27" s="571"/>
    </row>
    <row r="28" spans="1:13" s="540" customFormat="1">
      <c r="A28" s="546" t="s">
        <v>1269</v>
      </c>
      <c r="B28" s="545" t="s">
        <v>90</v>
      </c>
      <c r="C28" s="544"/>
      <c r="D28" s="543"/>
      <c r="E28" s="543"/>
      <c r="F28" s="543"/>
      <c r="G28" s="543"/>
      <c r="H28" s="543"/>
      <c r="I28" s="542"/>
      <c r="J28" s="541">
        <f>J27/J24</f>
        <v>0.61575000000000002</v>
      </c>
      <c r="L28" s="571"/>
    </row>
    <row r="29" spans="1:13">
      <c r="A29" s="539"/>
      <c r="B29" s="537"/>
      <c r="C29" s="538"/>
      <c r="D29" s="537"/>
      <c r="E29" s="537"/>
      <c r="F29" s="537"/>
      <c r="G29" s="537"/>
      <c r="H29" s="537"/>
      <c r="I29" s="536"/>
      <c r="J29" s="536"/>
    </row>
    <row r="30" spans="1:13">
      <c r="A30" s="2753" t="s">
        <v>1336</v>
      </c>
      <c r="B30" s="2754"/>
      <c r="C30" s="2754"/>
    </row>
    <row r="31" spans="1:13">
      <c r="A31" s="530" t="s">
        <v>1335</v>
      </c>
      <c r="B31" s="2737"/>
      <c r="C31" s="2737"/>
    </row>
    <row r="32" spans="1:13">
      <c r="A32" s="529" t="s">
        <v>1330</v>
      </c>
      <c r="B32" s="2738">
        <v>130000000</v>
      </c>
      <c r="C32" s="2738"/>
      <c r="D32" s="535"/>
      <c r="E32" s="535"/>
      <c r="F32" s="535"/>
      <c r="G32" s="535"/>
      <c r="H32" s="534"/>
    </row>
    <row r="33" spans="1:8">
      <c r="A33" s="528" t="s">
        <v>1329</v>
      </c>
      <c r="B33" s="2739" t="s">
        <v>1414</v>
      </c>
      <c r="C33" s="2739"/>
      <c r="D33" s="533"/>
      <c r="E33" s="533"/>
      <c r="F33" s="533"/>
      <c r="G33" s="533"/>
      <c r="H33" s="533"/>
    </row>
    <row r="34" spans="1:8">
      <c r="A34" s="527" t="s">
        <v>1328</v>
      </c>
      <c r="B34" s="2735">
        <v>0.11</v>
      </c>
      <c r="C34" s="2735"/>
      <c r="D34" s="532"/>
      <c r="E34" s="532"/>
      <c r="F34" s="532"/>
      <c r="G34" s="532"/>
      <c r="H34" s="532"/>
    </row>
    <row r="35" spans="1:8">
      <c r="A35" s="531" t="s">
        <v>1333</v>
      </c>
      <c r="B35" s="2736" t="s">
        <v>1413</v>
      </c>
      <c r="C35" s="2736"/>
    </row>
    <row r="36" spans="1:8">
      <c r="A36" s="530" t="s">
        <v>1331</v>
      </c>
      <c r="B36" s="2737"/>
      <c r="C36" s="2737"/>
    </row>
    <row r="37" spans="1:8">
      <c r="A37" s="529" t="s">
        <v>1330</v>
      </c>
      <c r="B37" s="2738">
        <v>55000000</v>
      </c>
      <c r="C37" s="2738"/>
    </row>
    <row r="38" spans="1:8">
      <c r="A38" s="528" t="s">
        <v>1329</v>
      </c>
      <c r="B38" s="2739" t="s">
        <v>1159</v>
      </c>
      <c r="C38" s="2739"/>
    </row>
    <row r="39" spans="1:8">
      <c r="A39" s="527" t="s">
        <v>1328</v>
      </c>
      <c r="B39" s="2735">
        <v>0.08</v>
      </c>
      <c r="C39" s="2735"/>
    </row>
  </sheetData>
  <mergeCells count="21">
    <mergeCell ref="B33:C33"/>
    <mergeCell ref="B39:C39"/>
    <mergeCell ref="A3:J3"/>
    <mergeCell ref="A4:J4"/>
    <mergeCell ref="I5:J5"/>
    <mergeCell ref="A6:A8"/>
    <mergeCell ref="B6:B8"/>
    <mergeCell ref="C6:C8"/>
    <mergeCell ref="D6:G6"/>
    <mergeCell ref="H6:H8"/>
    <mergeCell ref="I6:J7"/>
    <mergeCell ref="D7:E7"/>
    <mergeCell ref="F7:G7"/>
    <mergeCell ref="A30:C30"/>
    <mergeCell ref="B31:C31"/>
    <mergeCell ref="B32:C32"/>
    <mergeCell ref="B34:C34"/>
    <mergeCell ref="B35:C35"/>
    <mergeCell ref="B36:C36"/>
    <mergeCell ref="B37:C37"/>
    <mergeCell ref="B38:C38"/>
  </mergeCells>
  <pageMargins left="0.7" right="0.3" top="0.4" bottom="0.49" header="0.3" footer="0.3"/>
  <pageSetup paperSize="9" scale="85" orientation="landscape" r:id="rId1"/>
  <headerFooter>
    <oddFooter>&amp;CTrang</oddFooter>
  </headerFooter>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2"/>
  <dimension ref="A1:G64"/>
  <sheetViews>
    <sheetView workbookViewId="0">
      <selection activeCell="C2" sqref="C2"/>
    </sheetView>
  </sheetViews>
  <sheetFormatPr defaultRowHeight="16.5"/>
  <cols>
    <col min="1" max="1" width="9.28515625" style="311" bestFit="1" customWidth="1"/>
    <col min="2" max="2" width="52.42578125" style="311" customWidth="1"/>
    <col min="3" max="3" width="14.42578125" style="311" bestFit="1" customWidth="1"/>
    <col min="4" max="4" width="9.7109375" style="311" bestFit="1" customWidth="1"/>
    <col min="5" max="5" width="9.5703125" style="311" bestFit="1" customWidth="1"/>
    <col min="6" max="6" width="15" style="311" bestFit="1" customWidth="1"/>
    <col min="7" max="16384" width="9.140625" style="311"/>
  </cols>
  <sheetData>
    <row r="1" spans="1:7">
      <c r="A1" s="2147"/>
      <c r="B1" s="2147"/>
      <c r="C1" s="2147" t="s">
        <v>1419</v>
      </c>
      <c r="D1" s="2147"/>
      <c r="E1" s="2147"/>
      <c r="F1" s="2147"/>
      <c r="G1" s="309" t="s">
        <v>1020</v>
      </c>
    </row>
    <row r="2" spans="1:7">
      <c r="A2" s="2147"/>
      <c r="B2" s="2147"/>
      <c r="C2" s="2147"/>
      <c r="D2" s="2147"/>
      <c r="E2" s="2147"/>
      <c r="F2" s="2147"/>
    </row>
    <row r="5" spans="1:7">
      <c r="A5" s="1495"/>
      <c r="B5" s="1497" t="s">
        <v>2966</v>
      </c>
      <c r="C5" s="2148"/>
      <c r="D5" s="2149"/>
      <c r="E5" s="151"/>
      <c r="F5" s="2148"/>
    </row>
    <row r="6" spans="1:7">
      <c r="A6" s="1495"/>
      <c r="B6" s="1497" t="s">
        <v>3006</v>
      </c>
      <c r="C6" s="2148"/>
      <c r="D6" s="2149"/>
      <c r="E6" s="151"/>
      <c r="F6" s="2148"/>
    </row>
    <row r="7" spans="1:7">
      <c r="A7" s="1495"/>
      <c r="B7" s="1497" t="s">
        <v>2998</v>
      </c>
      <c r="C7" s="2148"/>
      <c r="D7" s="2210">
        <v>200</v>
      </c>
      <c r="E7" s="151"/>
      <c r="F7" s="2148"/>
    </row>
    <row r="8" spans="1:7">
      <c r="A8" s="1495"/>
      <c r="B8" s="151"/>
      <c r="C8" s="1109"/>
      <c r="D8" s="2151"/>
      <c r="E8" s="2151"/>
      <c r="F8" s="2148"/>
    </row>
    <row r="9" spans="1:7">
      <c r="A9" s="2333" t="s">
        <v>97</v>
      </c>
      <c r="B9" s="2333" t="s">
        <v>64</v>
      </c>
      <c r="C9" s="2333" t="s">
        <v>100</v>
      </c>
      <c r="D9" s="2152" t="s">
        <v>1</v>
      </c>
      <c r="E9" s="2152" t="s">
        <v>3</v>
      </c>
      <c r="F9" s="2152" t="s">
        <v>4</v>
      </c>
    </row>
    <row r="10" spans="1:7" ht="17.25">
      <c r="A10" s="2163">
        <v>2.1</v>
      </c>
      <c r="B10" s="2164" t="s">
        <v>2995</v>
      </c>
      <c r="C10" s="2165"/>
      <c r="D10" s="2166"/>
      <c r="E10" s="2166"/>
      <c r="F10" s="2168">
        <v>241000000</v>
      </c>
    </row>
    <row r="11" spans="1:7">
      <c r="A11" s="2163"/>
      <c r="B11" s="2169" t="s">
        <v>2994</v>
      </c>
      <c r="C11" s="2170" t="s">
        <v>1287</v>
      </c>
      <c r="D11" s="2171">
        <v>200</v>
      </c>
      <c r="E11" s="2171">
        <v>250000</v>
      </c>
      <c r="F11" s="2211">
        <v>50000000</v>
      </c>
    </row>
    <row r="12" spans="1:7" ht="33">
      <c r="A12" s="2163"/>
      <c r="B12" s="2174" t="s">
        <v>3005</v>
      </c>
      <c r="C12" s="2165" t="s">
        <v>1287</v>
      </c>
      <c r="D12" s="2171">
        <v>200</v>
      </c>
      <c r="E12" s="2171">
        <v>250000</v>
      </c>
      <c r="F12" s="2211">
        <v>50000000</v>
      </c>
    </row>
    <row r="13" spans="1:7" ht="17.25">
      <c r="A13" s="2212"/>
      <c r="B13" s="2213" t="s">
        <v>2984</v>
      </c>
      <c r="C13" s="2176" t="s">
        <v>511</v>
      </c>
      <c r="D13" s="2214">
        <v>200</v>
      </c>
      <c r="E13" s="2214">
        <v>220000</v>
      </c>
      <c r="F13" s="2204">
        <v>44000000</v>
      </c>
    </row>
    <row r="14" spans="1:7" ht="33">
      <c r="A14" s="2163"/>
      <c r="B14" s="2174" t="s">
        <v>3004</v>
      </c>
      <c r="C14" s="2170" t="s">
        <v>2959</v>
      </c>
      <c r="D14" s="2197">
        <v>3</v>
      </c>
      <c r="E14" s="2171">
        <v>20000</v>
      </c>
      <c r="F14" s="2211">
        <v>12000000</v>
      </c>
    </row>
    <row r="15" spans="1:7">
      <c r="A15" s="2163"/>
      <c r="B15" s="2169" t="s">
        <v>3003</v>
      </c>
      <c r="C15" s="2170" t="s">
        <v>2959</v>
      </c>
      <c r="D15" s="2197">
        <v>50</v>
      </c>
      <c r="E15" s="2171">
        <v>2000</v>
      </c>
      <c r="F15" s="2211">
        <v>20000000</v>
      </c>
    </row>
    <row r="16" spans="1:7">
      <c r="A16" s="2163"/>
      <c r="B16" s="2169" t="s">
        <v>2988</v>
      </c>
      <c r="C16" s="2170" t="s">
        <v>2979</v>
      </c>
      <c r="D16" s="2197"/>
      <c r="E16" s="2171"/>
      <c r="F16" s="2211">
        <v>50000000</v>
      </c>
    </row>
    <row r="17" spans="1:6">
      <c r="A17" s="2215"/>
      <c r="B17" s="2199" t="s">
        <v>2980</v>
      </c>
      <c r="C17" s="2216" t="s">
        <v>2979</v>
      </c>
      <c r="D17" s="2201"/>
      <c r="E17" s="2217"/>
      <c r="F17" s="2218">
        <v>15000000</v>
      </c>
    </row>
    <row r="18" spans="1:6" ht="17.25">
      <c r="A18" s="2333">
        <v>2.2000000000000002</v>
      </c>
      <c r="B18" s="2219" t="s">
        <v>2985</v>
      </c>
      <c r="C18" s="2334"/>
      <c r="D18" s="2220"/>
      <c r="E18" s="2221"/>
      <c r="F18" s="2262">
        <v>400000000</v>
      </c>
    </row>
    <row r="19" spans="1:6" ht="17.25">
      <c r="A19" s="2222"/>
      <c r="B19" s="2223" t="s">
        <v>3002</v>
      </c>
      <c r="C19" s="2224" t="s">
        <v>511</v>
      </c>
      <c r="D19" s="2225">
        <v>800</v>
      </c>
      <c r="E19" s="2225">
        <v>220000</v>
      </c>
      <c r="F19" s="2226">
        <v>176000000</v>
      </c>
    </row>
    <row r="20" spans="1:6" ht="17.25">
      <c r="A20" s="2163"/>
      <c r="B20" s="2174" t="s">
        <v>3001</v>
      </c>
      <c r="C20" s="2165" t="s">
        <v>2981</v>
      </c>
      <c r="D20" s="2171">
        <v>200</v>
      </c>
      <c r="E20" s="2171">
        <v>2000</v>
      </c>
      <c r="F20" s="2173">
        <v>80000000</v>
      </c>
    </row>
    <row r="21" spans="1:6">
      <c r="A21" s="2163"/>
      <c r="B21" s="2169" t="s">
        <v>2982</v>
      </c>
      <c r="C21" s="2170" t="s">
        <v>2981</v>
      </c>
      <c r="D21" s="2197">
        <v>26</v>
      </c>
      <c r="E21" s="2171">
        <v>20000</v>
      </c>
      <c r="F21" s="2173">
        <v>104000000</v>
      </c>
    </row>
    <row r="22" spans="1:6">
      <c r="A22" s="2215"/>
      <c r="B22" s="2199" t="s">
        <v>2980</v>
      </c>
      <c r="C22" s="2216" t="s">
        <v>2979</v>
      </c>
      <c r="D22" s="2201"/>
      <c r="E22" s="2217"/>
      <c r="F22" s="2203">
        <v>40000000</v>
      </c>
    </row>
    <row r="23" spans="1:6">
      <c r="A23" s="2333"/>
      <c r="B23" s="157" t="s">
        <v>3000</v>
      </c>
      <c r="C23" s="2333"/>
      <c r="D23" s="2227"/>
      <c r="E23" s="2153"/>
      <c r="F23" s="2228">
        <v>641000000</v>
      </c>
    </row>
    <row r="24" spans="1:6" ht="17.25">
      <c r="A24" s="2154">
        <v>3</v>
      </c>
      <c r="B24" s="2187" t="s">
        <v>1113</v>
      </c>
      <c r="C24" s="2160"/>
      <c r="D24" s="2229">
        <v>100</v>
      </c>
      <c r="E24" s="2230"/>
      <c r="F24" s="2231">
        <v>641000000</v>
      </c>
    </row>
    <row r="25" spans="1:6">
      <c r="A25" s="2196"/>
      <c r="B25" s="2169" t="s">
        <v>2947</v>
      </c>
      <c r="C25" s="2170" t="s">
        <v>90</v>
      </c>
      <c r="D25" s="2197">
        <v>25</v>
      </c>
      <c r="E25" s="2172"/>
      <c r="F25" s="2173">
        <v>160000000</v>
      </c>
    </row>
    <row r="26" spans="1:6">
      <c r="A26" s="2198"/>
      <c r="B26" s="2199" t="s">
        <v>2946</v>
      </c>
      <c r="C26" s="2200" t="s">
        <v>90</v>
      </c>
      <c r="D26" s="2201">
        <v>75</v>
      </c>
      <c r="E26" s="2202"/>
      <c r="F26" s="2203">
        <v>481000000</v>
      </c>
    </row>
    <row r="27" spans="1:6">
      <c r="A27" s="1495"/>
      <c r="B27" s="151"/>
      <c r="C27" s="1109"/>
      <c r="D27" s="2151"/>
      <c r="E27" s="2151"/>
      <c r="F27" s="2148"/>
    </row>
    <row r="28" spans="1:6">
      <c r="A28" s="1495"/>
      <c r="B28" s="2232"/>
      <c r="C28" s="1109"/>
      <c r="D28" s="2151"/>
      <c r="E28" s="2151"/>
      <c r="F28" s="2148"/>
    </row>
    <row r="29" spans="1:6">
      <c r="A29" s="1495"/>
      <c r="B29" s="156" t="s">
        <v>2999</v>
      </c>
      <c r="C29" s="2151"/>
      <c r="D29" s="2151"/>
      <c r="E29" s="2151"/>
      <c r="F29" s="2148"/>
    </row>
    <row r="30" spans="1:6">
      <c r="A30" s="1495"/>
      <c r="B30" s="1493" t="s">
        <v>2998</v>
      </c>
      <c r="C30" s="1493"/>
      <c r="D30" s="1493">
        <v>200</v>
      </c>
      <c r="E30" s="151"/>
      <c r="F30" s="2148"/>
    </row>
    <row r="31" spans="1:6">
      <c r="A31" s="1495"/>
      <c r="B31" s="151"/>
      <c r="C31" s="1109"/>
      <c r="D31" s="2151"/>
      <c r="E31" s="2151"/>
      <c r="F31" s="2148"/>
    </row>
    <row r="32" spans="1:6">
      <c r="A32" s="2333" t="s">
        <v>97</v>
      </c>
      <c r="B32" s="2333" t="s">
        <v>64</v>
      </c>
      <c r="C32" s="2333" t="s">
        <v>100</v>
      </c>
      <c r="D32" s="2152" t="s">
        <v>1</v>
      </c>
      <c r="E32" s="2152" t="s">
        <v>3</v>
      </c>
      <c r="F32" s="2152" t="s">
        <v>4</v>
      </c>
    </row>
    <row r="33" spans="1:6">
      <c r="A33" s="2154">
        <v>1</v>
      </c>
      <c r="B33" s="2155" t="s">
        <v>242</v>
      </c>
      <c r="C33" s="2154"/>
      <c r="D33" s="2156"/>
      <c r="E33" s="2156"/>
      <c r="F33" s="2156">
        <v>768000000</v>
      </c>
    </row>
    <row r="34" spans="1:6" ht="33">
      <c r="A34" s="2181"/>
      <c r="B34" s="2263" t="s">
        <v>2997</v>
      </c>
      <c r="C34" s="2233" t="s">
        <v>2959</v>
      </c>
      <c r="D34" s="2217">
        <v>40</v>
      </c>
      <c r="E34" s="2264">
        <v>40000</v>
      </c>
      <c r="F34" s="2234">
        <v>256000000</v>
      </c>
    </row>
    <row r="35" spans="1:6" ht="33">
      <c r="A35" s="2215"/>
      <c r="B35" s="2263" t="s">
        <v>2996</v>
      </c>
      <c r="C35" s="2233" t="s">
        <v>2959</v>
      </c>
      <c r="D35" s="2265">
        <v>80</v>
      </c>
      <c r="E35" s="2264">
        <v>40000</v>
      </c>
      <c r="F35" s="2234">
        <v>512000000</v>
      </c>
    </row>
    <row r="36" spans="1:6">
      <c r="A36" s="2333">
        <v>2</v>
      </c>
      <c r="B36" s="2316" t="s">
        <v>1103</v>
      </c>
      <c r="C36" s="2334"/>
      <c r="D36" s="1512"/>
      <c r="E36" s="2152"/>
      <c r="F36" s="2152">
        <v>723306666.66666663</v>
      </c>
    </row>
    <row r="37" spans="1:6" ht="17.25">
      <c r="A37" s="2333">
        <v>2.1</v>
      </c>
      <c r="B37" s="2219" t="s">
        <v>2995</v>
      </c>
      <c r="C37" s="2235"/>
      <c r="D37" s="2236"/>
      <c r="E37" s="2236"/>
      <c r="F37" s="2237">
        <v>241000000</v>
      </c>
    </row>
    <row r="38" spans="1:6">
      <c r="A38" s="2266" t="s">
        <v>1223</v>
      </c>
      <c r="B38" s="2238" t="s">
        <v>2994</v>
      </c>
      <c r="C38" s="2239" t="s">
        <v>1287</v>
      </c>
      <c r="D38" s="2225">
        <v>200</v>
      </c>
      <c r="E38" s="2225">
        <v>250000</v>
      </c>
      <c r="F38" s="2240">
        <v>50000000</v>
      </c>
    </row>
    <row r="39" spans="1:6" ht="17.25">
      <c r="A39" s="2267" t="s">
        <v>1221</v>
      </c>
      <c r="B39" s="2174" t="s">
        <v>2993</v>
      </c>
      <c r="C39" s="2165" t="s">
        <v>1287</v>
      </c>
      <c r="D39" s="2171">
        <v>200</v>
      </c>
      <c r="E39" s="2171">
        <v>250000</v>
      </c>
      <c r="F39" s="2241">
        <v>50000000</v>
      </c>
    </row>
    <row r="40" spans="1:6" ht="17.25">
      <c r="A40" s="2267" t="s">
        <v>1219</v>
      </c>
      <c r="B40" s="2174" t="s">
        <v>2984</v>
      </c>
      <c r="C40" s="2165" t="s">
        <v>511</v>
      </c>
      <c r="D40" s="2171">
        <v>200</v>
      </c>
      <c r="E40" s="2171">
        <v>220000</v>
      </c>
      <c r="F40" s="2241">
        <v>44000000</v>
      </c>
    </row>
    <row r="41" spans="1:6">
      <c r="A41" s="2267" t="s">
        <v>1217</v>
      </c>
      <c r="B41" s="2169" t="s">
        <v>2992</v>
      </c>
      <c r="C41" s="2170" t="s">
        <v>2959</v>
      </c>
      <c r="D41" s="2171">
        <v>3</v>
      </c>
      <c r="E41" s="2171">
        <v>20000</v>
      </c>
      <c r="F41" s="2241">
        <v>12000000</v>
      </c>
    </row>
    <row r="42" spans="1:6">
      <c r="A42" s="2267" t="s">
        <v>2991</v>
      </c>
      <c r="B42" s="2242" t="s">
        <v>2990</v>
      </c>
      <c r="C42" s="2170" t="s">
        <v>2959</v>
      </c>
      <c r="D42" s="2170">
        <v>30</v>
      </c>
      <c r="E42" s="2171">
        <v>2000</v>
      </c>
      <c r="F42" s="2241">
        <v>20000000</v>
      </c>
    </row>
    <row r="43" spans="1:6">
      <c r="A43" s="2267" t="s">
        <v>2989</v>
      </c>
      <c r="B43" s="2169" t="s">
        <v>2988</v>
      </c>
      <c r="C43" s="2170" t="s">
        <v>2979</v>
      </c>
      <c r="D43" s="2197"/>
      <c r="E43" s="2171"/>
      <c r="F43" s="2241">
        <v>50000000</v>
      </c>
    </row>
    <row r="44" spans="1:6">
      <c r="A44" s="2268" t="s">
        <v>2987</v>
      </c>
      <c r="B44" s="2199" t="s">
        <v>2986</v>
      </c>
      <c r="C44" s="2216" t="s">
        <v>2979</v>
      </c>
      <c r="D44" s="2201"/>
      <c r="E44" s="2217"/>
      <c r="F44" s="2243">
        <v>15000000</v>
      </c>
    </row>
    <row r="45" spans="1:6" ht="17.25">
      <c r="A45" s="2333">
        <v>2.2000000000000002</v>
      </c>
      <c r="B45" s="2219" t="s">
        <v>2985</v>
      </c>
      <c r="C45" s="2334"/>
      <c r="D45" s="2220"/>
      <c r="E45" s="2221"/>
      <c r="F45" s="2228">
        <v>400000000</v>
      </c>
    </row>
    <row r="46" spans="1:6" ht="17.25">
      <c r="A46" s="2222"/>
      <c r="B46" s="2223" t="s">
        <v>2984</v>
      </c>
      <c r="C46" s="2224" t="s">
        <v>511</v>
      </c>
      <c r="D46" s="2225">
        <v>800</v>
      </c>
      <c r="E46" s="2225">
        <v>220000</v>
      </c>
      <c r="F46" s="2226">
        <v>176000000</v>
      </c>
    </row>
    <row r="47" spans="1:6" ht="33">
      <c r="A47" s="2163"/>
      <c r="B47" s="2174" t="s">
        <v>2983</v>
      </c>
      <c r="C47" s="2170" t="s">
        <v>2981</v>
      </c>
      <c r="D47" s="2171">
        <v>200</v>
      </c>
      <c r="E47" s="2172">
        <v>2000</v>
      </c>
      <c r="F47" s="2173">
        <v>80000000</v>
      </c>
    </row>
    <row r="48" spans="1:6">
      <c r="A48" s="2163"/>
      <c r="B48" s="2169" t="s">
        <v>2982</v>
      </c>
      <c r="C48" s="2170" t="s">
        <v>2981</v>
      </c>
      <c r="D48" s="2197">
        <v>26</v>
      </c>
      <c r="E48" s="2171">
        <v>20000</v>
      </c>
      <c r="F48" s="2173">
        <v>104000000</v>
      </c>
    </row>
    <row r="49" spans="1:6">
      <c r="A49" s="2215"/>
      <c r="B49" s="2199" t="s">
        <v>2980</v>
      </c>
      <c r="C49" s="2216" t="s">
        <v>2979</v>
      </c>
      <c r="D49" s="2201"/>
      <c r="E49" s="2217"/>
      <c r="F49" s="2203">
        <v>40000000</v>
      </c>
    </row>
    <row r="50" spans="1:6">
      <c r="A50" s="2333">
        <v>2.2999999999999998</v>
      </c>
      <c r="B50" s="157" t="s">
        <v>2978</v>
      </c>
      <c r="C50" s="2764" t="s">
        <v>2977</v>
      </c>
      <c r="D50" s="2765"/>
      <c r="E50" s="1512"/>
      <c r="F50" s="2228">
        <v>491000000</v>
      </c>
    </row>
    <row r="51" spans="1:6" ht="17.25">
      <c r="A51" s="2244">
        <v>2.4</v>
      </c>
      <c r="B51" s="2245" t="s">
        <v>2976</v>
      </c>
      <c r="C51" s="2246"/>
      <c r="D51" s="2246"/>
      <c r="E51" s="2236"/>
      <c r="F51" s="2237">
        <v>232306666.66666666</v>
      </c>
    </row>
    <row r="52" spans="1:6" ht="17.25">
      <c r="A52" s="2247"/>
      <c r="B52" s="2175" t="s">
        <v>2975</v>
      </c>
      <c r="C52" s="2248"/>
      <c r="D52" s="2248"/>
      <c r="E52" s="2249"/>
      <c r="F52" s="2173">
        <v>3333333.3333333335</v>
      </c>
    </row>
    <row r="53" spans="1:6" ht="17.25">
      <c r="A53" s="2250"/>
      <c r="B53" s="2179" t="s">
        <v>2974</v>
      </c>
      <c r="C53" s="2251"/>
      <c r="D53" s="2171"/>
      <c r="E53" s="2171"/>
      <c r="F53" s="2173">
        <v>3333333.3333333335</v>
      </c>
    </row>
    <row r="54" spans="1:6" ht="17.25">
      <c r="A54" s="2250"/>
      <c r="B54" s="2179" t="s">
        <v>2973</v>
      </c>
      <c r="C54" s="2251"/>
      <c r="D54" s="2251"/>
      <c r="E54" s="2166"/>
      <c r="F54" s="2173">
        <v>10000000</v>
      </c>
    </row>
    <row r="55" spans="1:6" ht="17.25">
      <c r="A55" s="2252"/>
      <c r="B55" s="2253" t="s">
        <v>2972</v>
      </c>
      <c r="C55" s="2254"/>
      <c r="D55" s="2254"/>
      <c r="E55" s="2177"/>
      <c r="F55" s="2204">
        <v>4000000</v>
      </c>
    </row>
    <row r="56" spans="1:6">
      <c r="A56" s="2255"/>
      <c r="B56" s="2256" t="s">
        <v>2971</v>
      </c>
      <c r="C56" s="2257" t="s">
        <v>90</v>
      </c>
      <c r="D56" s="2257"/>
      <c r="E56" s="2258">
        <v>11</v>
      </c>
      <c r="F56" s="2203">
        <v>211640000</v>
      </c>
    </row>
    <row r="57" spans="1:6" ht="17.25">
      <c r="A57" s="2259">
        <v>3</v>
      </c>
      <c r="B57" s="2191" t="s">
        <v>24</v>
      </c>
      <c r="C57" s="2259"/>
      <c r="D57" s="2260"/>
      <c r="E57" s="2261"/>
      <c r="F57" s="2237">
        <v>44693333.333333373</v>
      </c>
    </row>
    <row r="58" spans="1:6">
      <c r="A58" s="1495"/>
      <c r="B58" s="151"/>
      <c r="C58" s="1109"/>
      <c r="D58" s="2151"/>
      <c r="E58" s="2151"/>
      <c r="F58" s="2148"/>
    </row>
    <row r="59" spans="1:6">
      <c r="A59" s="1495"/>
      <c r="B59" s="309" t="s">
        <v>3226</v>
      </c>
      <c r="C59" s="1109"/>
      <c r="D59" s="2151"/>
      <c r="E59" s="2151"/>
      <c r="F59" s="2148"/>
    </row>
    <row r="60" spans="1:6">
      <c r="A60" s="1495"/>
      <c r="B60" s="1395" t="s">
        <v>2970</v>
      </c>
      <c r="C60" s="1109"/>
      <c r="D60" s="2151"/>
      <c r="E60" s="2151"/>
      <c r="F60" s="2148"/>
    </row>
    <row r="61" spans="1:6">
      <c r="A61" s="1495"/>
      <c r="B61" s="1395" t="s">
        <v>2944</v>
      </c>
      <c r="C61" s="1109"/>
      <c r="D61" s="2151"/>
      <c r="E61" s="2151"/>
      <c r="F61" s="2148"/>
    </row>
    <row r="62" spans="1:6">
      <c r="A62" s="1495"/>
      <c r="B62" s="1395" t="s">
        <v>2943</v>
      </c>
      <c r="C62" s="1109"/>
      <c r="D62" s="2151"/>
      <c r="E62" s="2151"/>
      <c r="F62" s="2148"/>
    </row>
    <row r="63" spans="1:6">
      <c r="A63" s="1495"/>
      <c r="B63" s="304" t="s">
        <v>2969</v>
      </c>
      <c r="C63" s="1109"/>
      <c r="D63" s="2151"/>
      <c r="E63" s="2151"/>
      <c r="F63" s="2148"/>
    </row>
    <row r="64" spans="1:6">
      <c r="A64" s="1495"/>
      <c r="B64" s="151" t="s">
        <v>2968</v>
      </c>
      <c r="C64" s="1109"/>
      <c r="D64" s="2151"/>
      <c r="E64" s="2151"/>
      <c r="F64" s="2148"/>
    </row>
  </sheetData>
  <mergeCells count="1">
    <mergeCell ref="C50:D50"/>
  </mergeCells>
  <pageMargins left="0.7" right="0.7" top="0.75" bottom="0.75" header="0.3" footer="0.3"/>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L30"/>
  <sheetViews>
    <sheetView workbookViewId="0">
      <selection activeCell="J13" sqref="J13"/>
    </sheetView>
  </sheetViews>
  <sheetFormatPr defaultRowHeight="16.5"/>
  <cols>
    <col min="1" max="1" width="26.42578125" style="525" customWidth="1"/>
    <col min="2" max="2" width="9.28515625" style="525" customWidth="1"/>
    <col min="3" max="3" width="11" style="526" customWidth="1"/>
    <col min="4" max="4" width="10.28515625" style="525" customWidth="1"/>
    <col min="5" max="5" width="12.140625" style="525" customWidth="1"/>
    <col min="6" max="6" width="11.7109375" style="525" customWidth="1"/>
    <col min="7" max="7" width="12.28515625" style="525" customWidth="1"/>
    <col min="8" max="8" width="11" style="525" customWidth="1"/>
    <col min="9" max="9" width="12.85546875" style="525" customWidth="1"/>
    <col min="10" max="10" width="14.5703125" style="525" customWidth="1"/>
    <col min="11" max="11" width="10.85546875" style="525" customWidth="1"/>
    <col min="12" max="12" width="14.140625" style="525" customWidth="1"/>
    <col min="13" max="256" width="9.140625" style="525"/>
    <col min="257" max="257" width="26.42578125" style="525" customWidth="1"/>
    <col min="258" max="258" width="9.28515625" style="525" customWidth="1"/>
    <col min="259" max="259" width="11" style="525" customWidth="1"/>
    <col min="260" max="260" width="10.28515625" style="525" customWidth="1"/>
    <col min="261" max="261" width="12.140625" style="525" customWidth="1"/>
    <col min="262" max="262" width="11.7109375" style="525" customWidth="1"/>
    <col min="263" max="263" width="12.28515625" style="525" customWidth="1"/>
    <col min="264" max="264" width="11" style="525" customWidth="1"/>
    <col min="265" max="265" width="12.85546875" style="525" customWidth="1"/>
    <col min="266" max="266" width="14.5703125" style="525" customWidth="1"/>
    <col min="267" max="267" width="10.85546875" style="525" customWidth="1"/>
    <col min="268" max="268" width="14.140625" style="525" customWidth="1"/>
    <col min="269" max="512" width="9.140625" style="525"/>
    <col min="513" max="513" width="26.42578125" style="525" customWidth="1"/>
    <col min="514" max="514" width="9.28515625" style="525" customWidth="1"/>
    <col min="515" max="515" width="11" style="525" customWidth="1"/>
    <col min="516" max="516" width="10.28515625" style="525" customWidth="1"/>
    <col min="517" max="517" width="12.140625" style="525" customWidth="1"/>
    <col min="518" max="518" width="11.7109375" style="525" customWidth="1"/>
    <col min="519" max="519" width="12.28515625" style="525" customWidth="1"/>
    <col min="520" max="520" width="11" style="525" customWidth="1"/>
    <col min="521" max="521" width="12.85546875" style="525" customWidth="1"/>
    <col min="522" max="522" width="14.5703125" style="525" customWidth="1"/>
    <col min="523" max="523" width="10.85546875" style="525" customWidth="1"/>
    <col min="524" max="524" width="14.140625" style="525" customWidth="1"/>
    <col min="525" max="768" width="9.140625" style="525"/>
    <col min="769" max="769" width="26.42578125" style="525" customWidth="1"/>
    <col min="770" max="770" width="9.28515625" style="525" customWidth="1"/>
    <col min="771" max="771" width="11" style="525" customWidth="1"/>
    <col min="772" max="772" width="10.28515625" style="525" customWidth="1"/>
    <col min="773" max="773" width="12.140625" style="525" customWidth="1"/>
    <col min="774" max="774" width="11.7109375" style="525" customWidth="1"/>
    <col min="775" max="775" width="12.28515625" style="525" customWidth="1"/>
    <col min="776" max="776" width="11" style="525" customWidth="1"/>
    <col min="777" max="777" width="12.85546875" style="525" customWidth="1"/>
    <col min="778" max="778" width="14.5703125" style="525" customWidth="1"/>
    <col min="779" max="779" width="10.85546875" style="525" customWidth="1"/>
    <col min="780" max="780" width="14.140625" style="525" customWidth="1"/>
    <col min="781" max="1024" width="9.140625" style="525"/>
    <col min="1025" max="1025" width="26.42578125" style="525" customWidth="1"/>
    <col min="1026" max="1026" width="9.28515625" style="525" customWidth="1"/>
    <col min="1027" max="1027" width="11" style="525" customWidth="1"/>
    <col min="1028" max="1028" width="10.28515625" style="525" customWidth="1"/>
    <col min="1029" max="1029" width="12.140625" style="525" customWidth="1"/>
    <col min="1030" max="1030" width="11.7109375" style="525" customWidth="1"/>
    <col min="1031" max="1031" width="12.28515625" style="525" customWidth="1"/>
    <col min="1032" max="1032" width="11" style="525" customWidth="1"/>
    <col min="1033" max="1033" width="12.85546875" style="525" customWidth="1"/>
    <col min="1034" max="1034" width="14.5703125" style="525" customWidth="1"/>
    <col min="1035" max="1035" width="10.85546875" style="525" customWidth="1"/>
    <col min="1036" max="1036" width="14.140625" style="525" customWidth="1"/>
    <col min="1037" max="1280" width="9.140625" style="525"/>
    <col min="1281" max="1281" width="26.42578125" style="525" customWidth="1"/>
    <col min="1282" max="1282" width="9.28515625" style="525" customWidth="1"/>
    <col min="1283" max="1283" width="11" style="525" customWidth="1"/>
    <col min="1284" max="1284" width="10.28515625" style="525" customWidth="1"/>
    <col min="1285" max="1285" width="12.140625" style="525" customWidth="1"/>
    <col min="1286" max="1286" width="11.7109375" style="525" customWidth="1"/>
    <col min="1287" max="1287" width="12.28515625" style="525" customWidth="1"/>
    <col min="1288" max="1288" width="11" style="525" customWidth="1"/>
    <col min="1289" max="1289" width="12.85546875" style="525" customWidth="1"/>
    <col min="1290" max="1290" width="14.5703125" style="525" customWidth="1"/>
    <col min="1291" max="1291" width="10.85546875" style="525" customWidth="1"/>
    <col min="1292" max="1292" width="14.140625" style="525" customWidth="1"/>
    <col min="1293" max="1536" width="9.140625" style="525"/>
    <col min="1537" max="1537" width="26.42578125" style="525" customWidth="1"/>
    <col min="1538" max="1538" width="9.28515625" style="525" customWidth="1"/>
    <col min="1539" max="1539" width="11" style="525" customWidth="1"/>
    <col min="1540" max="1540" width="10.28515625" style="525" customWidth="1"/>
    <col min="1541" max="1541" width="12.140625" style="525" customWidth="1"/>
    <col min="1542" max="1542" width="11.7109375" style="525" customWidth="1"/>
    <col min="1543" max="1543" width="12.28515625" style="525" customWidth="1"/>
    <col min="1544" max="1544" width="11" style="525" customWidth="1"/>
    <col min="1545" max="1545" width="12.85546875" style="525" customWidth="1"/>
    <col min="1546" max="1546" width="14.5703125" style="525" customWidth="1"/>
    <col min="1547" max="1547" width="10.85546875" style="525" customWidth="1"/>
    <col min="1548" max="1548" width="14.140625" style="525" customWidth="1"/>
    <col min="1549" max="1792" width="9.140625" style="525"/>
    <col min="1793" max="1793" width="26.42578125" style="525" customWidth="1"/>
    <col min="1794" max="1794" width="9.28515625" style="525" customWidth="1"/>
    <col min="1795" max="1795" width="11" style="525" customWidth="1"/>
    <col min="1796" max="1796" width="10.28515625" style="525" customWidth="1"/>
    <col min="1797" max="1797" width="12.140625" style="525" customWidth="1"/>
    <col min="1798" max="1798" width="11.7109375" style="525" customWidth="1"/>
    <col min="1799" max="1799" width="12.28515625" style="525" customWidth="1"/>
    <col min="1800" max="1800" width="11" style="525" customWidth="1"/>
    <col min="1801" max="1801" width="12.85546875" style="525" customWidth="1"/>
    <col min="1802" max="1802" width="14.5703125" style="525" customWidth="1"/>
    <col min="1803" max="1803" width="10.85546875" style="525" customWidth="1"/>
    <col min="1804" max="1804" width="14.140625" style="525" customWidth="1"/>
    <col min="1805" max="2048" width="9.140625" style="525"/>
    <col min="2049" max="2049" width="26.42578125" style="525" customWidth="1"/>
    <col min="2050" max="2050" width="9.28515625" style="525" customWidth="1"/>
    <col min="2051" max="2051" width="11" style="525" customWidth="1"/>
    <col min="2052" max="2052" width="10.28515625" style="525" customWidth="1"/>
    <col min="2053" max="2053" width="12.140625" style="525" customWidth="1"/>
    <col min="2054" max="2054" width="11.7109375" style="525" customWidth="1"/>
    <col min="2055" max="2055" width="12.28515625" style="525" customWidth="1"/>
    <col min="2056" max="2056" width="11" style="525" customWidth="1"/>
    <col min="2057" max="2057" width="12.85546875" style="525" customWidth="1"/>
    <col min="2058" max="2058" width="14.5703125" style="525" customWidth="1"/>
    <col min="2059" max="2059" width="10.85546875" style="525" customWidth="1"/>
    <col min="2060" max="2060" width="14.140625" style="525" customWidth="1"/>
    <col min="2061" max="2304" width="9.140625" style="525"/>
    <col min="2305" max="2305" width="26.42578125" style="525" customWidth="1"/>
    <col min="2306" max="2306" width="9.28515625" style="525" customWidth="1"/>
    <col min="2307" max="2307" width="11" style="525" customWidth="1"/>
    <col min="2308" max="2308" width="10.28515625" style="525" customWidth="1"/>
    <col min="2309" max="2309" width="12.140625" style="525" customWidth="1"/>
    <col min="2310" max="2310" width="11.7109375" style="525" customWidth="1"/>
    <col min="2311" max="2311" width="12.28515625" style="525" customWidth="1"/>
    <col min="2312" max="2312" width="11" style="525" customWidth="1"/>
    <col min="2313" max="2313" width="12.85546875" style="525" customWidth="1"/>
    <col min="2314" max="2314" width="14.5703125" style="525" customWidth="1"/>
    <col min="2315" max="2315" width="10.85546875" style="525" customWidth="1"/>
    <col min="2316" max="2316" width="14.140625" style="525" customWidth="1"/>
    <col min="2317" max="2560" width="9.140625" style="525"/>
    <col min="2561" max="2561" width="26.42578125" style="525" customWidth="1"/>
    <col min="2562" max="2562" width="9.28515625" style="525" customWidth="1"/>
    <col min="2563" max="2563" width="11" style="525" customWidth="1"/>
    <col min="2564" max="2564" width="10.28515625" style="525" customWidth="1"/>
    <col min="2565" max="2565" width="12.140625" style="525" customWidth="1"/>
    <col min="2566" max="2566" width="11.7109375" style="525" customWidth="1"/>
    <col min="2567" max="2567" width="12.28515625" style="525" customWidth="1"/>
    <col min="2568" max="2568" width="11" style="525" customWidth="1"/>
    <col min="2569" max="2569" width="12.85546875" style="525" customWidth="1"/>
    <col min="2570" max="2570" width="14.5703125" style="525" customWidth="1"/>
    <col min="2571" max="2571" width="10.85546875" style="525" customWidth="1"/>
    <col min="2572" max="2572" width="14.140625" style="525" customWidth="1"/>
    <col min="2573" max="2816" width="9.140625" style="525"/>
    <col min="2817" max="2817" width="26.42578125" style="525" customWidth="1"/>
    <col min="2818" max="2818" width="9.28515625" style="525" customWidth="1"/>
    <col min="2819" max="2819" width="11" style="525" customWidth="1"/>
    <col min="2820" max="2820" width="10.28515625" style="525" customWidth="1"/>
    <col min="2821" max="2821" width="12.140625" style="525" customWidth="1"/>
    <col min="2822" max="2822" width="11.7109375" style="525" customWidth="1"/>
    <col min="2823" max="2823" width="12.28515625" style="525" customWidth="1"/>
    <col min="2824" max="2824" width="11" style="525" customWidth="1"/>
    <col min="2825" max="2825" width="12.85546875" style="525" customWidth="1"/>
    <col min="2826" max="2826" width="14.5703125" style="525" customWidth="1"/>
    <col min="2827" max="2827" width="10.85546875" style="525" customWidth="1"/>
    <col min="2828" max="2828" width="14.140625" style="525" customWidth="1"/>
    <col min="2829" max="3072" width="9.140625" style="525"/>
    <col min="3073" max="3073" width="26.42578125" style="525" customWidth="1"/>
    <col min="3074" max="3074" width="9.28515625" style="525" customWidth="1"/>
    <col min="3075" max="3075" width="11" style="525" customWidth="1"/>
    <col min="3076" max="3076" width="10.28515625" style="525" customWidth="1"/>
    <col min="3077" max="3077" width="12.140625" style="525" customWidth="1"/>
    <col min="3078" max="3078" width="11.7109375" style="525" customWidth="1"/>
    <col min="3079" max="3079" width="12.28515625" style="525" customWidth="1"/>
    <col min="3080" max="3080" width="11" style="525" customWidth="1"/>
    <col min="3081" max="3081" width="12.85546875" style="525" customWidth="1"/>
    <col min="3082" max="3082" width="14.5703125" style="525" customWidth="1"/>
    <col min="3083" max="3083" width="10.85546875" style="525" customWidth="1"/>
    <col min="3084" max="3084" width="14.140625" style="525" customWidth="1"/>
    <col min="3085" max="3328" width="9.140625" style="525"/>
    <col min="3329" max="3329" width="26.42578125" style="525" customWidth="1"/>
    <col min="3330" max="3330" width="9.28515625" style="525" customWidth="1"/>
    <col min="3331" max="3331" width="11" style="525" customWidth="1"/>
    <col min="3332" max="3332" width="10.28515625" style="525" customWidth="1"/>
    <col min="3333" max="3333" width="12.140625" style="525" customWidth="1"/>
    <col min="3334" max="3334" width="11.7109375" style="525" customWidth="1"/>
    <col min="3335" max="3335" width="12.28515625" style="525" customWidth="1"/>
    <col min="3336" max="3336" width="11" style="525" customWidth="1"/>
    <col min="3337" max="3337" width="12.85546875" style="525" customWidth="1"/>
    <col min="3338" max="3338" width="14.5703125" style="525" customWidth="1"/>
    <col min="3339" max="3339" width="10.85546875" style="525" customWidth="1"/>
    <col min="3340" max="3340" width="14.140625" style="525" customWidth="1"/>
    <col min="3341" max="3584" width="9.140625" style="525"/>
    <col min="3585" max="3585" width="26.42578125" style="525" customWidth="1"/>
    <col min="3586" max="3586" width="9.28515625" style="525" customWidth="1"/>
    <col min="3587" max="3587" width="11" style="525" customWidth="1"/>
    <col min="3588" max="3588" width="10.28515625" style="525" customWidth="1"/>
    <col min="3589" max="3589" width="12.140625" style="525" customWidth="1"/>
    <col min="3590" max="3590" width="11.7109375" style="525" customWidth="1"/>
    <col min="3591" max="3591" width="12.28515625" style="525" customWidth="1"/>
    <col min="3592" max="3592" width="11" style="525" customWidth="1"/>
    <col min="3593" max="3593" width="12.85546875" style="525" customWidth="1"/>
    <col min="3594" max="3594" width="14.5703125" style="525" customWidth="1"/>
    <col min="3595" max="3595" width="10.85546875" style="525" customWidth="1"/>
    <col min="3596" max="3596" width="14.140625" style="525" customWidth="1"/>
    <col min="3597" max="3840" width="9.140625" style="525"/>
    <col min="3841" max="3841" width="26.42578125" style="525" customWidth="1"/>
    <col min="3842" max="3842" width="9.28515625" style="525" customWidth="1"/>
    <col min="3843" max="3843" width="11" style="525" customWidth="1"/>
    <col min="3844" max="3844" width="10.28515625" style="525" customWidth="1"/>
    <col min="3845" max="3845" width="12.140625" style="525" customWidth="1"/>
    <col min="3846" max="3846" width="11.7109375" style="525" customWidth="1"/>
    <col min="3847" max="3847" width="12.28515625" style="525" customWidth="1"/>
    <col min="3848" max="3848" width="11" style="525" customWidth="1"/>
    <col min="3849" max="3849" width="12.85546875" style="525" customWidth="1"/>
    <col min="3850" max="3850" width="14.5703125" style="525" customWidth="1"/>
    <col min="3851" max="3851" width="10.85546875" style="525" customWidth="1"/>
    <col min="3852" max="3852" width="14.140625" style="525" customWidth="1"/>
    <col min="3853" max="4096" width="9.140625" style="525"/>
    <col min="4097" max="4097" width="26.42578125" style="525" customWidth="1"/>
    <col min="4098" max="4098" width="9.28515625" style="525" customWidth="1"/>
    <col min="4099" max="4099" width="11" style="525" customWidth="1"/>
    <col min="4100" max="4100" width="10.28515625" style="525" customWidth="1"/>
    <col min="4101" max="4101" width="12.140625" style="525" customWidth="1"/>
    <col min="4102" max="4102" width="11.7109375" style="525" customWidth="1"/>
    <col min="4103" max="4103" width="12.28515625" style="525" customWidth="1"/>
    <col min="4104" max="4104" width="11" style="525" customWidth="1"/>
    <col min="4105" max="4105" width="12.85546875" style="525" customWidth="1"/>
    <col min="4106" max="4106" width="14.5703125" style="525" customWidth="1"/>
    <col min="4107" max="4107" width="10.85546875" style="525" customWidth="1"/>
    <col min="4108" max="4108" width="14.140625" style="525" customWidth="1"/>
    <col min="4109" max="4352" width="9.140625" style="525"/>
    <col min="4353" max="4353" width="26.42578125" style="525" customWidth="1"/>
    <col min="4354" max="4354" width="9.28515625" style="525" customWidth="1"/>
    <col min="4355" max="4355" width="11" style="525" customWidth="1"/>
    <col min="4356" max="4356" width="10.28515625" style="525" customWidth="1"/>
    <col min="4357" max="4357" width="12.140625" style="525" customWidth="1"/>
    <col min="4358" max="4358" width="11.7109375" style="525" customWidth="1"/>
    <col min="4359" max="4359" width="12.28515625" style="525" customWidth="1"/>
    <col min="4360" max="4360" width="11" style="525" customWidth="1"/>
    <col min="4361" max="4361" width="12.85546875" style="525" customWidth="1"/>
    <col min="4362" max="4362" width="14.5703125" style="525" customWidth="1"/>
    <col min="4363" max="4363" width="10.85546875" style="525" customWidth="1"/>
    <col min="4364" max="4364" width="14.140625" style="525" customWidth="1"/>
    <col min="4365" max="4608" width="9.140625" style="525"/>
    <col min="4609" max="4609" width="26.42578125" style="525" customWidth="1"/>
    <col min="4610" max="4610" width="9.28515625" style="525" customWidth="1"/>
    <col min="4611" max="4611" width="11" style="525" customWidth="1"/>
    <col min="4612" max="4612" width="10.28515625" style="525" customWidth="1"/>
    <col min="4613" max="4613" width="12.140625" style="525" customWidth="1"/>
    <col min="4614" max="4614" width="11.7109375" style="525" customWidth="1"/>
    <col min="4615" max="4615" width="12.28515625" style="525" customWidth="1"/>
    <col min="4616" max="4616" width="11" style="525" customWidth="1"/>
    <col min="4617" max="4617" width="12.85546875" style="525" customWidth="1"/>
    <col min="4618" max="4618" width="14.5703125" style="525" customWidth="1"/>
    <col min="4619" max="4619" width="10.85546875" style="525" customWidth="1"/>
    <col min="4620" max="4620" width="14.140625" style="525" customWidth="1"/>
    <col min="4621" max="4864" width="9.140625" style="525"/>
    <col min="4865" max="4865" width="26.42578125" style="525" customWidth="1"/>
    <col min="4866" max="4866" width="9.28515625" style="525" customWidth="1"/>
    <col min="4867" max="4867" width="11" style="525" customWidth="1"/>
    <col min="4868" max="4868" width="10.28515625" style="525" customWidth="1"/>
    <col min="4869" max="4869" width="12.140625" style="525" customWidth="1"/>
    <col min="4870" max="4870" width="11.7109375" style="525" customWidth="1"/>
    <col min="4871" max="4871" width="12.28515625" style="525" customWidth="1"/>
    <col min="4872" max="4872" width="11" style="525" customWidth="1"/>
    <col min="4873" max="4873" width="12.85546875" style="525" customWidth="1"/>
    <col min="4874" max="4874" width="14.5703125" style="525" customWidth="1"/>
    <col min="4875" max="4875" width="10.85546875" style="525" customWidth="1"/>
    <col min="4876" max="4876" width="14.140625" style="525" customWidth="1"/>
    <col min="4877" max="5120" width="9.140625" style="525"/>
    <col min="5121" max="5121" width="26.42578125" style="525" customWidth="1"/>
    <col min="5122" max="5122" width="9.28515625" style="525" customWidth="1"/>
    <col min="5123" max="5123" width="11" style="525" customWidth="1"/>
    <col min="5124" max="5124" width="10.28515625" style="525" customWidth="1"/>
    <col min="5125" max="5125" width="12.140625" style="525" customWidth="1"/>
    <col min="5126" max="5126" width="11.7109375" style="525" customWidth="1"/>
    <col min="5127" max="5127" width="12.28515625" style="525" customWidth="1"/>
    <col min="5128" max="5128" width="11" style="525" customWidth="1"/>
    <col min="5129" max="5129" width="12.85546875" style="525" customWidth="1"/>
    <col min="5130" max="5130" width="14.5703125" style="525" customWidth="1"/>
    <col min="5131" max="5131" width="10.85546875" style="525" customWidth="1"/>
    <col min="5132" max="5132" width="14.140625" style="525" customWidth="1"/>
    <col min="5133" max="5376" width="9.140625" style="525"/>
    <col min="5377" max="5377" width="26.42578125" style="525" customWidth="1"/>
    <col min="5378" max="5378" width="9.28515625" style="525" customWidth="1"/>
    <col min="5379" max="5379" width="11" style="525" customWidth="1"/>
    <col min="5380" max="5380" width="10.28515625" style="525" customWidth="1"/>
    <col min="5381" max="5381" width="12.140625" style="525" customWidth="1"/>
    <col min="5382" max="5382" width="11.7109375" style="525" customWidth="1"/>
    <col min="5383" max="5383" width="12.28515625" style="525" customWidth="1"/>
    <col min="5384" max="5384" width="11" style="525" customWidth="1"/>
    <col min="5385" max="5385" width="12.85546875" style="525" customWidth="1"/>
    <col min="5386" max="5386" width="14.5703125" style="525" customWidth="1"/>
    <col min="5387" max="5387" width="10.85546875" style="525" customWidth="1"/>
    <col min="5388" max="5388" width="14.140625" style="525" customWidth="1"/>
    <col min="5389" max="5632" width="9.140625" style="525"/>
    <col min="5633" max="5633" width="26.42578125" style="525" customWidth="1"/>
    <col min="5634" max="5634" width="9.28515625" style="525" customWidth="1"/>
    <col min="5635" max="5635" width="11" style="525" customWidth="1"/>
    <col min="5636" max="5636" width="10.28515625" style="525" customWidth="1"/>
    <col min="5637" max="5637" width="12.140625" style="525" customWidth="1"/>
    <col min="5638" max="5638" width="11.7109375" style="525" customWidth="1"/>
    <col min="5639" max="5639" width="12.28515625" style="525" customWidth="1"/>
    <col min="5640" max="5640" width="11" style="525" customWidth="1"/>
    <col min="5641" max="5641" width="12.85546875" style="525" customWidth="1"/>
    <col min="5642" max="5642" width="14.5703125" style="525" customWidth="1"/>
    <col min="5643" max="5643" width="10.85546875" style="525" customWidth="1"/>
    <col min="5644" max="5644" width="14.140625" style="525" customWidth="1"/>
    <col min="5645" max="5888" width="9.140625" style="525"/>
    <col min="5889" max="5889" width="26.42578125" style="525" customWidth="1"/>
    <col min="5890" max="5890" width="9.28515625" style="525" customWidth="1"/>
    <col min="5891" max="5891" width="11" style="525" customWidth="1"/>
    <col min="5892" max="5892" width="10.28515625" style="525" customWidth="1"/>
    <col min="5893" max="5893" width="12.140625" style="525" customWidth="1"/>
    <col min="5894" max="5894" width="11.7109375" style="525" customWidth="1"/>
    <col min="5895" max="5895" width="12.28515625" style="525" customWidth="1"/>
    <col min="5896" max="5896" width="11" style="525" customWidth="1"/>
    <col min="5897" max="5897" width="12.85546875" style="525" customWidth="1"/>
    <col min="5898" max="5898" width="14.5703125" style="525" customWidth="1"/>
    <col min="5899" max="5899" width="10.85546875" style="525" customWidth="1"/>
    <col min="5900" max="5900" width="14.140625" style="525" customWidth="1"/>
    <col min="5901" max="6144" width="9.140625" style="525"/>
    <col min="6145" max="6145" width="26.42578125" style="525" customWidth="1"/>
    <col min="6146" max="6146" width="9.28515625" style="525" customWidth="1"/>
    <col min="6147" max="6147" width="11" style="525" customWidth="1"/>
    <col min="6148" max="6148" width="10.28515625" style="525" customWidth="1"/>
    <col min="6149" max="6149" width="12.140625" style="525" customWidth="1"/>
    <col min="6150" max="6150" width="11.7109375" style="525" customWidth="1"/>
    <col min="6151" max="6151" width="12.28515625" style="525" customWidth="1"/>
    <col min="6152" max="6152" width="11" style="525" customWidth="1"/>
    <col min="6153" max="6153" width="12.85546875" style="525" customWidth="1"/>
    <col min="6154" max="6154" width="14.5703125" style="525" customWidth="1"/>
    <col min="6155" max="6155" width="10.85546875" style="525" customWidth="1"/>
    <col min="6156" max="6156" width="14.140625" style="525" customWidth="1"/>
    <col min="6157" max="6400" width="9.140625" style="525"/>
    <col min="6401" max="6401" width="26.42578125" style="525" customWidth="1"/>
    <col min="6402" max="6402" width="9.28515625" style="525" customWidth="1"/>
    <col min="6403" max="6403" width="11" style="525" customWidth="1"/>
    <col min="6404" max="6404" width="10.28515625" style="525" customWidth="1"/>
    <col min="6405" max="6405" width="12.140625" style="525" customWidth="1"/>
    <col min="6406" max="6406" width="11.7109375" style="525" customWidth="1"/>
    <col min="6407" max="6407" width="12.28515625" style="525" customWidth="1"/>
    <col min="6408" max="6408" width="11" style="525" customWidth="1"/>
    <col min="6409" max="6409" width="12.85546875" style="525" customWidth="1"/>
    <col min="6410" max="6410" width="14.5703125" style="525" customWidth="1"/>
    <col min="6411" max="6411" width="10.85546875" style="525" customWidth="1"/>
    <col min="6412" max="6412" width="14.140625" style="525" customWidth="1"/>
    <col min="6413" max="6656" width="9.140625" style="525"/>
    <col min="6657" max="6657" width="26.42578125" style="525" customWidth="1"/>
    <col min="6658" max="6658" width="9.28515625" style="525" customWidth="1"/>
    <col min="6659" max="6659" width="11" style="525" customWidth="1"/>
    <col min="6660" max="6660" width="10.28515625" style="525" customWidth="1"/>
    <col min="6661" max="6661" width="12.140625" style="525" customWidth="1"/>
    <col min="6662" max="6662" width="11.7109375" style="525" customWidth="1"/>
    <col min="6663" max="6663" width="12.28515625" style="525" customWidth="1"/>
    <col min="6664" max="6664" width="11" style="525" customWidth="1"/>
    <col min="6665" max="6665" width="12.85546875" style="525" customWidth="1"/>
    <col min="6666" max="6666" width="14.5703125" style="525" customWidth="1"/>
    <col min="6667" max="6667" width="10.85546875" style="525" customWidth="1"/>
    <col min="6668" max="6668" width="14.140625" style="525" customWidth="1"/>
    <col min="6669" max="6912" width="9.140625" style="525"/>
    <col min="6913" max="6913" width="26.42578125" style="525" customWidth="1"/>
    <col min="6914" max="6914" width="9.28515625" style="525" customWidth="1"/>
    <col min="6915" max="6915" width="11" style="525" customWidth="1"/>
    <col min="6916" max="6916" width="10.28515625" style="525" customWidth="1"/>
    <col min="6917" max="6917" width="12.140625" style="525" customWidth="1"/>
    <col min="6918" max="6918" width="11.7109375" style="525" customWidth="1"/>
    <col min="6919" max="6919" width="12.28515625" style="525" customWidth="1"/>
    <col min="6920" max="6920" width="11" style="525" customWidth="1"/>
    <col min="6921" max="6921" width="12.85546875" style="525" customWidth="1"/>
    <col min="6922" max="6922" width="14.5703125" style="525" customWidth="1"/>
    <col min="6923" max="6923" width="10.85546875" style="525" customWidth="1"/>
    <col min="6924" max="6924" width="14.140625" style="525" customWidth="1"/>
    <col min="6925" max="7168" width="9.140625" style="525"/>
    <col min="7169" max="7169" width="26.42578125" style="525" customWidth="1"/>
    <col min="7170" max="7170" width="9.28515625" style="525" customWidth="1"/>
    <col min="7171" max="7171" width="11" style="525" customWidth="1"/>
    <col min="7172" max="7172" width="10.28515625" style="525" customWidth="1"/>
    <col min="7173" max="7173" width="12.140625" style="525" customWidth="1"/>
    <col min="7174" max="7174" width="11.7109375" style="525" customWidth="1"/>
    <col min="7175" max="7175" width="12.28515625" style="525" customWidth="1"/>
    <col min="7176" max="7176" width="11" style="525" customWidth="1"/>
    <col min="7177" max="7177" width="12.85546875" style="525" customWidth="1"/>
    <col min="7178" max="7178" width="14.5703125" style="525" customWidth="1"/>
    <col min="7179" max="7179" width="10.85546875" style="525" customWidth="1"/>
    <col min="7180" max="7180" width="14.140625" style="525" customWidth="1"/>
    <col min="7181" max="7424" width="9.140625" style="525"/>
    <col min="7425" max="7425" width="26.42578125" style="525" customWidth="1"/>
    <col min="7426" max="7426" width="9.28515625" style="525" customWidth="1"/>
    <col min="7427" max="7427" width="11" style="525" customWidth="1"/>
    <col min="7428" max="7428" width="10.28515625" style="525" customWidth="1"/>
    <col min="7429" max="7429" width="12.140625" style="525" customWidth="1"/>
    <col min="7430" max="7430" width="11.7109375" style="525" customWidth="1"/>
    <col min="7431" max="7431" width="12.28515625" style="525" customWidth="1"/>
    <col min="7432" max="7432" width="11" style="525" customWidth="1"/>
    <col min="7433" max="7433" width="12.85546875" style="525" customWidth="1"/>
    <col min="7434" max="7434" width="14.5703125" style="525" customWidth="1"/>
    <col min="7435" max="7435" width="10.85546875" style="525" customWidth="1"/>
    <col min="7436" max="7436" width="14.140625" style="525" customWidth="1"/>
    <col min="7437" max="7680" width="9.140625" style="525"/>
    <col min="7681" max="7681" width="26.42578125" style="525" customWidth="1"/>
    <col min="7682" max="7682" width="9.28515625" style="525" customWidth="1"/>
    <col min="7683" max="7683" width="11" style="525" customWidth="1"/>
    <col min="7684" max="7684" width="10.28515625" style="525" customWidth="1"/>
    <col min="7685" max="7685" width="12.140625" style="525" customWidth="1"/>
    <col min="7686" max="7686" width="11.7109375" style="525" customWidth="1"/>
    <col min="7687" max="7687" width="12.28515625" style="525" customWidth="1"/>
    <col min="7688" max="7688" width="11" style="525" customWidth="1"/>
    <col min="7689" max="7689" width="12.85546875" style="525" customWidth="1"/>
    <col min="7690" max="7690" width="14.5703125" style="525" customWidth="1"/>
    <col min="7691" max="7691" width="10.85546875" style="525" customWidth="1"/>
    <col min="7692" max="7692" width="14.140625" style="525" customWidth="1"/>
    <col min="7693" max="7936" width="9.140625" style="525"/>
    <col min="7937" max="7937" width="26.42578125" style="525" customWidth="1"/>
    <col min="7938" max="7938" width="9.28515625" style="525" customWidth="1"/>
    <col min="7939" max="7939" width="11" style="525" customWidth="1"/>
    <col min="7940" max="7940" width="10.28515625" style="525" customWidth="1"/>
    <col min="7941" max="7941" width="12.140625" style="525" customWidth="1"/>
    <col min="7942" max="7942" width="11.7109375" style="525" customWidth="1"/>
    <col min="7943" max="7943" width="12.28515625" style="525" customWidth="1"/>
    <col min="7944" max="7944" width="11" style="525" customWidth="1"/>
    <col min="7945" max="7945" width="12.85546875" style="525" customWidth="1"/>
    <col min="7946" max="7946" width="14.5703125" style="525" customWidth="1"/>
    <col min="7947" max="7947" width="10.85546875" style="525" customWidth="1"/>
    <col min="7948" max="7948" width="14.140625" style="525" customWidth="1"/>
    <col min="7949" max="8192" width="9.140625" style="525"/>
    <col min="8193" max="8193" width="26.42578125" style="525" customWidth="1"/>
    <col min="8194" max="8194" width="9.28515625" style="525" customWidth="1"/>
    <col min="8195" max="8195" width="11" style="525" customWidth="1"/>
    <col min="8196" max="8196" width="10.28515625" style="525" customWidth="1"/>
    <col min="8197" max="8197" width="12.140625" style="525" customWidth="1"/>
    <col min="8198" max="8198" width="11.7109375" style="525" customWidth="1"/>
    <col min="8199" max="8199" width="12.28515625" style="525" customWidth="1"/>
    <col min="8200" max="8200" width="11" style="525" customWidth="1"/>
    <col min="8201" max="8201" width="12.85546875" style="525" customWidth="1"/>
    <col min="8202" max="8202" width="14.5703125" style="525" customWidth="1"/>
    <col min="8203" max="8203" width="10.85546875" style="525" customWidth="1"/>
    <col min="8204" max="8204" width="14.140625" style="525" customWidth="1"/>
    <col min="8205" max="8448" width="9.140625" style="525"/>
    <col min="8449" max="8449" width="26.42578125" style="525" customWidth="1"/>
    <col min="8450" max="8450" width="9.28515625" style="525" customWidth="1"/>
    <col min="8451" max="8451" width="11" style="525" customWidth="1"/>
    <col min="8452" max="8452" width="10.28515625" style="525" customWidth="1"/>
    <col min="8453" max="8453" width="12.140625" style="525" customWidth="1"/>
    <col min="8454" max="8454" width="11.7109375" style="525" customWidth="1"/>
    <col min="8455" max="8455" width="12.28515625" style="525" customWidth="1"/>
    <col min="8456" max="8456" width="11" style="525" customWidth="1"/>
    <col min="8457" max="8457" width="12.85546875" style="525" customWidth="1"/>
    <col min="8458" max="8458" width="14.5703125" style="525" customWidth="1"/>
    <col min="8459" max="8459" width="10.85546875" style="525" customWidth="1"/>
    <col min="8460" max="8460" width="14.140625" style="525" customWidth="1"/>
    <col min="8461" max="8704" width="9.140625" style="525"/>
    <col min="8705" max="8705" width="26.42578125" style="525" customWidth="1"/>
    <col min="8706" max="8706" width="9.28515625" style="525" customWidth="1"/>
    <col min="8707" max="8707" width="11" style="525" customWidth="1"/>
    <col min="8708" max="8708" width="10.28515625" style="525" customWidth="1"/>
    <col min="8709" max="8709" width="12.140625" style="525" customWidth="1"/>
    <col min="8710" max="8710" width="11.7109375" style="525" customWidth="1"/>
    <col min="8711" max="8711" width="12.28515625" style="525" customWidth="1"/>
    <col min="8712" max="8712" width="11" style="525" customWidth="1"/>
    <col min="8713" max="8713" width="12.85546875" style="525" customWidth="1"/>
    <col min="8714" max="8714" width="14.5703125" style="525" customWidth="1"/>
    <col min="8715" max="8715" width="10.85546875" style="525" customWidth="1"/>
    <col min="8716" max="8716" width="14.140625" style="525" customWidth="1"/>
    <col min="8717" max="8960" width="9.140625" style="525"/>
    <col min="8961" max="8961" width="26.42578125" style="525" customWidth="1"/>
    <col min="8962" max="8962" width="9.28515625" style="525" customWidth="1"/>
    <col min="8963" max="8963" width="11" style="525" customWidth="1"/>
    <col min="8964" max="8964" width="10.28515625" style="525" customWidth="1"/>
    <col min="8965" max="8965" width="12.140625" style="525" customWidth="1"/>
    <col min="8966" max="8966" width="11.7109375" style="525" customWidth="1"/>
    <col min="8967" max="8967" width="12.28515625" style="525" customWidth="1"/>
    <col min="8968" max="8968" width="11" style="525" customWidth="1"/>
    <col min="8969" max="8969" width="12.85546875" style="525" customWidth="1"/>
    <col min="8970" max="8970" width="14.5703125" style="525" customWidth="1"/>
    <col min="8971" max="8971" width="10.85546875" style="525" customWidth="1"/>
    <col min="8972" max="8972" width="14.140625" style="525" customWidth="1"/>
    <col min="8973" max="9216" width="9.140625" style="525"/>
    <col min="9217" max="9217" width="26.42578125" style="525" customWidth="1"/>
    <col min="9218" max="9218" width="9.28515625" style="525" customWidth="1"/>
    <col min="9219" max="9219" width="11" style="525" customWidth="1"/>
    <col min="9220" max="9220" width="10.28515625" style="525" customWidth="1"/>
    <col min="9221" max="9221" width="12.140625" style="525" customWidth="1"/>
    <col min="9222" max="9222" width="11.7109375" style="525" customWidth="1"/>
    <col min="9223" max="9223" width="12.28515625" style="525" customWidth="1"/>
    <col min="9224" max="9224" width="11" style="525" customWidth="1"/>
    <col min="9225" max="9225" width="12.85546875" style="525" customWidth="1"/>
    <col min="9226" max="9226" width="14.5703125" style="525" customWidth="1"/>
    <col min="9227" max="9227" width="10.85546875" style="525" customWidth="1"/>
    <col min="9228" max="9228" width="14.140625" style="525" customWidth="1"/>
    <col min="9229" max="9472" width="9.140625" style="525"/>
    <col min="9473" max="9473" width="26.42578125" style="525" customWidth="1"/>
    <col min="9474" max="9474" width="9.28515625" style="525" customWidth="1"/>
    <col min="9475" max="9475" width="11" style="525" customWidth="1"/>
    <col min="9476" max="9476" width="10.28515625" style="525" customWidth="1"/>
    <col min="9477" max="9477" width="12.140625" style="525" customWidth="1"/>
    <col min="9478" max="9478" width="11.7109375" style="525" customWidth="1"/>
    <col min="9479" max="9479" width="12.28515625" style="525" customWidth="1"/>
    <col min="9480" max="9480" width="11" style="525" customWidth="1"/>
    <col min="9481" max="9481" width="12.85546875" style="525" customWidth="1"/>
    <col min="9482" max="9482" width="14.5703125" style="525" customWidth="1"/>
    <col min="9483" max="9483" width="10.85546875" style="525" customWidth="1"/>
    <col min="9484" max="9484" width="14.140625" style="525" customWidth="1"/>
    <col min="9485" max="9728" width="9.140625" style="525"/>
    <col min="9729" max="9729" width="26.42578125" style="525" customWidth="1"/>
    <col min="9730" max="9730" width="9.28515625" style="525" customWidth="1"/>
    <col min="9731" max="9731" width="11" style="525" customWidth="1"/>
    <col min="9732" max="9732" width="10.28515625" style="525" customWidth="1"/>
    <col min="9733" max="9733" width="12.140625" style="525" customWidth="1"/>
    <col min="9734" max="9734" width="11.7109375" style="525" customWidth="1"/>
    <col min="9735" max="9735" width="12.28515625" style="525" customWidth="1"/>
    <col min="9736" max="9736" width="11" style="525" customWidth="1"/>
    <col min="9737" max="9737" width="12.85546875" style="525" customWidth="1"/>
    <col min="9738" max="9738" width="14.5703125" style="525" customWidth="1"/>
    <col min="9739" max="9739" width="10.85546875" style="525" customWidth="1"/>
    <col min="9740" max="9740" width="14.140625" style="525" customWidth="1"/>
    <col min="9741" max="9984" width="9.140625" style="525"/>
    <col min="9985" max="9985" width="26.42578125" style="525" customWidth="1"/>
    <col min="9986" max="9986" width="9.28515625" style="525" customWidth="1"/>
    <col min="9987" max="9987" width="11" style="525" customWidth="1"/>
    <col min="9988" max="9988" width="10.28515625" style="525" customWidth="1"/>
    <col min="9989" max="9989" width="12.140625" style="525" customWidth="1"/>
    <col min="9990" max="9990" width="11.7109375" style="525" customWidth="1"/>
    <col min="9991" max="9991" width="12.28515625" style="525" customWidth="1"/>
    <col min="9992" max="9992" width="11" style="525" customWidth="1"/>
    <col min="9993" max="9993" width="12.85546875" style="525" customWidth="1"/>
    <col min="9994" max="9994" width="14.5703125" style="525" customWidth="1"/>
    <col min="9995" max="9995" width="10.85546875" style="525" customWidth="1"/>
    <col min="9996" max="9996" width="14.140625" style="525" customWidth="1"/>
    <col min="9997" max="10240" width="9.140625" style="525"/>
    <col min="10241" max="10241" width="26.42578125" style="525" customWidth="1"/>
    <col min="10242" max="10242" width="9.28515625" style="525" customWidth="1"/>
    <col min="10243" max="10243" width="11" style="525" customWidth="1"/>
    <col min="10244" max="10244" width="10.28515625" style="525" customWidth="1"/>
    <col min="10245" max="10245" width="12.140625" style="525" customWidth="1"/>
    <col min="10246" max="10246" width="11.7109375" style="525" customWidth="1"/>
    <col min="10247" max="10247" width="12.28515625" style="525" customWidth="1"/>
    <col min="10248" max="10248" width="11" style="525" customWidth="1"/>
    <col min="10249" max="10249" width="12.85546875" style="525" customWidth="1"/>
    <col min="10250" max="10250" width="14.5703125" style="525" customWidth="1"/>
    <col min="10251" max="10251" width="10.85546875" style="525" customWidth="1"/>
    <col min="10252" max="10252" width="14.140625" style="525" customWidth="1"/>
    <col min="10253" max="10496" width="9.140625" style="525"/>
    <col min="10497" max="10497" width="26.42578125" style="525" customWidth="1"/>
    <col min="10498" max="10498" width="9.28515625" style="525" customWidth="1"/>
    <col min="10499" max="10499" width="11" style="525" customWidth="1"/>
    <col min="10500" max="10500" width="10.28515625" style="525" customWidth="1"/>
    <col min="10501" max="10501" width="12.140625" style="525" customWidth="1"/>
    <col min="10502" max="10502" width="11.7109375" style="525" customWidth="1"/>
    <col min="10503" max="10503" width="12.28515625" style="525" customWidth="1"/>
    <col min="10504" max="10504" width="11" style="525" customWidth="1"/>
    <col min="10505" max="10505" width="12.85546875" style="525" customWidth="1"/>
    <col min="10506" max="10506" width="14.5703125" style="525" customWidth="1"/>
    <col min="10507" max="10507" width="10.85546875" style="525" customWidth="1"/>
    <col min="10508" max="10508" width="14.140625" style="525" customWidth="1"/>
    <col min="10509" max="10752" width="9.140625" style="525"/>
    <col min="10753" max="10753" width="26.42578125" style="525" customWidth="1"/>
    <col min="10754" max="10754" width="9.28515625" style="525" customWidth="1"/>
    <col min="10755" max="10755" width="11" style="525" customWidth="1"/>
    <col min="10756" max="10756" width="10.28515625" style="525" customWidth="1"/>
    <col min="10757" max="10757" width="12.140625" style="525" customWidth="1"/>
    <col min="10758" max="10758" width="11.7109375" style="525" customWidth="1"/>
    <col min="10759" max="10759" width="12.28515625" style="525" customWidth="1"/>
    <col min="10760" max="10760" width="11" style="525" customWidth="1"/>
    <col min="10761" max="10761" width="12.85546875" style="525" customWidth="1"/>
    <col min="10762" max="10762" width="14.5703125" style="525" customWidth="1"/>
    <col min="10763" max="10763" width="10.85546875" style="525" customWidth="1"/>
    <col min="10764" max="10764" width="14.140625" style="525" customWidth="1"/>
    <col min="10765" max="11008" width="9.140625" style="525"/>
    <col min="11009" max="11009" width="26.42578125" style="525" customWidth="1"/>
    <col min="11010" max="11010" width="9.28515625" style="525" customWidth="1"/>
    <col min="11011" max="11011" width="11" style="525" customWidth="1"/>
    <col min="11012" max="11012" width="10.28515625" style="525" customWidth="1"/>
    <col min="11013" max="11013" width="12.140625" style="525" customWidth="1"/>
    <col min="11014" max="11014" width="11.7109375" style="525" customWidth="1"/>
    <col min="11015" max="11015" width="12.28515625" style="525" customWidth="1"/>
    <col min="11016" max="11016" width="11" style="525" customWidth="1"/>
    <col min="11017" max="11017" width="12.85546875" style="525" customWidth="1"/>
    <col min="11018" max="11018" width="14.5703125" style="525" customWidth="1"/>
    <col min="11019" max="11019" width="10.85546875" style="525" customWidth="1"/>
    <col min="11020" max="11020" width="14.140625" style="525" customWidth="1"/>
    <col min="11021" max="11264" width="9.140625" style="525"/>
    <col min="11265" max="11265" width="26.42578125" style="525" customWidth="1"/>
    <col min="11266" max="11266" width="9.28515625" style="525" customWidth="1"/>
    <col min="11267" max="11267" width="11" style="525" customWidth="1"/>
    <col min="11268" max="11268" width="10.28515625" style="525" customWidth="1"/>
    <col min="11269" max="11269" width="12.140625" style="525" customWidth="1"/>
    <col min="11270" max="11270" width="11.7109375" style="525" customWidth="1"/>
    <col min="11271" max="11271" width="12.28515625" style="525" customWidth="1"/>
    <col min="11272" max="11272" width="11" style="525" customWidth="1"/>
    <col min="11273" max="11273" width="12.85546875" style="525" customWidth="1"/>
    <col min="11274" max="11274" width="14.5703125" style="525" customWidth="1"/>
    <col min="11275" max="11275" width="10.85546875" style="525" customWidth="1"/>
    <col min="11276" max="11276" width="14.140625" style="525" customWidth="1"/>
    <col min="11277" max="11520" width="9.140625" style="525"/>
    <col min="11521" max="11521" width="26.42578125" style="525" customWidth="1"/>
    <col min="11522" max="11522" width="9.28515625" style="525" customWidth="1"/>
    <col min="11523" max="11523" width="11" style="525" customWidth="1"/>
    <col min="11524" max="11524" width="10.28515625" style="525" customWidth="1"/>
    <col min="11525" max="11525" width="12.140625" style="525" customWidth="1"/>
    <col min="11526" max="11526" width="11.7109375" style="525" customWidth="1"/>
    <col min="11527" max="11527" width="12.28515625" style="525" customWidth="1"/>
    <col min="11528" max="11528" width="11" style="525" customWidth="1"/>
    <col min="11529" max="11529" width="12.85546875" style="525" customWidth="1"/>
    <col min="11530" max="11530" width="14.5703125" style="525" customWidth="1"/>
    <col min="11531" max="11531" width="10.85546875" style="525" customWidth="1"/>
    <col min="11532" max="11532" width="14.140625" style="525" customWidth="1"/>
    <col min="11533" max="11776" width="9.140625" style="525"/>
    <col min="11777" max="11777" width="26.42578125" style="525" customWidth="1"/>
    <col min="11778" max="11778" width="9.28515625" style="525" customWidth="1"/>
    <col min="11779" max="11779" width="11" style="525" customWidth="1"/>
    <col min="11780" max="11780" width="10.28515625" style="525" customWidth="1"/>
    <col min="11781" max="11781" width="12.140625" style="525" customWidth="1"/>
    <col min="11782" max="11782" width="11.7109375" style="525" customWidth="1"/>
    <col min="11783" max="11783" width="12.28515625" style="525" customWidth="1"/>
    <col min="11784" max="11784" width="11" style="525" customWidth="1"/>
    <col min="11785" max="11785" width="12.85546875" style="525" customWidth="1"/>
    <col min="11786" max="11786" width="14.5703125" style="525" customWidth="1"/>
    <col min="11787" max="11787" width="10.85546875" style="525" customWidth="1"/>
    <col min="11788" max="11788" width="14.140625" style="525" customWidth="1"/>
    <col min="11789" max="12032" width="9.140625" style="525"/>
    <col min="12033" max="12033" width="26.42578125" style="525" customWidth="1"/>
    <col min="12034" max="12034" width="9.28515625" style="525" customWidth="1"/>
    <col min="12035" max="12035" width="11" style="525" customWidth="1"/>
    <col min="12036" max="12036" width="10.28515625" style="525" customWidth="1"/>
    <col min="12037" max="12037" width="12.140625" style="525" customWidth="1"/>
    <col min="12038" max="12038" width="11.7109375" style="525" customWidth="1"/>
    <col min="12039" max="12039" width="12.28515625" style="525" customWidth="1"/>
    <col min="12040" max="12040" width="11" style="525" customWidth="1"/>
    <col min="12041" max="12041" width="12.85546875" style="525" customWidth="1"/>
    <col min="12042" max="12042" width="14.5703125" style="525" customWidth="1"/>
    <col min="12043" max="12043" width="10.85546875" style="525" customWidth="1"/>
    <col min="12044" max="12044" width="14.140625" style="525" customWidth="1"/>
    <col min="12045" max="12288" width="9.140625" style="525"/>
    <col min="12289" max="12289" width="26.42578125" style="525" customWidth="1"/>
    <col min="12290" max="12290" width="9.28515625" style="525" customWidth="1"/>
    <col min="12291" max="12291" width="11" style="525" customWidth="1"/>
    <col min="12292" max="12292" width="10.28515625" style="525" customWidth="1"/>
    <col min="12293" max="12293" width="12.140625" style="525" customWidth="1"/>
    <col min="12294" max="12294" width="11.7109375" style="525" customWidth="1"/>
    <col min="12295" max="12295" width="12.28515625" style="525" customWidth="1"/>
    <col min="12296" max="12296" width="11" style="525" customWidth="1"/>
    <col min="12297" max="12297" width="12.85546875" style="525" customWidth="1"/>
    <col min="12298" max="12298" width="14.5703125" style="525" customWidth="1"/>
    <col min="12299" max="12299" width="10.85546875" style="525" customWidth="1"/>
    <col min="12300" max="12300" width="14.140625" style="525" customWidth="1"/>
    <col min="12301" max="12544" width="9.140625" style="525"/>
    <col min="12545" max="12545" width="26.42578125" style="525" customWidth="1"/>
    <col min="12546" max="12546" width="9.28515625" style="525" customWidth="1"/>
    <col min="12547" max="12547" width="11" style="525" customWidth="1"/>
    <col min="12548" max="12548" width="10.28515625" style="525" customWidth="1"/>
    <col min="12549" max="12549" width="12.140625" style="525" customWidth="1"/>
    <col min="12550" max="12550" width="11.7109375" style="525" customWidth="1"/>
    <col min="12551" max="12551" width="12.28515625" style="525" customWidth="1"/>
    <col min="12552" max="12552" width="11" style="525" customWidth="1"/>
    <col min="12553" max="12553" width="12.85546875" style="525" customWidth="1"/>
    <col min="12554" max="12554" width="14.5703125" style="525" customWidth="1"/>
    <col min="12555" max="12555" width="10.85546875" style="525" customWidth="1"/>
    <col min="12556" max="12556" width="14.140625" style="525" customWidth="1"/>
    <col min="12557" max="12800" width="9.140625" style="525"/>
    <col min="12801" max="12801" width="26.42578125" style="525" customWidth="1"/>
    <col min="12802" max="12802" width="9.28515625" style="525" customWidth="1"/>
    <col min="12803" max="12803" width="11" style="525" customWidth="1"/>
    <col min="12804" max="12804" width="10.28515625" style="525" customWidth="1"/>
    <col min="12805" max="12805" width="12.140625" style="525" customWidth="1"/>
    <col min="12806" max="12806" width="11.7109375" style="525" customWidth="1"/>
    <col min="12807" max="12807" width="12.28515625" style="525" customWidth="1"/>
    <col min="12808" max="12808" width="11" style="525" customWidth="1"/>
    <col min="12809" max="12809" width="12.85546875" style="525" customWidth="1"/>
    <col min="12810" max="12810" width="14.5703125" style="525" customWidth="1"/>
    <col min="12811" max="12811" width="10.85546875" style="525" customWidth="1"/>
    <col min="12812" max="12812" width="14.140625" style="525" customWidth="1"/>
    <col min="12813" max="13056" width="9.140625" style="525"/>
    <col min="13057" max="13057" width="26.42578125" style="525" customWidth="1"/>
    <col min="13058" max="13058" width="9.28515625" style="525" customWidth="1"/>
    <col min="13059" max="13059" width="11" style="525" customWidth="1"/>
    <col min="13060" max="13060" width="10.28515625" style="525" customWidth="1"/>
    <col min="13061" max="13061" width="12.140625" style="525" customWidth="1"/>
    <col min="13062" max="13062" width="11.7109375" style="525" customWidth="1"/>
    <col min="13063" max="13063" width="12.28515625" style="525" customWidth="1"/>
    <col min="13064" max="13064" width="11" style="525" customWidth="1"/>
    <col min="13065" max="13065" width="12.85546875" style="525" customWidth="1"/>
    <col min="13066" max="13066" width="14.5703125" style="525" customWidth="1"/>
    <col min="13067" max="13067" width="10.85546875" style="525" customWidth="1"/>
    <col min="13068" max="13068" width="14.140625" style="525" customWidth="1"/>
    <col min="13069" max="13312" width="9.140625" style="525"/>
    <col min="13313" max="13313" width="26.42578125" style="525" customWidth="1"/>
    <col min="13314" max="13314" width="9.28515625" style="525" customWidth="1"/>
    <col min="13315" max="13315" width="11" style="525" customWidth="1"/>
    <col min="13316" max="13316" width="10.28515625" style="525" customWidth="1"/>
    <col min="13317" max="13317" width="12.140625" style="525" customWidth="1"/>
    <col min="13318" max="13318" width="11.7109375" style="525" customWidth="1"/>
    <col min="13319" max="13319" width="12.28515625" style="525" customWidth="1"/>
    <col min="13320" max="13320" width="11" style="525" customWidth="1"/>
    <col min="13321" max="13321" width="12.85546875" style="525" customWidth="1"/>
    <col min="13322" max="13322" width="14.5703125" style="525" customWidth="1"/>
    <col min="13323" max="13323" width="10.85546875" style="525" customWidth="1"/>
    <col min="13324" max="13324" width="14.140625" style="525" customWidth="1"/>
    <col min="13325" max="13568" width="9.140625" style="525"/>
    <col min="13569" max="13569" width="26.42578125" style="525" customWidth="1"/>
    <col min="13570" max="13570" width="9.28515625" style="525" customWidth="1"/>
    <col min="13571" max="13571" width="11" style="525" customWidth="1"/>
    <col min="13572" max="13572" width="10.28515625" style="525" customWidth="1"/>
    <col min="13573" max="13573" width="12.140625" style="525" customWidth="1"/>
    <col min="13574" max="13574" width="11.7109375" style="525" customWidth="1"/>
    <col min="13575" max="13575" width="12.28515625" style="525" customWidth="1"/>
    <col min="13576" max="13576" width="11" style="525" customWidth="1"/>
    <col min="13577" max="13577" width="12.85546875" style="525" customWidth="1"/>
    <col min="13578" max="13578" width="14.5703125" style="525" customWidth="1"/>
    <col min="13579" max="13579" width="10.85546875" style="525" customWidth="1"/>
    <col min="13580" max="13580" width="14.140625" style="525" customWidth="1"/>
    <col min="13581" max="13824" width="9.140625" style="525"/>
    <col min="13825" max="13825" width="26.42578125" style="525" customWidth="1"/>
    <col min="13826" max="13826" width="9.28515625" style="525" customWidth="1"/>
    <col min="13827" max="13827" width="11" style="525" customWidth="1"/>
    <col min="13828" max="13828" width="10.28515625" style="525" customWidth="1"/>
    <col min="13829" max="13829" width="12.140625" style="525" customWidth="1"/>
    <col min="13830" max="13830" width="11.7109375" style="525" customWidth="1"/>
    <col min="13831" max="13831" width="12.28515625" style="525" customWidth="1"/>
    <col min="13832" max="13832" width="11" style="525" customWidth="1"/>
    <col min="13833" max="13833" width="12.85546875" style="525" customWidth="1"/>
    <col min="13834" max="13834" width="14.5703125" style="525" customWidth="1"/>
    <col min="13835" max="13835" width="10.85546875" style="525" customWidth="1"/>
    <col min="13836" max="13836" width="14.140625" style="525" customWidth="1"/>
    <col min="13837" max="14080" width="9.140625" style="525"/>
    <col min="14081" max="14081" width="26.42578125" style="525" customWidth="1"/>
    <col min="14082" max="14082" width="9.28515625" style="525" customWidth="1"/>
    <col min="14083" max="14083" width="11" style="525" customWidth="1"/>
    <col min="14084" max="14084" width="10.28515625" style="525" customWidth="1"/>
    <col min="14085" max="14085" width="12.140625" style="525" customWidth="1"/>
    <col min="14086" max="14086" width="11.7109375" style="525" customWidth="1"/>
    <col min="14087" max="14087" width="12.28515625" style="525" customWidth="1"/>
    <col min="14088" max="14088" width="11" style="525" customWidth="1"/>
    <col min="14089" max="14089" width="12.85546875" style="525" customWidth="1"/>
    <col min="14090" max="14090" width="14.5703125" style="525" customWidth="1"/>
    <col min="14091" max="14091" width="10.85546875" style="525" customWidth="1"/>
    <col min="14092" max="14092" width="14.140625" style="525" customWidth="1"/>
    <col min="14093" max="14336" width="9.140625" style="525"/>
    <col min="14337" max="14337" width="26.42578125" style="525" customWidth="1"/>
    <col min="14338" max="14338" width="9.28515625" style="525" customWidth="1"/>
    <col min="14339" max="14339" width="11" style="525" customWidth="1"/>
    <col min="14340" max="14340" width="10.28515625" style="525" customWidth="1"/>
    <col min="14341" max="14341" width="12.140625" style="525" customWidth="1"/>
    <col min="14342" max="14342" width="11.7109375" style="525" customWidth="1"/>
    <col min="14343" max="14343" width="12.28515625" style="525" customWidth="1"/>
    <col min="14344" max="14344" width="11" style="525" customWidth="1"/>
    <col min="14345" max="14345" width="12.85546875" style="525" customWidth="1"/>
    <col min="14346" max="14346" width="14.5703125" style="525" customWidth="1"/>
    <col min="14347" max="14347" width="10.85546875" style="525" customWidth="1"/>
    <col min="14348" max="14348" width="14.140625" style="525" customWidth="1"/>
    <col min="14349" max="14592" width="9.140625" style="525"/>
    <col min="14593" max="14593" width="26.42578125" style="525" customWidth="1"/>
    <col min="14594" max="14594" width="9.28515625" style="525" customWidth="1"/>
    <col min="14595" max="14595" width="11" style="525" customWidth="1"/>
    <col min="14596" max="14596" width="10.28515625" style="525" customWidth="1"/>
    <col min="14597" max="14597" width="12.140625" style="525" customWidth="1"/>
    <col min="14598" max="14598" width="11.7109375" style="525" customWidth="1"/>
    <col min="14599" max="14599" width="12.28515625" style="525" customWidth="1"/>
    <col min="14600" max="14600" width="11" style="525" customWidth="1"/>
    <col min="14601" max="14601" width="12.85546875" style="525" customWidth="1"/>
    <col min="14602" max="14602" width="14.5703125" style="525" customWidth="1"/>
    <col min="14603" max="14603" width="10.85546875" style="525" customWidth="1"/>
    <col min="14604" max="14604" width="14.140625" style="525" customWidth="1"/>
    <col min="14605" max="14848" width="9.140625" style="525"/>
    <col min="14849" max="14849" width="26.42578125" style="525" customWidth="1"/>
    <col min="14850" max="14850" width="9.28515625" style="525" customWidth="1"/>
    <col min="14851" max="14851" width="11" style="525" customWidth="1"/>
    <col min="14852" max="14852" width="10.28515625" style="525" customWidth="1"/>
    <col min="14853" max="14853" width="12.140625" style="525" customWidth="1"/>
    <col min="14854" max="14854" width="11.7109375" style="525" customWidth="1"/>
    <col min="14855" max="14855" width="12.28515625" style="525" customWidth="1"/>
    <col min="14856" max="14856" width="11" style="525" customWidth="1"/>
    <col min="14857" max="14857" width="12.85546875" style="525" customWidth="1"/>
    <col min="14858" max="14858" width="14.5703125" style="525" customWidth="1"/>
    <col min="14859" max="14859" width="10.85546875" style="525" customWidth="1"/>
    <col min="14860" max="14860" width="14.140625" style="525" customWidth="1"/>
    <col min="14861" max="15104" width="9.140625" style="525"/>
    <col min="15105" max="15105" width="26.42578125" style="525" customWidth="1"/>
    <col min="15106" max="15106" width="9.28515625" style="525" customWidth="1"/>
    <col min="15107" max="15107" width="11" style="525" customWidth="1"/>
    <col min="15108" max="15108" width="10.28515625" style="525" customWidth="1"/>
    <col min="15109" max="15109" width="12.140625" style="525" customWidth="1"/>
    <col min="15110" max="15110" width="11.7109375" style="525" customWidth="1"/>
    <col min="15111" max="15111" width="12.28515625" style="525" customWidth="1"/>
    <col min="15112" max="15112" width="11" style="525" customWidth="1"/>
    <col min="15113" max="15113" width="12.85546875" style="525" customWidth="1"/>
    <col min="15114" max="15114" width="14.5703125" style="525" customWidth="1"/>
    <col min="15115" max="15115" width="10.85546875" style="525" customWidth="1"/>
    <col min="15116" max="15116" width="14.140625" style="525" customWidth="1"/>
    <col min="15117" max="15360" width="9.140625" style="525"/>
    <col min="15361" max="15361" width="26.42578125" style="525" customWidth="1"/>
    <col min="15362" max="15362" width="9.28515625" style="525" customWidth="1"/>
    <col min="15363" max="15363" width="11" style="525" customWidth="1"/>
    <col min="15364" max="15364" width="10.28515625" style="525" customWidth="1"/>
    <col min="15365" max="15365" width="12.140625" style="525" customWidth="1"/>
    <col min="15366" max="15366" width="11.7109375" style="525" customWidth="1"/>
    <col min="15367" max="15367" width="12.28515625" style="525" customWidth="1"/>
    <col min="15368" max="15368" width="11" style="525" customWidth="1"/>
    <col min="15369" max="15369" width="12.85546875" style="525" customWidth="1"/>
    <col min="15370" max="15370" width="14.5703125" style="525" customWidth="1"/>
    <col min="15371" max="15371" width="10.85546875" style="525" customWidth="1"/>
    <col min="15372" max="15372" width="14.140625" style="525" customWidth="1"/>
    <col min="15373" max="15616" width="9.140625" style="525"/>
    <col min="15617" max="15617" width="26.42578125" style="525" customWidth="1"/>
    <col min="15618" max="15618" width="9.28515625" style="525" customWidth="1"/>
    <col min="15619" max="15619" width="11" style="525" customWidth="1"/>
    <col min="15620" max="15620" width="10.28515625" style="525" customWidth="1"/>
    <col min="15621" max="15621" width="12.140625" style="525" customWidth="1"/>
    <col min="15622" max="15622" width="11.7109375" style="525" customWidth="1"/>
    <col min="15623" max="15623" width="12.28515625" style="525" customWidth="1"/>
    <col min="15624" max="15624" width="11" style="525" customWidth="1"/>
    <col min="15625" max="15625" width="12.85546875" style="525" customWidth="1"/>
    <col min="15626" max="15626" width="14.5703125" style="525" customWidth="1"/>
    <col min="15627" max="15627" width="10.85546875" style="525" customWidth="1"/>
    <col min="15628" max="15628" width="14.140625" style="525" customWidth="1"/>
    <col min="15629" max="15872" width="9.140625" style="525"/>
    <col min="15873" max="15873" width="26.42578125" style="525" customWidth="1"/>
    <col min="15874" max="15874" width="9.28515625" style="525" customWidth="1"/>
    <col min="15875" max="15875" width="11" style="525" customWidth="1"/>
    <col min="15876" max="15876" width="10.28515625" style="525" customWidth="1"/>
    <col min="15877" max="15877" width="12.140625" style="525" customWidth="1"/>
    <col min="15878" max="15878" width="11.7109375" style="525" customWidth="1"/>
    <col min="15879" max="15879" width="12.28515625" style="525" customWidth="1"/>
    <col min="15880" max="15880" width="11" style="525" customWidth="1"/>
    <col min="15881" max="15881" width="12.85546875" style="525" customWidth="1"/>
    <col min="15882" max="15882" width="14.5703125" style="525" customWidth="1"/>
    <col min="15883" max="15883" width="10.85546875" style="525" customWidth="1"/>
    <col min="15884" max="15884" width="14.140625" style="525" customWidth="1"/>
    <col min="15885" max="16128" width="9.140625" style="525"/>
    <col min="16129" max="16129" width="26.42578125" style="525" customWidth="1"/>
    <col min="16130" max="16130" width="9.28515625" style="525" customWidth="1"/>
    <col min="16131" max="16131" width="11" style="525" customWidth="1"/>
    <col min="16132" max="16132" width="10.28515625" style="525" customWidth="1"/>
    <col min="16133" max="16133" width="12.140625" style="525" customWidth="1"/>
    <col min="16134" max="16134" width="11.7109375" style="525" customWidth="1"/>
    <col min="16135" max="16135" width="12.28515625" style="525" customWidth="1"/>
    <col min="16136" max="16136" width="11" style="525" customWidth="1"/>
    <col min="16137" max="16137" width="12.85546875" style="525" customWidth="1"/>
    <col min="16138" max="16138" width="14.5703125" style="525" customWidth="1"/>
    <col min="16139" max="16139" width="10.85546875" style="525" customWidth="1"/>
    <col min="16140" max="16140" width="14.140625" style="525" customWidth="1"/>
    <col min="16141" max="16384" width="9.140625" style="525"/>
  </cols>
  <sheetData>
    <row r="1" spans="1:12" ht="15" customHeight="1">
      <c r="C1" s="526" t="s">
        <v>1391</v>
      </c>
      <c r="G1" s="1388" t="s">
        <v>1020</v>
      </c>
    </row>
    <row r="2" spans="1:12">
      <c r="B2" s="2269" t="s">
        <v>1390</v>
      </c>
      <c r="C2" s="2357"/>
      <c r="D2" s="2357"/>
      <c r="E2" s="2357"/>
      <c r="F2" s="2357"/>
      <c r="G2" s="2357"/>
      <c r="H2" s="2357"/>
      <c r="I2" s="2357"/>
      <c r="J2" s="2357"/>
      <c r="K2" s="2357"/>
      <c r="L2" s="2357"/>
    </row>
    <row r="3" spans="1:12" ht="17.25" thickBot="1">
      <c r="A3" s="537"/>
      <c r="K3" s="1625" t="s">
        <v>1389</v>
      </c>
    </row>
    <row r="4" spans="1:12" ht="17.25" thickTop="1">
      <c r="A4" s="867"/>
      <c r="B4" s="866" t="s">
        <v>1388</v>
      </c>
      <c r="C4" s="2270" t="s">
        <v>1387</v>
      </c>
      <c r="D4" s="2766" t="s">
        <v>677</v>
      </c>
      <c r="E4" s="2766"/>
      <c r="F4" s="2767" t="s">
        <v>1386</v>
      </c>
      <c r="G4" s="2768"/>
      <c r="H4" s="2768"/>
      <c r="I4" s="2769"/>
      <c r="J4" s="866" t="s">
        <v>1385</v>
      </c>
      <c r="K4" s="2766" t="s">
        <v>677</v>
      </c>
      <c r="L4" s="2770"/>
    </row>
    <row r="5" spans="1:12">
      <c r="A5" s="864" t="s">
        <v>1294</v>
      </c>
      <c r="B5" s="863" t="s">
        <v>1384</v>
      </c>
      <c r="C5" s="2271" t="s">
        <v>1290</v>
      </c>
      <c r="D5" s="2771" t="s">
        <v>1383</v>
      </c>
      <c r="E5" s="2772"/>
      <c r="F5" s="2773" t="s">
        <v>1034</v>
      </c>
      <c r="G5" s="2774"/>
      <c r="H5" s="2773" t="s">
        <v>1033</v>
      </c>
      <c r="I5" s="2775"/>
      <c r="J5" s="863" t="s">
        <v>1382</v>
      </c>
      <c r="K5" s="2776" t="s">
        <v>1381</v>
      </c>
      <c r="L5" s="2777"/>
    </row>
    <row r="6" spans="1:12">
      <c r="A6" s="890"/>
      <c r="B6" s="860" t="s">
        <v>1291</v>
      </c>
      <c r="C6" s="2272"/>
      <c r="D6" s="2359" t="s">
        <v>1</v>
      </c>
      <c r="E6" s="2359" t="s">
        <v>4</v>
      </c>
      <c r="F6" s="2359" t="s">
        <v>1</v>
      </c>
      <c r="G6" s="2359" t="s">
        <v>4</v>
      </c>
      <c r="H6" s="2359" t="s">
        <v>1</v>
      </c>
      <c r="I6" s="889" t="s">
        <v>4</v>
      </c>
      <c r="J6" s="2273"/>
      <c r="K6" s="2274" t="s">
        <v>1</v>
      </c>
      <c r="L6" s="2275" t="s">
        <v>4</v>
      </c>
    </row>
    <row r="7" spans="1:12" s="1625" customFormat="1">
      <c r="A7" s="2276" t="s">
        <v>1351</v>
      </c>
      <c r="B7" s="2277"/>
      <c r="C7" s="2278"/>
      <c r="D7" s="736"/>
      <c r="E7" s="736">
        <f>SUM(E21+E22)</f>
        <v>379450000</v>
      </c>
      <c r="F7" s="736"/>
      <c r="G7" s="736">
        <f>SUM(G21+G22)</f>
        <v>71320000</v>
      </c>
      <c r="H7" s="736"/>
      <c r="I7" s="736">
        <f>SUM(I21+I22)</f>
        <v>88600000</v>
      </c>
      <c r="J7" s="736">
        <f>SUM(J21+J22)</f>
        <v>539370000</v>
      </c>
      <c r="K7" s="736"/>
      <c r="L7" s="735">
        <f>L21+L22+L23</f>
        <v>101540000</v>
      </c>
    </row>
    <row r="8" spans="1:12" ht="18" customHeight="1">
      <c r="A8" s="848" t="s">
        <v>1380</v>
      </c>
      <c r="B8" s="554"/>
      <c r="C8" s="553"/>
      <c r="D8" s="551"/>
      <c r="E8" s="551">
        <v>3000000</v>
      </c>
      <c r="F8" s="551"/>
      <c r="G8" s="551"/>
      <c r="H8" s="551"/>
      <c r="I8" s="551"/>
      <c r="J8" s="551">
        <f>SUM(E8:I8)</f>
        <v>3000000</v>
      </c>
      <c r="K8" s="551"/>
      <c r="L8" s="730"/>
    </row>
    <row r="9" spans="1:12">
      <c r="A9" s="848" t="s">
        <v>1379</v>
      </c>
      <c r="B9" s="554"/>
      <c r="C9" s="2279">
        <v>200000</v>
      </c>
      <c r="D9" s="551">
        <v>1200</v>
      </c>
      <c r="E9" s="551">
        <f>C9*D9</f>
        <v>240000000</v>
      </c>
      <c r="F9" s="551"/>
      <c r="G9" s="551"/>
      <c r="H9" s="551"/>
      <c r="I9" s="551"/>
      <c r="J9" s="551">
        <f>E9+G9+I9</f>
        <v>240000000</v>
      </c>
      <c r="K9" s="551"/>
      <c r="L9" s="730"/>
    </row>
    <row r="10" spans="1:12">
      <c r="A10" s="848" t="s">
        <v>1378</v>
      </c>
      <c r="B10" s="554"/>
      <c r="C10" s="553">
        <v>6000</v>
      </c>
      <c r="D10" s="551">
        <v>3600</v>
      </c>
      <c r="E10" s="551">
        <f>C10*D10</f>
        <v>21600000</v>
      </c>
      <c r="F10" s="551">
        <v>120</v>
      </c>
      <c r="G10" s="551">
        <f>F10*C10</f>
        <v>720000</v>
      </c>
      <c r="H10" s="551"/>
      <c r="I10" s="551"/>
      <c r="J10" s="551">
        <f>E10+G10+I10</f>
        <v>22320000</v>
      </c>
      <c r="K10" s="551"/>
      <c r="L10" s="730"/>
    </row>
    <row r="11" spans="1:12">
      <c r="A11" s="848" t="s">
        <v>1377</v>
      </c>
      <c r="B11" s="554"/>
      <c r="C11" s="553">
        <v>450000</v>
      </c>
      <c r="D11" s="551">
        <v>20</v>
      </c>
      <c r="E11" s="551">
        <f>C11*D11</f>
        <v>9000000</v>
      </c>
      <c r="F11" s="551">
        <v>5</v>
      </c>
      <c r="G11" s="551">
        <f>F11*C11</f>
        <v>2250000</v>
      </c>
      <c r="H11" s="551">
        <v>10</v>
      </c>
      <c r="I11" s="551">
        <f>H11*C11</f>
        <v>4500000</v>
      </c>
      <c r="J11" s="551">
        <f>E11+G11+I11</f>
        <v>15750000</v>
      </c>
      <c r="K11" s="551">
        <v>20</v>
      </c>
      <c r="L11" s="730">
        <f>K11*C11</f>
        <v>9000000</v>
      </c>
    </row>
    <row r="12" spans="1:12">
      <c r="A12" s="848" t="s">
        <v>1376</v>
      </c>
      <c r="B12" s="554"/>
      <c r="C12" s="553"/>
      <c r="D12" s="551"/>
      <c r="E12" s="551"/>
      <c r="F12" s="551"/>
      <c r="G12" s="551"/>
      <c r="H12" s="551"/>
      <c r="I12" s="551"/>
      <c r="J12" s="551"/>
      <c r="K12" s="551"/>
      <c r="L12" s="730"/>
    </row>
    <row r="13" spans="1:12">
      <c r="A13" s="848" t="s">
        <v>1375</v>
      </c>
      <c r="B13" s="554"/>
      <c r="C13" s="553">
        <v>10000</v>
      </c>
      <c r="D13" s="551">
        <v>150</v>
      </c>
      <c r="E13" s="551">
        <f>D13*C13</f>
        <v>1500000</v>
      </c>
      <c r="F13" s="551">
        <v>350</v>
      </c>
      <c r="G13" s="551">
        <f>F13*C13</f>
        <v>3500000</v>
      </c>
      <c r="H13" s="551">
        <v>550</v>
      </c>
      <c r="I13" s="551">
        <f>H13*C13</f>
        <v>5500000</v>
      </c>
      <c r="J13" s="551">
        <f t="shared" ref="J13:J23" si="0">E13+G13+I13</f>
        <v>10500000</v>
      </c>
      <c r="K13" s="551">
        <v>650</v>
      </c>
      <c r="L13" s="730">
        <f>K13*C13</f>
        <v>6500000</v>
      </c>
    </row>
    <row r="14" spans="1:12">
      <c r="A14" s="848" t="s">
        <v>1374</v>
      </c>
      <c r="B14" s="554"/>
      <c r="C14" s="553">
        <v>3000</v>
      </c>
      <c r="D14" s="551">
        <v>800</v>
      </c>
      <c r="E14" s="551">
        <f>D14*C14</f>
        <v>2400000</v>
      </c>
      <c r="F14" s="551">
        <v>1000</v>
      </c>
      <c r="G14" s="551">
        <f>F14*C14</f>
        <v>3000000</v>
      </c>
      <c r="H14" s="551">
        <v>1200</v>
      </c>
      <c r="I14" s="551">
        <f>H14*C14</f>
        <v>3600000</v>
      </c>
      <c r="J14" s="551">
        <f t="shared" si="0"/>
        <v>9000000</v>
      </c>
      <c r="K14" s="551">
        <v>1800</v>
      </c>
      <c r="L14" s="730">
        <f>K14*C14</f>
        <v>5400000</v>
      </c>
    </row>
    <row r="15" spans="1:12">
      <c r="A15" s="848" t="s">
        <v>1373</v>
      </c>
      <c r="B15" s="554"/>
      <c r="C15" s="553">
        <v>15000</v>
      </c>
      <c r="D15" s="551">
        <v>70</v>
      </c>
      <c r="E15" s="551">
        <f>C15*D15</f>
        <v>1050000</v>
      </c>
      <c r="F15" s="551">
        <v>200</v>
      </c>
      <c r="G15" s="551">
        <f>F15*C15</f>
        <v>3000000</v>
      </c>
      <c r="H15" s="551">
        <v>200</v>
      </c>
      <c r="I15" s="551">
        <f>H15*C15</f>
        <v>3000000</v>
      </c>
      <c r="J15" s="551">
        <f t="shared" si="0"/>
        <v>7050000</v>
      </c>
      <c r="K15" s="551">
        <v>600</v>
      </c>
      <c r="L15" s="730">
        <f>K15*C15</f>
        <v>9000000</v>
      </c>
    </row>
    <row r="16" spans="1:12">
      <c r="A16" s="848" t="s">
        <v>1372</v>
      </c>
      <c r="B16" s="554"/>
      <c r="C16" s="553">
        <v>1000</v>
      </c>
      <c r="D16" s="551">
        <v>800</v>
      </c>
      <c r="E16" s="551">
        <f>C16*D16</f>
        <v>800000</v>
      </c>
      <c r="F16" s="551">
        <v>500</v>
      </c>
      <c r="G16" s="551">
        <f>F16*C16</f>
        <v>500000</v>
      </c>
      <c r="H16" s="551">
        <v>500</v>
      </c>
      <c r="I16" s="551">
        <f>H16*C16</f>
        <v>500000</v>
      </c>
      <c r="J16" s="551">
        <f t="shared" si="0"/>
        <v>1800000</v>
      </c>
      <c r="K16" s="551">
        <v>1000</v>
      </c>
      <c r="L16" s="730">
        <f>K16*C16</f>
        <v>1000000</v>
      </c>
    </row>
    <row r="17" spans="1:12">
      <c r="A17" s="848" t="s">
        <v>1371</v>
      </c>
      <c r="B17" s="554"/>
      <c r="C17" s="553">
        <v>250000</v>
      </c>
      <c r="D17" s="551">
        <v>10</v>
      </c>
      <c r="E17" s="551">
        <f>C17*D17</f>
        <v>2500000</v>
      </c>
      <c r="F17" s="551">
        <v>15</v>
      </c>
      <c r="G17" s="551">
        <f>F17*C17</f>
        <v>3750000</v>
      </c>
      <c r="H17" s="551">
        <v>18</v>
      </c>
      <c r="I17" s="551">
        <f>H17*C17</f>
        <v>4500000</v>
      </c>
      <c r="J17" s="551">
        <f t="shared" si="0"/>
        <v>10750000</v>
      </c>
      <c r="K17" s="551">
        <v>36</v>
      </c>
      <c r="L17" s="730">
        <f>K17*C17</f>
        <v>9000000</v>
      </c>
    </row>
    <row r="18" spans="1:12">
      <c r="A18" s="848" t="s">
        <v>1370</v>
      </c>
      <c r="B18" s="554"/>
      <c r="C18" s="553"/>
      <c r="D18" s="551"/>
      <c r="E18" s="551">
        <v>12000000</v>
      </c>
      <c r="F18" s="551"/>
      <c r="G18" s="551"/>
      <c r="H18" s="551"/>
      <c r="I18" s="551"/>
      <c r="J18" s="551">
        <f t="shared" si="0"/>
        <v>12000000</v>
      </c>
      <c r="K18" s="551"/>
      <c r="L18" s="730"/>
    </row>
    <row r="19" spans="1:12">
      <c r="A19" s="848" t="s">
        <v>1369</v>
      </c>
      <c r="B19" s="554"/>
      <c r="C19" s="553">
        <v>70000</v>
      </c>
      <c r="D19" s="551">
        <v>80</v>
      </c>
      <c r="E19" s="551">
        <f>C19*D19</f>
        <v>5600000</v>
      </c>
      <c r="F19" s="551">
        <v>40</v>
      </c>
      <c r="G19" s="551">
        <f>F19*C19</f>
        <v>2800000</v>
      </c>
      <c r="H19" s="551">
        <v>100</v>
      </c>
      <c r="I19" s="551">
        <f>H19*C19</f>
        <v>7000000</v>
      </c>
      <c r="J19" s="551">
        <f t="shared" si="0"/>
        <v>15400000</v>
      </c>
      <c r="K19" s="551">
        <v>100</v>
      </c>
      <c r="L19" s="730">
        <f>K19*C19</f>
        <v>7000000</v>
      </c>
    </row>
    <row r="20" spans="1:12">
      <c r="A20" s="848" t="s">
        <v>1368</v>
      </c>
      <c r="B20" s="554"/>
      <c r="C20" s="553">
        <v>200000</v>
      </c>
      <c r="D20" s="551">
        <v>250</v>
      </c>
      <c r="E20" s="551">
        <f>C20*D20</f>
        <v>50000000</v>
      </c>
      <c r="F20" s="551">
        <v>85</v>
      </c>
      <c r="G20" s="551">
        <f>F20*C20</f>
        <v>17000000</v>
      </c>
      <c r="H20" s="551">
        <v>90</v>
      </c>
      <c r="I20" s="551">
        <f>H20*C20</f>
        <v>18000000</v>
      </c>
      <c r="J20" s="551">
        <f t="shared" si="0"/>
        <v>85000000</v>
      </c>
      <c r="K20" s="551">
        <v>170</v>
      </c>
      <c r="L20" s="730">
        <f>K20*C20</f>
        <v>34000000</v>
      </c>
    </row>
    <row r="21" spans="1:12" s="1625" customFormat="1">
      <c r="A21" s="2280" t="s">
        <v>1344</v>
      </c>
      <c r="B21" s="2281"/>
      <c r="C21" s="2282"/>
      <c r="D21" s="725"/>
      <c r="E21" s="725">
        <f>SUM(E8:E20)</f>
        <v>349450000</v>
      </c>
      <c r="F21" s="725"/>
      <c r="G21" s="725">
        <f>SUM(G8:G20)</f>
        <v>36520000</v>
      </c>
      <c r="H21" s="725"/>
      <c r="I21" s="725">
        <f>SUM(I8:I20)</f>
        <v>46600000</v>
      </c>
      <c r="J21" s="725">
        <f t="shared" si="0"/>
        <v>432570000</v>
      </c>
      <c r="K21" s="725"/>
      <c r="L21" s="724">
        <f>SUM(L11:L20)</f>
        <v>80900000</v>
      </c>
    </row>
    <row r="22" spans="1:12">
      <c r="A22" s="848" t="s">
        <v>1367</v>
      </c>
      <c r="B22" s="554"/>
      <c r="C22" s="553"/>
      <c r="D22" s="551"/>
      <c r="E22" s="551">
        <f>250000000*1%*12</f>
        <v>30000000</v>
      </c>
      <c r="F22" s="551"/>
      <c r="G22" s="551">
        <f>290000000*1%*12</f>
        <v>34800000</v>
      </c>
      <c r="H22" s="551"/>
      <c r="I22" s="551">
        <f>350000000*1%*12</f>
        <v>42000000</v>
      </c>
      <c r="J22" s="551">
        <f t="shared" si="0"/>
        <v>106800000</v>
      </c>
      <c r="K22" s="551"/>
      <c r="L22" s="730">
        <f>90000000*0.8%*12</f>
        <v>8640000</v>
      </c>
    </row>
    <row r="23" spans="1:12">
      <c r="A23" s="848" t="s">
        <v>1366</v>
      </c>
      <c r="B23" s="554"/>
      <c r="C23" s="553"/>
      <c r="D23" s="551"/>
      <c r="E23" s="551">
        <f>E9*5%</f>
        <v>12000000</v>
      </c>
      <c r="F23" s="551"/>
      <c r="G23" s="551">
        <f>E23</f>
        <v>12000000</v>
      </c>
      <c r="H23" s="551"/>
      <c r="I23" s="551">
        <f>G23</f>
        <v>12000000</v>
      </c>
      <c r="J23" s="551">
        <f t="shared" si="0"/>
        <v>36000000</v>
      </c>
      <c r="K23" s="551"/>
      <c r="L23" s="730">
        <f>J9*5%</f>
        <v>12000000</v>
      </c>
    </row>
    <row r="24" spans="1:12" s="1625" customFormat="1">
      <c r="A24" s="2280" t="s">
        <v>1341</v>
      </c>
      <c r="B24" s="2281"/>
      <c r="C24" s="2282"/>
      <c r="D24" s="725"/>
      <c r="E24" s="725"/>
      <c r="F24" s="725"/>
      <c r="G24" s="725"/>
      <c r="H24" s="725"/>
      <c r="I24" s="725">
        <f>I26</f>
        <v>180000000</v>
      </c>
      <c r="J24" s="725"/>
      <c r="K24" s="725"/>
      <c r="L24" s="724">
        <f>L26</f>
        <v>300000000</v>
      </c>
    </row>
    <row r="25" spans="1:12">
      <c r="A25" s="848" t="s">
        <v>1340</v>
      </c>
      <c r="B25" s="554"/>
      <c r="C25" s="553"/>
      <c r="D25" s="551"/>
      <c r="E25" s="551"/>
      <c r="F25" s="551"/>
      <c r="G25" s="551"/>
      <c r="H25" s="551"/>
      <c r="I25" s="551"/>
      <c r="J25" s="551"/>
      <c r="K25" s="551">
        <v>2500</v>
      </c>
      <c r="L25" s="730"/>
    </row>
    <row r="26" spans="1:12">
      <c r="A26" s="848" t="s">
        <v>1365</v>
      </c>
      <c r="B26" s="554"/>
      <c r="C26" s="553">
        <v>120000</v>
      </c>
      <c r="D26" s="551"/>
      <c r="E26" s="551"/>
      <c r="F26" s="551"/>
      <c r="G26" s="551"/>
      <c r="H26" s="551">
        <v>1500</v>
      </c>
      <c r="I26" s="551">
        <f>H26*C26</f>
        <v>180000000</v>
      </c>
      <c r="J26" s="551"/>
      <c r="K26" s="551">
        <v>2500</v>
      </c>
      <c r="L26" s="730">
        <f>K26*C26</f>
        <v>300000000</v>
      </c>
    </row>
    <row r="27" spans="1:12" s="805" customFormat="1">
      <c r="A27" s="846" t="s">
        <v>1337</v>
      </c>
      <c r="B27" s="550"/>
      <c r="C27" s="794"/>
      <c r="D27" s="547"/>
      <c r="E27" s="547"/>
      <c r="F27" s="547"/>
      <c r="G27" s="547"/>
      <c r="H27" s="547"/>
      <c r="I27" s="547"/>
      <c r="J27" s="547"/>
      <c r="K27" s="547"/>
      <c r="L27" s="843">
        <f>L24-L7</f>
        <v>198460000</v>
      </c>
    </row>
    <row r="28" spans="1:12" s="805" customFormat="1" ht="17.25" thickBot="1">
      <c r="A28" s="1623" t="s">
        <v>1269</v>
      </c>
      <c r="B28" s="813"/>
      <c r="C28" s="2283"/>
      <c r="D28" s="2284"/>
      <c r="E28" s="2284"/>
      <c r="F28" s="2284"/>
      <c r="G28" s="2284"/>
      <c r="H28" s="2284"/>
      <c r="I28" s="2284"/>
      <c r="J28" s="2284"/>
      <c r="K28" s="2285"/>
      <c r="L28" s="1636">
        <f>L27/L24</f>
        <v>0.66153333333333331</v>
      </c>
    </row>
    <row r="29" spans="1:12" ht="17.25" thickTop="1">
      <c r="A29" s="1625" t="s">
        <v>1268</v>
      </c>
    </row>
    <row r="30" spans="1:12">
      <c r="A30" s="525" t="s">
        <v>1364</v>
      </c>
    </row>
  </sheetData>
  <mergeCells count="7">
    <mergeCell ref="D4:E4"/>
    <mergeCell ref="F4:I4"/>
    <mergeCell ref="K4:L4"/>
    <mergeCell ref="D5:E5"/>
    <mergeCell ref="F5:G5"/>
    <mergeCell ref="H5:I5"/>
    <mergeCell ref="K5:L5"/>
  </mergeCells>
  <pageMargins left="0.75" right="0.75" top="1" bottom="1" header="0.5" footer="0.5"/>
  <pageSetup paperSize="9" orientation="portrait" r:id="rId1"/>
  <headerFooter alignWithMargins="0"/>
  <drawing r:id="rId2"/>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L40"/>
  <sheetViews>
    <sheetView zoomScaleNormal="100" workbookViewId="0">
      <selection activeCell="J13" sqref="J13"/>
    </sheetView>
  </sheetViews>
  <sheetFormatPr defaultRowHeight="16.5"/>
  <cols>
    <col min="1" max="1" width="33" style="525" customWidth="1"/>
    <col min="2" max="2" width="9.5703125" style="525" customWidth="1"/>
    <col min="3" max="3" width="15" style="526" customWidth="1"/>
    <col min="4" max="4" width="9.5703125" style="525" customWidth="1"/>
    <col min="5" max="5" width="17.140625" style="525" bestFit="1" customWidth="1"/>
    <col min="6" max="6" width="10" style="525" customWidth="1"/>
    <col min="7" max="7" width="16.42578125" style="525" customWidth="1"/>
    <col min="8" max="8" width="10.5703125" style="525" customWidth="1"/>
    <col min="9" max="9" width="16.28515625" style="525" customWidth="1"/>
    <col min="10" max="10" width="17.140625" style="525" bestFit="1" customWidth="1"/>
    <col min="11" max="11" width="11.140625" style="525" customWidth="1"/>
    <col min="12" max="12" width="16.42578125" style="525" customWidth="1"/>
    <col min="13" max="256" width="9.140625" style="525"/>
    <col min="257" max="257" width="33" style="525" customWidth="1"/>
    <col min="258" max="258" width="9.5703125" style="525" customWidth="1"/>
    <col min="259" max="259" width="15" style="525" customWidth="1"/>
    <col min="260" max="260" width="9.5703125" style="525" customWidth="1"/>
    <col min="261" max="261" width="17.140625" style="525" bestFit="1" customWidth="1"/>
    <col min="262" max="262" width="10" style="525" customWidth="1"/>
    <col min="263" max="263" width="16.42578125" style="525" customWidth="1"/>
    <col min="264" max="264" width="10.5703125" style="525" customWidth="1"/>
    <col min="265" max="265" width="16.28515625" style="525" customWidth="1"/>
    <col min="266" max="266" width="17.140625" style="525" bestFit="1" customWidth="1"/>
    <col min="267" max="267" width="11.140625" style="525" customWidth="1"/>
    <col min="268" max="268" width="16.42578125" style="525" customWidth="1"/>
    <col min="269" max="512" width="9.140625" style="525"/>
    <col min="513" max="513" width="33" style="525" customWidth="1"/>
    <col min="514" max="514" width="9.5703125" style="525" customWidth="1"/>
    <col min="515" max="515" width="15" style="525" customWidth="1"/>
    <col min="516" max="516" width="9.5703125" style="525" customWidth="1"/>
    <col min="517" max="517" width="17.140625" style="525" bestFit="1" customWidth="1"/>
    <col min="518" max="518" width="10" style="525" customWidth="1"/>
    <col min="519" max="519" width="16.42578125" style="525" customWidth="1"/>
    <col min="520" max="520" width="10.5703125" style="525" customWidth="1"/>
    <col min="521" max="521" width="16.28515625" style="525" customWidth="1"/>
    <col min="522" max="522" width="17.140625" style="525" bestFit="1" customWidth="1"/>
    <col min="523" max="523" width="11.140625" style="525" customWidth="1"/>
    <col min="524" max="524" width="16.42578125" style="525" customWidth="1"/>
    <col min="525" max="768" width="9.140625" style="525"/>
    <col min="769" max="769" width="33" style="525" customWidth="1"/>
    <col min="770" max="770" width="9.5703125" style="525" customWidth="1"/>
    <col min="771" max="771" width="15" style="525" customWidth="1"/>
    <col min="772" max="772" width="9.5703125" style="525" customWidth="1"/>
    <col min="773" max="773" width="17.140625" style="525" bestFit="1" customWidth="1"/>
    <col min="774" max="774" width="10" style="525" customWidth="1"/>
    <col min="775" max="775" width="16.42578125" style="525" customWidth="1"/>
    <col min="776" max="776" width="10.5703125" style="525" customWidth="1"/>
    <col min="777" max="777" width="16.28515625" style="525" customWidth="1"/>
    <col min="778" max="778" width="17.140625" style="525" bestFit="1" customWidth="1"/>
    <col min="779" max="779" width="11.140625" style="525" customWidth="1"/>
    <col min="780" max="780" width="16.42578125" style="525" customWidth="1"/>
    <col min="781" max="1024" width="9.140625" style="525"/>
    <col min="1025" max="1025" width="33" style="525" customWidth="1"/>
    <col min="1026" max="1026" width="9.5703125" style="525" customWidth="1"/>
    <col min="1027" max="1027" width="15" style="525" customWidth="1"/>
    <col min="1028" max="1028" width="9.5703125" style="525" customWidth="1"/>
    <col min="1029" max="1029" width="17.140625" style="525" bestFit="1" customWidth="1"/>
    <col min="1030" max="1030" width="10" style="525" customWidth="1"/>
    <col min="1031" max="1031" width="16.42578125" style="525" customWidth="1"/>
    <col min="1032" max="1032" width="10.5703125" style="525" customWidth="1"/>
    <col min="1033" max="1033" width="16.28515625" style="525" customWidth="1"/>
    <col min="1034" max="1034" width="17.140625" style="525" bestFit="1" customWidth="1"/>
    <col min="1035" max="1035" width="11.140625" style="525" customWidth="1"/>
    <col min="1036" max="1036" width="16.42578125" style="525" customWidth="1"/>
    <col min="1037" max="1280" width="9.140625" style="525"/>
    <col min="1281" max="1281" width="33" style="525" customWidth="1"/>
    <col min="1282" max="1282" width="9.5703125" style="525" customWidth="1"/>
    <col min="1283" max="1283" width="15" style="525" customWidth="1"/>
    <col min="1284" max="1284" width="9.5703125" style="525" customWidth="1"/>
    <col min="1285" max="1285" width="17.140625" style="525" bestFit="1" customWidth="1"/>
    <col min="1286" max="1286" width="10" style="525" customWidth="1"/>
    <col min="1287" max="1287" width="16.42578125" style="525" customWidth="1"/>
    <col min="1288" max="1288" width="10.5703125" style="525" customWidth="1"/>
    <col min="1289" max="1289" width="16.28515625" style="525" customWidth="1"/>
    <col min="1290" max="1290" width="17.140625" style="525" bestFit="1" customWidth="1"/>
    <col min="1291" max="1291" width="11.140625" style="525" customWidth="1"/>
    <col min="1292" max="1292" width="16.42578125" style="525" customWidth="1"/>
    <col min="1293" max="1536" width="9.140625" style="525"/>
    <col min="1537" max="1537" width="33" style="525" customWidth="1"/>
    <col min="1538" max="1538" width="9.5703125" style="525" customWidth="1"/>
    <col min="1539" max="1539" width="15" style="525" customWidth="1"/>
    <col min="1540" max="1540" width="9.5703125" style="525" customWidth="1"/>
    <col min="1541" max="1541" width="17.140625" style="525" bestFit="1" customWidth="1"/>
    <col min="1542" max="1542" width="10" style="525" customWidth="1"/>
    <col min="1543" max="1543" width="16.42578125" style="525" customWidth="1"/>
    <col min="1544" max="1544" width="10.5703125" style="525" customWidth="1"/>
    <col min="1545" max="1545" width="16.28515625" style="525" customWidth="1"/>
    <col min="1546" max="1546" width="17.140625" style="525" bestFit="1" customWidth="1"/>
    <col min="1547" max="1547" width="11.140625" style="525" customWidth="1"/>
    <col min="1548" max="1548" width="16.42578125" style="525" customWidth="1"/>
    <col min="1549" max="1792" width="9.140625" style="525"/>
    <col min="1793" max="1793" width="33" style="525" customWidth="1"/>
    <col min="1794" max="1794" width="9.5703125" style="525" customWidth="1"/>
    <col min="1795" max="1795" width="15" style="525" customWidth="1"/>
    <col min="1796" max="1796" width="9.5703125" style="525" customWidth="1"/>
    <col min="1797" max="1797" width="17.140625" style="525" bestFit="1" customWidth="1"/>
    <col min="1798" max="1798" width="10" style="525" customWidth="1"/>
    <col min="1799" max="1799" width="16.42578125" style="525" customWidth="1"/>
    <col min="1800" max="1800" width="10.5703125" style="525" customWidth="1"/>
    <col min="1801" max="1801" width="16.28515625" style="525" customWidth="1"/>
    <col min="1802" max="1802" width="17.140625" style="525" bestFit="1" customWidth="1"/>
    <col min="1803" max="1803" width="11.140625" style="525" customWidth="1"/>
    <col min="1804" max="1804" width="16.42578125" style="525" customWidth="1"/>
    <col min="1805" max="2048" width="9.140625" style="525"/>
    <col min="2049" max="2049" width="33" style="525" customWidth="1"/>
    <col min="2050" max="2050" width="9.5703125" style="525" customWidth="1"/>
    <col min="2051" max="2051" width="15" style="525" customWidth="1"/>
    <col min="2052" max="2052" width="9.5703125" style="525" customWidth="1"/>
    <col min="2053" max="2053" width="17.140625" style="525" bestFit="1" customWidth="1"/>
    <col min="2054" max="2054" width="10" style="525" customWidth="1"/>
    <col min="2055" max="2055" width="16.42578125" style="525" customWidth="1"/>
    <col min="2056" max="2056" width="10.5703125" style="525" customWidth="1"/>
    <col min="2057" max="2057" width="16.28515625" style="525" customWidth="1"/>
    <col min="2058" max="2058" width="17.140625" style="525" bestFit="1" customWidth="1"/>
    <col min="2059" max="2059" width="11.140625" style="525" customWidth="1"/>
    <col min="2060" max="2060" width="16.42578125" style="525" customWidth="1"/>
    <col min="2061" max="2304" width="9.140625" style="525"/>
    <col min="2305" max="2305" width="33" style="525" customWidth="1"/>
    <col min="2306" max="2306" width="9.5703125" style="525" customWidth="1"/>
    <col min="2307" max="2307" width="15" style="525" customWidth="1"/>
    <col min="2308" max="2308" width="9.5703125" style="525" customWidth="1"/>
    <col min="2309" max="2309" width="17.140625" style="525" bestFit="1" customWidth="1"/>
    <col min="2310" max="2310" width="10" style="525" customWidth="1"/>
    <col min="2311" max="2311" width="16.42578125" style="525" customWidth="1"/>
    <col min="2312" max="2312" width="10.5703125" style="525" customWidth="1"/>
    <col min="2313" max="2313" width="16.28515625" style="525" customWidth="1"/>
    <col min="2314" max="2314" width="17.140625" style="525" bestFit="1" customWidth="1"/>
    <col min="2315" max="2315" width="11.140625" style="525" customWidth="1"/>
    <col min="2316" max="2316" width="16.42578125" style="525" customWidth="1"/>
    <col min="2317" max="2560" width="9.140625" style="525"/>
    <col min="2561" max="2561" width="33" style="525" customWidth="1"/>
    <col min="2562" max="2562" width="9.5703125" style="525" customWidth="1"/>
    <col min="2563" max="2563" width="15" style="525" customWidth="1"/>
    <col min="2564" max="2564" width="9.5703125" style="525" customWidth="1"/>
    <col min="2565" max="2565" width="17.140625" style="525" bestFit="1" customWidth="1"/>
    <col min="2566" max="2566" width="10" style="525" customWidth="1"/>
    <col min="2567" max="2567" width="16.42578125" style="525" customWidth="1"/>
    <col min="2568" max="2568" width="10.5703125" style="525" customWidth="1"/>
    <col min="2569" max="2569" width="16.28515625" style="525" customWidth="1"/>
    <col min="2570" max="2570" width="17.140625" style="525" bestFit="1" customWidth="1"/>
    <col min="2571" max="2571" width="11.140625" style="525" customWidth="1"/>
    <col min="2572" max="2572" width="16.42578125" style="525" customWidth="1"/>
    <col min="2573" max="2816" width="9.140625" style="525"/>
    <col min="2817" max="2817" width="33" style="525" customWidth="1"/>
    <col min="2818" max="2818" width="9.5703125" style="525" customWidth="1"/>
    <col min="2819" max="2819" width="15" style="525" customWidth="1"/>
    <col min="2820" max="2820" width="9.5703125" style="525" customWidth="1"/>
    <col min="2821" max="2821" width="17.140625" style="525" bestFit="1" customWidth="1"/>
    <col min="2822" max="2822" width="10" style="525" customWidth="1"/>
    <col min="2823" max="2823" width="16.42578125" style="525" customWidth="1"/>
    <col min="2824" max="2824" width="10.5703125" style="525" customWidth="1"/>
    <col min="2825" max="2825" width="16.28515625" style="525" customWidth="1"/>
    <col min="2826" max="2826" width="17.140625" style="525" bestFit="1" customWidth="1"/>
    <col min="2827" max="2827" width="11.140625" style="525" customWidth="1"/>
    <col min="2828" max="2828" width="16.42578125" style="525" customWidth="1"/>
    <col min="2829" max="3072" width="9.140625" style="525"/>
    <col min="3073" max="3073" width="33" style="525" customWidth="1"/>
    <col min="3074" max="3074" width="9.5703125" style="525" customWidth="1"/>
    <col min="3075" max="3075" width="15" style="525" customWidth="1"/>
    <col min="3076" max="3076" width="9.5703125" style="525" customWidth="1"/>
    <col min="3077" max="3077" width="17.140625" style="525" bestFit="1" customWidth="1"/>
    <col min="3078" max="3078" width="10" style="525" customWidth="1"/>
    <col min="3079" max="3079" width="16.42578125" style="525" customWidth="1"/>
    <col min="3080" max="3080" width="10.5703125" style="525" customWidth="1"/>
    <col min="3081" max="3081" width="16.28515625" style="525" customWidth="1"/>
    <col min="3082" max="3082" width="17.140625" style="525" bestFit="1" customWidth="1"/>
    <col min="3083" max="3083" width="11.140625" style="525" customWidth="1"/>
    <col min="3084" max="3084" width="16.42578125" style="525" customWidth="1"/>
    <col min="3085" max="3328" width="9.140625" style="525"/>
    <col min="3329" max="3329" width="33" style="525" customWidth="1"/>
    <col min="3330" max="3330" width="9.5703125" style="525" customWidth="1"/>
    <col min="3331" max="3331" width="15" style="525" customWidth="1"/>
    <col min="3332" max="3332" width="9.5703125" style="525" customWidth="1"/>
    <col min="3333" max="3333" width="17.140625" style="525" bestFit="1" customWidth="1"/>
    <col min="3334" max="3334" width="10" style="525" customWidth="1"/>
    <col min="3335" max="3335" width="16.42578125" style="525" customWidth="1"/>
    <col min="3336" max="3336" width="10.5703125" style="525" customWidth="1"/>
    <col min="3337" max="3337" width="16.28515625" style="525" customWidth="1"/>
    <col min="3338" max="3338" width="17.140625" style="525" bestFit="1" customWidth="1"/>
    <col min="3339" max="3339" width="11.140625" style="525" customWidth="1"/>
    <col min="3340" max="3340" width="16.42578125" style="525" customWidth="1"/>
    <col min="3341" max="3584" width="9.140625" style="525"/>
    <col min="3585" max="3585" width="33" style="525" customWidth="1"/>
    <col min="3586" max="3586" width="9.5703125" style="525" customWidth="1"/>
    <col min="3587" max="3587" width="15" style="525" customWidth="1"/>
    <col min="3588" max="3588" width="9.5703125" style="525" customWidth="1"/>
    <col min="3589" max="3589" width="17.140625" style="525" bestFit="1" customWidth="1"/>
    <col min="3590" max="3590" width="10" style="525" customWidth="1"/>
    <col min="3591" max="3591" width="16.42578125" style="525" customWidth="1"/>
    <col min="3592" max="3592" width="10.5703125" style="525" customWidth="1"/>
    <col min="3593" max="3593" width="16.28515625" style="525" customWidth="1"/>
    <col min="3594" max="3594" width="17.140625" style="525" bestFit="1" customWidth="1"/>
    <col min="3595" max="3595" width="11.140625" style="525" customWidth="1"/>
    <col min="3596" max="3596" width="16.42578125" style="525" customWidth="1"/>
    <col min="3597" max="3840" width="9.140625" style="525"/>
    <col min="3841" max="3841" width="33" style="525" customWidth="1"/>
    <col min="3842" max="3842" width="9.5703125" style="525" customWidth="1"/>
    <col min="3843" max="3843" width="15" style="525" customWidth="1"/>
    <col min="3844" max="3844" width="9.5703125" style="525" customWidth="1"/>
    <col min="3845" max="3845" width="17.140625" style="525" bestFit="1" customWidth="1"/>
    <col min="3846" max="3846" width="10" style="525" customWidth="1"/>
    <col min="3847" max="3847" width="16.42578125" style="525" customWidth="1"/>
    <col min="3848" max="3848" width="10.5703125" style="525" customWidth="1"/>
    <col min="3849" max="3849" width="16.28515625" style="525" customWidth="1"/>
    <col min="3850" max="3850" width="17.140625" style="525" bestFit="1" customWidth="1"/>
    <col min="3851" max="3851" width="11.140625" style="525" customWidth="1"/>
    <col min="3852" max="3852" width="16.42578125" style="525" customWidth="1"/>
    <col min="3853" max="4096" width="9.140625" style="525"/>
    <col min="4097" max="4097" width="33" style="525" customWidth="1"/>
    <col min="4098" max="4098" width="9.5703125" style="525" customWidth="1"/>
    <col min="4099" max="4099" width="15" style="525" customWidth="1"/>
    <col min="4100" max="4100" width="9.5703125" style="525" customWidth="1"/>
    <col min="4101" max="4101" width="17.140625" style="525" bestFit="1" customWidth="1"/>
    <col min="4102" max="4102" width="10" style="525" customWidth="1"/>
    <col min="4103" max="4103" width="16.42578125" style="525" customWidth="1"/>
    <col min="4104" max="4104" width="10.5703125" style="525" customWidth="1"/>
    <col min="4105" max="4105" width="16.28515625" style="525" customWidth="1"/>
    <col min="4106" max="4106" width="17.140625" style="525" bestFit="1" customWidth="1"/>
    <col min="4107" max="4107" width="11.140625" style="525" customWidth="1"/>
    <col min="4108" max="4108" width="16.42578125" style="525" customWidth="1"/>
    <col min="4109" max="4352" width="9.140625" style="525"/>
    <col min="4353" max="4353" width="33" style="525" customWidth="1"/>
    <col min="4354" max="4354" width="9.5703125" style="525" customWidth="1"/>
    <col min="4355" max="4355" width="15" style="525" customWidth="1"/>
    <col min="4356" max="4356" width="9.5703125" style="525" customWidth="1"/>
    <col min="4357" max="4357" width="17.140625" style="525" bestFit="1" customWidth="1"/>
    <col min="4358" max="4358" width="10" style="525" customWidth="1"/>
    <col min="4359" max="4359" width="16.42578125" style="525" customWidth="1"/>
    <col min="4360" max="4360" width="10.5703125" style="525" customWidth="1"/>
    <col min="4361" max="4361" width="16.28515625" style="525" customWidth="1"/>
    <col min="4362" max="4362" width="17.140625" style="525" bestFit="1" customWidth="1"/>
    <col min="4363" max="4363" width="11.140625" style="525" customWidth="1"/>
    <col min="4364" max="4364" width="16.42578125" style="525" customWidth="1"/>
    <col min="4365" max="4608" width="9.140625" style="525"/>
    <col min="4609" max="4609" width="33" style="525" customWidth="1"/>
    <col min="4610" max="4610" width="9.5703125" style="525" customWidth="1"/>
    <col min="4611" max="4611" width="15" style="525" customWidth="1"/>
    <col min="4612" max="4612" width="9.5703125" style="525" customWidth="1"/>
    <col min="4613" max="4613" width="17.140625" style="525" bestFit="1" customWidth="1"/>
    <col min="4614" max="4614" width="10" style="525" customWidth="1"/>
    <col min="4615" max="4615" width="16.42578125" style="525" customWidth="1"/>
    <col min="4616" max="4616" width="10.5703125" style="525" customWidth="1"/>
    <col min="4617" max="4617" width="16.28515625" style="525" customWidth="1"/>
    <col min="4618" max="4618" width="17.140625" style="525" bestFit="1" customWidth="1"/>
    <col min="4619" max="4619" width="11.140625" style="525" customWidth="1"/>
    <col min="4620" max="4620" width="16.42578125" style="525" customWidth="1"/>
    <col min="4621" max="4864" width="9.140625" style="525"/>
    <col min="4865" max="4865" width="33" style="525" customWidth="1"/>
    <col min="4866" max="4866" width="9.5703125" style="525" customWidth="1"/>
    <col min="4867" max="4867" width="15" style="525" customWidth="1"/>
    <col min="4868" max="4868" width="9.5703125" style="525" customWidth="1"/>
    <col min="4869" max="4869" width="17.140625" style="525" bestFit="1" customWidth="1"/>
    <col min="4870" max="4870" width="10" style="525" customWidth="1"/>
    <col min="4871" max="4871" width="16.42578125" style="525" customWidth="1"/>
    <col min="4872" max="4872" width="10.5703125" style="525" customWidth="1"/>
    <col min="4873" max="4873" width="16.28515625" style="525" customWidth="1"/>
    <col min="4874" max="4874" width="17.140625" style="525" bestFit="1" customWidth="1"/>
    <col min="4875" max="4875" width="11.140625" style="525" customWidth="1"/>
    <col min="4876" max="4876" width="16.42578125" style="525" customWidth="1"/>
    <col min="4877" max="5120" width="9.140625" style="525"/>
    <col min="5121" max="5121" width="33" style="525" customWidth="1"/>
    <col min="5122" max="5122" width="9.5703125" style="525" customWidth="1"/>
    <col min="5123" max="5123" width="15" style="525" customWidth="1"/>
    <col min="5124" max="5124" width="9.5703125" style="525" customWidth="1"/>
    <col min="5125" max="5125" width="17.140625" style="525" bestFit="1" customWidth="1"/>
    <col min="5126" max="5126" width="10" style="525" customWidth="1"/>
    <col min="5127" max="5127" width="16.42578125" style="525" customWidth="1"/>
    <col min="5128" max="5128" width="10.5703125" style="525" customWidth="1"/>
    <col min="5129" max="5129" width="16.28515625" style="525" customWidth="1"/>
    <col min="5130" max="5130" width="17.140625" style="525" bestFit="1" customWidth="1"/>
    <col min="5131" max="5131" width="11.140625" style="525" customWidth="1"/>
    <col min="5132" max="5132" width="16.42578125" style="525" customWidth="1"/>
    <col min="5133" max="5376" width="9.140625" style="525"/>
    <col min="5377" max="5377" width="33" style="525" customWidth="1"/>
    <col min="5378" max="5378" width="9.5703125" style="525" customWidth="1"/>
    <col min="5379" max="5379" width="15" style="525" customWidth="1"/>
    <col min="5380" max="5380" width="9.5703125" style="525" customWidth="1"/>
    <col min="5381" max="5381" width="17.140625" style="525" bestFit="1" customWidth="1"/>
    <col min="5382" max="5382" width="10" style="525" customWidth="1"/>
    <col min="5383" max="5383" width="16.42578125" style="525" customWidth="1"/>
    <col min="5384" max="5384" width="10.5703125" style="525" customWidth="1"/>
    <col min="5385" max="5385" width="16.28515625" style="525" customWidth="1"/>
    <col min="5386" max="5386" width="17.140625" style="525" bestFit="1" customWidth="1"/>
    <col min="5387" max="5387" width="11.140625" style="525" customWidth="1"/>
    <col min="5388" max="5388" width="16.42578125" style="525" customWidth="1"/>
    <col min="5389" max="5632" width="9.140625" style="525"/>
    <col min="5633" max="5633" width="33" style="525" customWidth="1"/>
    <col min="5634" max="5634" width="9.5703125" style="525" customWidth="1"/>
    <col min="5635" max="5635" width="15" style="525" customWidth="1"/>
    <col min="5636" max="5636" width="9.5703125" style="525" customWidth="1"/>
    <col min="5637" max="5637" width="17.140625" style="525" bestFit="1" customWidth="1"/>
    <col min="5638" max="5638" width="10" style="525" customWidth="1"/>
    <col min="5639" max="5639" width="16.42578125" style="525" customWidth="1"/>
    <col min="5640" max="5640" width="10.5703125" style="525" customWidth="1"/>
    <col min="5641" max="5641" width="16.28515625" style="525" customWidth="1"/>
    <col min="5642" max="5642" width="17.140625" style="525" bestFit="1" customWidth="1"/>
    <col min="5643" max="5643" width="11.140625" style="525" customWidth="1"/>
    <col min="5644" max="5644" width="16.42578125" style="525" customWidth="1"/>
    <col min="5645" max="5888" width="9.140625" style="525"/>
    <col min="5889" max="5889" width="33" style="525" customWidth="1"/>
    <col min="5890" max="5890" width="9.5703125" style="525" customWidth="1"/>
    <col min="5891" max="5891" width="15" style="525" customWidth="1"/>
    <col min="5892" max="5892" width="9.5703125" style="525" customWidth="1"/>
    <col min="5893" max="5893" width="17.140625" style="525" bestFit="1" customWidth="1"/>
    <col min="5894" max="5894" width="10" style="525" customWidth="1"/>
    <col min="5895" max="5895" width="16.42578125" style="525" customWidth="1"/>
    <col min="5896" max="5896" width="10.5703125" style="525" customWidth="1"/>
    <col min="5897" max="5897" width="16.28515625" style="525" customWidth="1"/>
    <col min="5898" max="5898" width="17.140625" style="525" bestFit="1" customWidth="1"/>
    <col min="5899" max="5899" width="11.140625" style="525" customWidth="1"/>
    <col min="5900" max="5900" width="16.42578125" style="525" customWidth="1"/>
    <col min="5901" max="6144" width="9.140625" style="525"/>
    <col min="6145" max="6145" width="33" style="525" customWidth="1"/>
    <col min="6146" max="6146" width="9.5703125" style="525" customWidth="1"/>
    <col min="6147" max="6147" width="15" style="525" customWidth="1"/>
    <col min="6148" max="6148" width="9.5703125" style="525" customWidth="1"/>
    <col min="6149" max="6149" width="17.140625" style="525" bestFit="1" customWidth="1"/>
    <col min="6150" max="6150" width="10" style="525" customWidth="1"/>
    <col min="6151" max="6151" width="16.42578125" style="525" customWidth="1"/>
    <col min="6152" max="6152" width="10.5703125" style="525" customWidth="1"/>
    <col min="6153" max="6153" width="16.28515625" style="525" customWidth="1"/>
    <col min="6154" max="6154" width="17.140625" style="525" bestFit="1" customWidth="1"/>
    <col min="6155" max="6155" width="11.140625" style="525" customWidth="1"/>
    <col min="6156" max="6156" width="16.42578125" style="525" customWidth="1"/>
    <col min="6157" max="6400" width="9.140625" style="525"/>
    <col min="6401" max="6401" width="33" style="525" customWidth="1"/>
    <col min="6402" max="6402" width="9.5703125" style="525" customWidth="1"/>
    <col min="6403" max="6403" width="15" style="525" customWidth="1"/>
    <col min="6404" max="6404" width="9.5703125" style="525" customWidth="1"/>
    <col min="6405" max="6405" width="17.140625" style="525" bestFit="1" customWidth="1"/>
    <col min="6406" max="6406" width="10" style="525" customWidth="1"/>
    <col min="6407" max="6407" width="16.42578125" style="525" customWidth="1"/>
    <col min="6408" max="6408" width="10.5703125" style="525" customWidth="1"/>
    <col min="6409" max="6409" width="16.28515625" style="525" customWidth="1"/>
    <col min="6410" max="6410" width="17.140625" style="525" bestFit="1" customWidth="1"/>
    <col min="6411" max="6411" width="11.140625" style="525" customWidth="1"/>
    <col min="6412" max="6412" width="16.42578125" style="525" customWidth="1"/>
    <col min="6413" max="6656" width="9.140625" style="525"/>
    <col min="6657" max="6657" width="33" style="525" customWidth="1"/>
    <col min="6658" max="6658" width="9.5703125" style="525" customWidth="1"/>
    <col min="6659" max="6659" width="15" style="525" customWidth="1"/>
    <col min="6660" max="6660" width="9.5703125" style="525" customWidth="1"/>
    <col min="6661" max="6661" width="17.140625" style="525" bestFit="1" customWidth="1"/>
    <col min="6662" max="6662" width="10" style="525" customWidth="1"/>
    <col min="6663" max="6663" width="16.42578125" style="525" customWidth="1"/>
    <col min="6664" max="6664" width="10.5703125" style="525" customWidth="1"/>
    <col min="6665" max="6665" width="16.28515625" style="525" customWidth="1"/>
    <col min="6666" max="6666" width="17.140625" style="525" bestFit="1" customWidth="1"/>
    <col min="6667" max="6667" width="11.140625" style="525" customWidth="1"/>
    <col min="6668" max="6668" width="16.42578125" style="525" customWidth="1"/>
    <col min="6669" max="6912" width="9.140625" style="525"/>
    <col min="6913" max="6913" width="33" style="525" customWidth="1"/>
    <col min="6914" max="6914" width="9.5703125" style="525" customWidth="1"/>
    <col min="6915" max="6915" width="15" style="525" customWidth="1"/>
    <col min="6916" max="6916" width="9.5703125" style="525" customWidth="1"/>
    <col min="6917" max="6917" width="17.140625" style="525" bestFit="1" customWidth="1"/>
    <col min="6918" max="6918" width="10" style="525" customWidth="1"/>
    <col min="6919" max="6919" width="16.42578125" style="525" customWidth="1"/>
    <col min="6920" max="6920" width="10.5703125" style="525" customWidth="1"/>
    <col min="6921" max="6921" width="16.28515625" style="525" customWidth="1"/>
    <col min="6922" max="6922" width="17.140625" style="525" bestFit="1" customWidth="1"/>
    <col min="6923" max="6923" width="11.140625" style="525" customWidth="1"/>
    <col min="6924" max="6924" width="16.42578125" style="525" customWidth="1"/>
    <col min="6925" max="7168" width="9.140625" style="525"/>
    <col min="7169" max="7169" width="33" style="525" customWidth="1"/>
    <col min="7170" max="7170" width="9.5703125" style="525" customWidth="1"/>
    <col min="7171" max="7171" width="15" style="525" customWidth="1"/>
    <col min="7172" max="7172" width="9.5703125" style="525" customWidth="1"/>
    <col min="7173" max="7173" width="17.140625" style="525" bestFit="1" customWidth="1"/>
    <col min="7174" max="7174" width="10" style="525" customWidth="1"/>
    <col min="7175" max="7175" width="16.42578125" style="525" customWidth="1"/>
    <col min="7176" max="7176" width="10.5703125" style="525" customWidth="1"/>
    <col min="7177" max="7177" width="16.28515625" style="525" customWidth="1"/>
    <col min="7178" max="7178" width="17.140625" style="525" bestFit="1" customWidth="1"/>
    <col min="7179" max="7179" width="11.140625" style="525" customWidth="1"/>
    <col min="7180" max="7180" width="16.42578125" style="525" customWidth="1"/>
    <col min="7181" max="7424" width="9.140625" style="525"/>
    <col min="7425" max="7425" width="33" style="525" customWidth="1"/>
    <col min="7426" max="7426" width="9.5703125" style="525" customWidth="1"/>
    <col min="7427" max="7427" width="15" style="525" customWidth="1"/>
    <col min="7428" max="7428" width="9.5703125" style="525" customWidth="1"/>
    <col min="7429" max="7429" width="17.140625" style="525" bestFit="1" customWidth="1"/>
    <col min="7430" max="7430" width="10" style="525" customWidth="1"/>
    <col min="7431" max="7431" width="16.42578125" style="525" customWidth="1"/>
    <col min="7432" max="7432" width="10.5703125" style="525" customWidth="1"/>
    <col min="7433" max="7433" width="16.28515625" style="525" customWidth="1"/>
    <col min="7434" max="7434" width="17.140625" style="525" bestFit="1" customWidth="1"/>
    <col min="7435" max="7435" width="11.140625" style="525" customWidth="1"/>
    <col min="7436" max="7436" width="16.42578125" style="525" customWidth="1"/>
    <col min="7437" max="7680" width="9.140625" style="525"/>
    <col min="7681" max="7681" width="33" style="525" customWidth="1"/>
    <col min="7682" max="7682" width="9.5703125" style="525" customWidth="1"/>
    <col min="7683" max="7683" width="15" style="525" customWidth="1"/>
    <col min="7684" max="7684" width="9.5703125" style="525" customWidth="1"/>
    <col min="7685" max="7685" width="17.140625" style="525" bestFit="1" customWidth="1"/>
    <col min="7686" max="7686" width="10" style="525" customWidth="1"/>
    <col min="7687" max="7687" width="16.42578125" style="525" customWidth="1"/>
    <col min="7688" max="7688" width="10.5703125" style="525" customWidth="1"/>
    <col min="7689" max="7689" width="16.28515625" style="525" customWidth="1"/>
    <col min="7690" max="7690" width="17.140625" style="525" bestFit="1" customWidth="1"/>
    <col min="7691" max="7691" width="11.140625" style="525" customWidth="1"/>
    <col min="7692" max="7692" width="16.42578125" style="525" customWidth="1"/>
    <col min="7693" max="7936" width="9.140625" style="525"/>
    <col min="7937" max="7937" width="33" style="525" customWidth="1"/>
    <col min="7938" max="7938" width="9.5703125" style="525" customWidth="1"/>
    <col min="7939" max="7939" width="15" style="525" customWidth="1"/>
    <col min="7940" max="7940" width="9.5703125" style="525" customWidth="1"/>
    <col min="7941" max="7941" width="17.140625" style="525" bestFit="1" customWidth="1"/>
    <col min="7942" max="7942" width="10" style="525" customWidth="1"/>
    <col min="7943" max="7943" width="16.42578125" style="525" customWidth="1"/>
    <col min="7944" max="7944" width="10.5703125" style="525" customWidth="1"/>
    <col min="7945" max="7945" width="16.28515625" style="525" customWidth="1"/>
    <col min="7946" max="7946" width="17.140625" style="525" bestFit="1" customWidth="1"/>
    <col min="7947" max="7947" width="11.140625" style="525" customWidth="1"/>
    <col min="7948" max="7948" width="16.42578125" style="525" customWidth="1"/>
    <col min="7949" max="8192" width="9.140625" style="525"/>
    <col min="8193" max="8193" width="33" style="525" customWidth="1"/>
    <col min="8194" max="8194" width="9.5703125" style="525" customWidth="1"/>
    <col min="8195" max="8195" width="15" style="525" customWidth="1"/>
    <col min="8196" max="8196" width="9.5703125" style="525" customWidth="1"/>
    <col min="8197" max="8197" width="17.140625" style="525" bestFit="1" customWidth="1"/>
    <col min="8198" max="8198" width="10" style="525" customWidth="1"/>
    <col min="8199" max="8199" width="16.42578125" style="525" customWidth="1"/>
    <col min="8200" max="8200" width="10.5703125" style="525" customWidth="1"/>
    <col min="8201" max="8201" width="16.28515625" style="525" customWidth="1"/>
    <col min="8202" max="8202" width="17.140625" style="525" bestFit="1" customWidth="1"/>
    <col min="8203" max="8203" width="11.140625" style="525" customWidth="1"/>
    <col min="8204" max="8204" width="16.42578125" style="525" customWidth="1"/>
    <col min="8205" max="8448" width="9.140625" style="525"/>
    <col min="8449" max="8449" width="33" style="525" customWidth="1"/>
    <col min="8450" max="8450" width="9.5703125" style="525" customWidth="1"/>
    <col min="8451" max="8451" width="15" style="525" customWidth="1"/>
    <col min="8452" max="8452" width="9.5703125" style="525" customWidth="1"/>
    <col min="8453" max="8453" width="17.140625" style="525" bestFit="1" customWidth="1"/>
    <col min="8454" max="8454" width="10" style="525" customWidth="1"/>
    <col min="8455" max="8455" width="16.42578125" style="525" customWidth="1"/>
    <col min="8456" max="8456" width="10.5703125" style="525" customWidth="1"/>
    <col min="8457" max="8457" width="16.28515625" style="525" customWidth="1"/>
    <col min="8458" max="8458" width="17.140625" style="525" bestFit="1" customWidth="1"/>
    <col min="8459" max="8459" width="11.140625" style="525" customWidth="1"/>
    <col min="8460" max="8460" width="16.42578125" style="525" customWidth="1"/>
    <col min="8461" max="8704" width="9.140625" style="525"/>
    <col min="8705" max="8705" width="33" style="525" customWidth="1"/>
    <col min="8706" max="8706" width="9.5703125" style="525" customWidth="1"/>
    <col min="8707" max="8707" width="15" style="525" customWidth="1"/>
    <col min="8708" max="8708" width="9.5703125" style="525" customWidth="1"/>
    <col min="8709" max="8709" width="17.140625" style="525" bestFit="1" customWidth="1"/>
    <col min="8710" max="8710" width="10" style="525" customWidth="1"/>
    <col min="8711" max="8711" width="16.42578125" style="525" customWidth="1"/>
    <col min="8712" max="8712" width="10.5703125" style="525" customWidth="1"/>
    <col min="8713" max="8713" width="16.28515625" style="525" customWidth="1"/>
    <col min="8714" max="8714" width="17.140625" style="525" bestFit="1" customWidth="1"/>
    <col min="8715" max="8715" width="11.140625" style="525" customWidth="1"/>
    <col min="8716" max="8716" width="16.42578125" style="525" customWidth="1"/>
    <col min="8717" max="8960" width="9.140625" style="525"/>
    <col min="8961" max="8961" width="33" style="525" customWidth="1"/>
    <col min="8962" max="8962" width="9.5703125" style="525" customWidth="1"/>
    <col min="8963" max="8963" width="15" style="525" customWidth="1"/>
    <col min="8964" max="8964" width="9.5703125" style="525" customWidth="1"/>
    <col min="8965" max="8965" width="17.140625" style="525" bestFit="1" customWidth="1"/>
    <col min="8966" max="8966" width="10" style="525" customWidth="1"/>
    <col min="8967" max="8967" width="16.42578125" style="525" customWidth="1"/>
    <col min="8968" max="8968" width="10.5703125" style="525" customWidth="1"/>
    <col min="8969" max="8969" width="16.28515625" style="525" customWidth="1"/>
    <col min="8970" max="8970" width="17.140625" style="525" bestFit="1" customWidth="1"/>
    <col min="8971" max="8971" width="11.140625" style="525" customWidth="1"/>
    <col min="8972" max="8972" width="16.42578125" style="525" customWidth="1"/>
    <col min="8973" max="9216" width="9.140625" style="525"/>
    <col min="9217" max="9217" width="33" style="525" customWidth="1"/>
    <col min="9218" max="9218" width="9.5703125" style="525" customWidth="1"/>
    <col min="9219" max="9219" width="15" style="525" customWidth="1"/>
    <col min="9220" max="9220" width="9.5703125" style="525" customWidth="1"/>
    <col min="9221" max="9221" width="17.140625" style="525" bestFit="1" customWidth="1"/>
    <col min="9222" max="9222" width="10" style="525" customWidth="1"/>
    <col min="9223" max="9223" width="16.42578125" style="525" customWidth="1"/>
    <col min="9224" max="9224" width="10.5703125" style="525" customWidth="1"/>
    <col min="9225" max="9225" width="16.28515625" style="525" customWidth="1"/>
    <col min="9226" max="9226" width="17.140625" style="525" bestFit="1" customWidth="1"/>
    <col min="9227" max="9227" width="11.140625" style="525" customWidth="1"/>
    <col min="9228" max="9228" width="16.42578125" style="525" customWidth="1"/>
    <col min="9229" max="9472" width="9.140625" style="525"/>
    <col min="9473" max="9473" width="33" style="525" customWidth="1"/>
    <col min="9474" max="9474" width="9.5703125" style="525" customWidth="1"/>
    <col min="9475" max="9475" width="15" style="525" customWidth="1"/>
    <col min="9476" max="9476" width="9.5703125" style="525" customWidth="1"/>
    <col min="9477" max="9477" width="17.140625" style="525" bestFit="1" customWidth="1"/>
    <col min="9478" max="9478" width="10" style="525" customWidth="1"/>
    <col min="9479" max="9479" width="16.42578125" style="525" customWidth="1"/>
    <col min="9480" max="9480" width="10.5703125" style="525" customWidth="1"/>
    <col min="9481" max="9481" width="16.28515625" style="525" customWidth="1"/>
    <col min="9482" max="9482" width="17.140625" style="525" bestFit="1" customWidth="1"/>
    <col min="9483" max="9483" width="11.140625" style="525" customWidth="1"/>
    <col min="9484" max="9484" width="16.42578125" style="525" customWidth="1"/>
    <col min="9485" max="9728" width="9.140625" style="525"/>
    <col min="9729" max="9729" width="33" style="525" customWidth="1"/>
    <col min="9730" max="9730" width="9.5703125" style="525" customWidth="1"/>
    <col min="9731" max="9731" width="15" style="525" customWidth="1"/>
    <col min="9732" max="9732" width="9.5703125" style="525" customWidth="1"/>
    <col min="9733" max="9733" width="17.140625" style="525" bestFit="1" customWidth="1"/>
    <col min="9734" max="9734" width="10" style="525" customWidth="1"/>
    <col min="9735" max="9735" width="16.42578125" style="525" customWidth="1"/>
    <col min="9736" max="9736" width="10.5703125" style="525" customWidth="1"/>
    <col min="9737" max="9737" width="16.28515625" style="525" customWidth="1"/>
    <col min="9738" max="9738" width="17.140625" style="525" bestFit="1" customWidth="1"/>
    <col min="9739" max="9739" width="11.140625" style="525" customWidth="1"/>
    <col min="9740" max="9740" width="16.42578125" style="525" customWidth="1"/>
    <col min="9741" max="9984" width="9.140625" style="525"/>
    <col min="9985" max="9985" width="33" style="525" customWidth="1"/>
    <col min="9986" max="9986" width="9.5703125" style="525" customWidth="1"/>
    <col min="9987" max="9987" width="15" style="525" customWidth="1"/>
    <col min="9988" max="9988" width="9.5703125" style="525" customWidth="1"/>
    <col min="9989" max="9989" width="17.140625" style="525" bestFit="1" customWidth="1"/>
    <col min="9990" max="9990" width="10" style="525" customWidth="1"/>
    <col min="9991" max="9991" width="16.42578125" style="525" customWidth="1"/>
    <col min="9992" max="9992" width="10.5703125" style="525" customWidth="1"/>
    <col min="9993" max="9993" width="16.28515625" style="525" customWidth="1"/>
    <col min="9994" max="9994" width="17.140625" style="525" bestFit="1" customWidth="1"/>
    <col min="9995" max="9995" width="11.140625" style="525" customWidth="1"/>
    <col min="9996" max="9996" width="16.42578125" style="525" customWidth="1"/>
    <col min="9997" max="10240" width="9.140625" style="525"/>
    <col min="10241" max="10241" width="33" style="525" customWidth="1"/>
    <col min="10242" max="10242" width="9.5703125" style="525" customWidth="1"/>
    <col min="10243" max="10243" width="15" style="525" customWidth="1"/>
    <col min="10244" max="10244" width="9.5703125" style="525" customWidth="1"/>
    <col min="10245" max="10245" width="17.140625" style="525" bestFit="1" customWidth="1"/>
    <col min="10246" max="10246" width="10" style="525" customWidth="1"/>
    <col min="10247" max="10247" width="16.42578125" style="525" customWidth="1"/>
    <col min="10248" max="10248" width="10.5703125" style="525" customWidth="1"/>
    <col min="10249" max="10249" width="16.28515625" style="525" customWidth="1"/>
    <col min="10250" max="10250" width="17.140625" style="525" bestFit="1" customWidth="1"/>
    <col min="10251" max="10251" width="11.140625" style="525" customWidth="1"/>
    <col min="10252" max="10252" width="16.42578125" style="525" customWidth="1"/>
    <col min="10253" max="10496" width="9.140625" style="525"/>
    <col min="10497" max="10497" width="33" style="525" customWidth="1"/>
    <col min="10498" max="10498" width="9.5703125" style="525" customWidth="1"/>
    <col min="10499" max="10499" width="15" style="525" customWidth="1"/>
    <col min="10500" max="10500" width="9.5703125" style="525" customWidth="1"/>
    <col min="10501" max="10501" width="17.140625" style="525" bestFit="1" customWidth="1"/>
    <col min="10502" max="10502" width="10" style="525" customWidth="1"/>
    <col min="10503" max="10503" width="16.42578125" style="525" customWidth="1"/>
    <col min="10504" max="10504" width="10.5703125" style="525" customWidth="1"/>
    <col min="10505" max="10505" width="16.28515625" style="525" customWidth="1"/>
    <col min="10506" max="10506" width="17.140625" style="525" bestFit="1" customWidth="1"/>
    <col min="10507" max="10507" width="11.140625" style="525" customWidth="1"/>
    <col min="10508" max="10508" width="16.42578125" style="525" customWidth="1"/>
    <col min="10509" max="10752" width="9.140625" style="525"/>
    <col min="10753" max="10753" width="33" style="525" customWidth="1"/>
    <col min="10754" max="10754" width="9.5703125" style="525" customWidth="1"/>
    <col min="10755" max="10755" width="15" style="525" customWidth="1"/>
    <col min="10756" max="10756" width="9.5703125" style="525" customWidth="1"/>
    <col min="10757" max="10757" width="17.140625" style="525" bestFit="1" customWidth="1"/>
    <col min="10758" max="10758" width="10" style="525" customWidth="1"/>
    <col min="10759" max="10759" width="16.42578125" style="525" customWidth="1"/>
    <col min="10760" max="10760" width="10.5703125" style="525" customWidth="1"/>
    <col min="10761" max="10761" width="16.28515625" style="525" customWidth="1"/>
    <col min="10762" max="10762" width="17.140625" style="525" bestFit="1" customWidth="1"/>
    <col min="10763" max="10763" width="11.140625" style="525" customWidth="1"/>
    <col min="10764" max="10764" width="16.42578125" style="525" customWidth="1"/>
    <col min="10765" max="11008" width="9.140625" style="525"/>
    <col min="11009" max="11009" width="33" style="525" customWidth="1"/>
    <col min="11010" max="11010" width="9.5703125" style="525" customWidth="1"/>
    <col min="11011" max="11011" width="15" style="525" customWidth="1"/>
    <col min="11012" max="11012" width="9.5703125" style="525" customWidth="1"/>
    <col min="11013" max="11013" width="17.140625" style="525" bestFit="1" customWidth="1"/>
    <col min="11014" max="11014" width="10" style="525" customWidth="1"/>
    <col min="11015" max="11015" width="16.42578125" style="525" customWidth="1"/>
    <col min="11016" max="11016" width="10.5703125" style="525" customWidth="1"/>
    <col min="11017" max="11017" width="16.28515625" style="525" customWidth="1"/>
    <col min="11018" max="11018" width="17.140625" style="525" bestFit="1" customWidth="1"/>
    <col min="11019" max="11019" width="11.140625" style="525" customWidth="1"/>
    <col min="11020" max="11020" width="16.42578125" style="525" customWidth="1"/>
    <col min="11021" max="11264" width="9.140625" style="525"/>
    <col min="11265" max="11265" width="33" style="525" customWidth="1"/>
    <col min="11266" max="11266" width="9.5703125" style="525" customWidth="1"/>
    <col min="11267" max="11267" width="15" style="525" customWidth="1"/>
    <col min="11268" max="11268" width="9.5703125" style="525" customWidth="1"/>
    <col min="11269" max="11269" width="17.140625" style="525" bestFit="1" customWidth="1"/>
    <col min="11270" max="11270" width="10" style="525" customWidth="1"/>
    <col min="11271" max="11271" width="16.42578125" style="525" customWidth="1"/>
    <col min="11272" max="11272" width="10.5703125" style="525" customWidth="1"/>
    <col min="11273" max="11273" width="16.28515625" style="525" customWidth="1"/>
    <col min="11274" max="11274" width="17.140625" style="525" bestFit="1" customWidth="1"/>
    <col min="11275" max="11275" width="11.140625" style="525" customWidth="1"/>
    <col min="11276" max="11276" width="16.42578125" style="525" customWidth="1"/>
    <col min="11277" max="11520" width="9.140625" style="525"/>
    <col min="11521" max="11521" width="33" style="525" customWidth="1"/>
    <col min="11522" max="11522" width="9.5703125" style="525" customWidth="1"/>
    <col min="11523" max="11523" width="15" style="525" customWidth="1"/>
    <col min="11524" max="11524" width="9.5703125" style="525" customWidth="1"/>
    <col min="11525" max="11525" width="17.140625" style="525" bestFit="1" customWidth="1"/>
    <col min="11526" max="11526" width="10" style="525" customWidth="1"/>
    <col min="11527" max="11527" width="16.42578125" style="525" customWidth="1"/>
    <col min="11528" max="11528" width="10.5703125" style="525" customWidth="1"/>
    <col min="11529" max="11529" width="16.28515625" style="525" customWidth="1"/>
    <col min="11530" max="11530" width="17.140625" style="525" bestFit="1" customWidth="1"/>
    <col min="11531" max="11531" width="11.140625" style="525" customWidth="1"/>
    <col min="11532" max="11532" width="16.42578125" style="525" customWidth="1"/>
    <col min="11533" max="11776" width="9.140625" style="525"/>
    <col min="11777" max="11777" width="33" style="525" customWidth="1"/>
    <col min="11778" max="11778" width="9.5703125" style="525" customWidth="1"/>
    <col min="11779" max="11779" width="15" style="525" customWidth="1"/>
    <col min="11780" max="11780" width="9.5703125" style="525" customWidth="1"/>
    <col min="11781" max="11781" width="17.140625" style="525" bestFit="1" customWidth="1"/>
    <col min="11782" max="11782" width="10" style="525" customWidth="1"/>
    <col min="11783" max="11783" width="16.42578125" style="525" customWidth="1"/>
    <col min="11784" max="11784" width="10.5703125" style="525" customWidth="1"/>
    <col min="11785" max="11785" width="16.28515625" style="525" customWidth="1"/>
    <col min="11786" max="11786" width="17.140625" style="525" bestFit="1" customWidth="1"/>
    <col min="11787" max="11787" width="11.140625" style="525" customWidth="1"/>
    <col min="11788" max="11788" width="16.42578125" style="525" customWidth="1"/>
    <col min="11789" max="12032" width="9.140625" style="525"/>
    <col min="12033" max="12033" width="33" style="525" customWidth="1"/>
    <col min="12034" max="12034" width="9.5703125" style="525" customWidth="1"/>
    <col min="12035" max="12035" width="15" style="525" customWidth="1"/>
    <col min="12036" max="12036" width="9.5703125" style="525" customWidth="1"/>
    <col min="12037" max="12037" width="17.140625" style="525" bestFit="1" customWidth="1"/>
    <col min="12038" max="12038" width="10" style="525" customWidth="1"/>
    <col min="12039" max="12039" width="16.42578125" style="525" customWidth="1"/>
    <col min="12040" max="12040" width="10.5703125" style="525" customWidth="1"/>
    <col min="12041" max="12041" width="16.28515625" style="525" customWidth="1"/>
    <col min="12042" max="12042" width="17.140625" style="525" bestFit="1" customWidth="1"/>
    <col min="12043" max="12043" width="11.140625" style="525" customWidth="1"/>
    <col min="12044" max="12044" width="16.42578125" style="525" customWidth="1"/>
    <col min="12045" max="12288" width="9.140625" style="525"/>
    <col min="12289" max="12289" width="33" style="525" customWidth="1"/>
    <col min="12290" max="12290" width="9.5703125" style="525" customWidth="1"/>
    <col min="12291" max="12291" width="15" style="525" customWidth="1"/>
    <col min="12292" max="12292" width="9.5703125" style="525" customWidth="1"/>
    <col min="12293" max="12293" width="17.140625" style="525" bestFit="1" customWidth="1"/>
    <col min="12294" max="12294" width="10" style="525" customWidth="1"/>
    <col min="12295" max="12295" width="16.42578125" style="525" customWidth="1"/>
    <col min="12296" max="12296" width="10.5703125" style="525" customWidth="1"/>
    <col min="12297" max="12297" width="16.28515625" style="525" customWidth="1"/>
    <col min="12298" max="12298" width="17.140625" style="525" bestFit="1" customWidth="1"/>
    <col min="12299" max="12299" width="11.140625" style="525" customWidth="1"/>
    <col min="12300" max="12300" width="16.42578125" style="525" customWidth="1"/>
    <col min="12301" max="12544" width="9.140625" style="525"/>
    <col min="12545" max="12545" width="33" style="525" customWidth="1"/>
    <col min="12546" max="12546" width="9.5703125" style="525" customWidth="1"/>
    <col min="12547" max="12547" width="15" style="525" customWidth="1"/>
    <col min="12548" max="12548" width="9.5703125" style="525" customWidth="1"/>
    <col min="12549" max="12549" width="17.140625" style="525" bestFit="1" customWidth="1"/>
    <col min="12550" max="12550" width="10" style="525" customWidth="1"/>
    <col min="12551" max="12551" width="16.42578125" style="525" customWidth="1"/>
    <col min="12552" max="12552" width="10.5703125" style="525" customWidth="1"/>
    <col min="12553" max="12553" width="16.28515625" style="525" customWidth="1"/>
    <col min="12554" max="12554" width="17.140625" style="525" bestFit="1" customWidth="1"/>
    <col min="12555" max="12555" width="11.140625" style="525" customWidth="1"/>
    <col min="12556" max="12556" width="16.42578125" style="525" customWidth="1"/>
    <col min="12557" max="12800" width="9.140625" style="525"/>
    <col min="12801" max="12801" width="33" style="525" customWidth="1"/>
    <col min="12802" max="12802" width="9.5703125" style="525" customWidth="1"/>
    <col min="12803" max="12803" width="15" style="525" customWidth="1"/>
    <col min="12804" max="12804" width="9.5703125" style="525" customWidth="1"/>
    <col min="12805" max="12805" width="17.140625" style="525" bestFit="1" customWidth="1"/>
    <col min="12806" max="12806" width="10" style="525" customWidth="1"/>
    <col min="12807" max="12807" width="16.42578125" style="525" customWidth="1"/>
    <col min="12808" max="12808" width="10.5703125" style="525" customWidth="1"/>
    <col min="12809" max="12809" width="16.28515625" style="525" customWidth="1"/>
    <col min="12810" max="12810" width="17.140625" style="525" bestFit="1" customWidth="1"/>
    <col min="12811" max="12811" width="11.140625" style="525" customWidth="1"/>
    <col min="12812" max="12812" width="16.42578125" style="525" customWidth="1"/>
    <col min="12813" max="13056" width="9.140625" style="525"/>
    <col min="13057" max="13057" width="33" style="525" customWidth="1"/>
    <col min="13058" max="13058" width="9.5703125" style="525" customWidth="1"/>
    <col min="13059" max="13059" width="15" style="525" customWidth="1"/>
    <col min="13060" max="13060" width="9.5703125" style="525" customWidth="1"/>
    <col min="13061" max="13061" width="17.140625" style="525" bestFit="1" customWidth="1"/>
    <col min="13062" max="13062" width="10" style="525" customWidth="1"/>
    <col min="13063" max="13063" width="16.42578125" style="525" customWidth="1"/>
    <col min="13064" max="13064" width="10.5703125" style="525" customWidth="1"/>
    <col min="13065" max="13065" width="16.28515625" style="525" customWidth="1"/>
    <col min="13066" max="13066" width="17.140625" style="525" bestFit="1" customWidth="1"/>
    <col min="13067" max="13067" width="11.140625" style="525" customWidth="1"/>
    <col min="13068" max="13068" width="16.42578125" style="525" customWidth="1"/>
    <col min="13069" max="13312" width="9.140625" style="525"/>
    <col min="13313" max="13313" width="33" style="525" customWidth="1"/>
    <col min="13314" max="13314" width="9.5703125" style="525" customWidth="1"/>
    <col min="13315" max="13315" width="15" style="525" customWidth="1"/>
    <col min="13316" max="13316" width="9.5703125" style="525" customWidth="1"/>
    <col min="13317" max="13317" width="17.140625" style="525" bestFit="1" customWidth="1"/>
    <col min="13318" max="13318" width="10" style="525" customWidth="1"/>
    <col min="13319" max="13319" width="16.42578125" style="525" customWidth="1"/>
    <col min="13320" max="13320" width="10.5703125" style="525" customWidth="1"/>
    <col min="13321" max="13321" width="16.28515625" style="525" customWidth="1"/>
    <col min="13322" max="13322" width="17.140625" style="525" bestFit="1" customWidth="1"/>
    <col min="13323" max="13323" width="11.140625" style="525" customWidth="1"/>
    <col min="13324" max="13324" width="16.42578125" style="525" customWidth="1"/>
    <col min="13325" max="13568" width="9.140625" style="525"/>
    <col min="13569" max="13569" width="33" style="525" customWidth="1"/>
    <col min="13570" max="13570" width="9.5703125" style="525" customWidth="1"/>
    <col min="13571" max="13571" width="15" style="525" customWidth="1"/>
    <col min="13572" max="13572" width="9.5703125" style="525" customWidth="1"/>
    <col min="13573" max="13573" width="17.140625" style="525" bestFit="1" customWidth="1"/>
    <col min="13574" max="13574" width="10" style="525" customWidth="1"/>
    <col min="13575" max="13575" width="16.42578125" style="525" customWidth="1"/>
    <col min="13576" max="13576" width="10.5703125" style="525" customWidth="1"/>
    <col min="13577" max="13577" width="16.28515625" style="525" customWidth="1"/>
    <col min="13578" max="13578" width="17.140625" style="525" bestFit="1" customWidth="1"/>
    <col min="13579" max="13579" width="11.140625" style="525" customWidth="1"/>
    <col min="13580" max="13580" width="16.42578125" style="525" customWidth="1"/>
    <col min="13581" max="13824" width="9.140625" style="525"/>
    <col min="13825" max="13825" width="33" style="525" customWidth="1"/>
    <col min="13826" max="13826" width="9.5703125" style="525" customWidth="1"/>
    <col min="13827" max="13827" width="15" style="525" customWidth="1"/>
    <col min="13828" max="13828" width="9.5703125" style="525" customWidth="1"/>
    <col min="13829" max="13829" width="17.140625" style="525" bestFit="1" customWidth="1"/>
    <col min="13830" max="13830" width="10" style="525" customWidth="1"/>
    <col min="13831" max="13831" width="16.42578125" style="525" customWidth="1"/>
    <col min="13832" max="13832" width="10.5703125" style="525" customWidth="1"/>
    <col min="13833" max="13833" width="16.28515625" style="525" customWidth="1"/>
    <col min="13834" max="13834" width="17.140625" style="525" bestFit="1" customWidth="1"/>
    <col min="13835" max="13835" width="11.140625" style="525" customWidth="1"/>
    <col min="13836" max="13836" width="16.42578125" style="525" customWidth="1"/>
    <col min="13837" max="14080" width="9.140625" style="525"/>
    <col min="14081" max="14081" width="33" style="525" customWidth="1"/>
    <col min="14082" max="14082" width="9.5703125" style="525" customWidth="1"/>
    <col min="14083" max="14083" width="15" style="525" customWidth="1"/>
    <col min="14084" max="14084" width="9.5703125" style="525" customWidth="1"/>
    <col min="14085" max="14085" width="17.140625" style="525" bestFit="1" customWidth="1"/>
    <col min="14086" max="14086" width="10" style="525" customWidth="1"/>
    <col min="14087" max="14087" width="16.42578125" style="525" customWidth="1"/>
    <col min="14088" max="14088" width="10.5703125" style="525" customWidth="1"/>
    <col min="14089" max="14089" width="16.28515625" style="525" customWidth="1"/>
    <col min="14090" max="14090" width="17.140625" style="525" bestFit="1" customWidth="1"/>
    <col min="14091" max="14091" width="11.140625" style="525" customWidth="1"/>
    <col min="14092" max="14092" width="16.42578125" style="525" customWidth="1"/>
    <col min="14093" max="14336" width="9.140625" style="525"/>
    <col min="14337" max="14337" width="33" style="525" customWidth="1"/>
    <col min="14338" max="14338" width="9.5703125" style="525" customWidth="1"/>
    <col min="14339" max="14339" width="15" style="525" customWidth="1"/>
    <col min="14340" max="14340" width="9.5703125" style="525" customWidth="1"/>
    <col min="14341" max="14341" width="17.140625" style="525" bestFit="1" customWidth="1"/>
    <col min="14342" max="14342" width="10" style="525" customWidth="1"/>
    <col min="14343" max="14343" width="16.42578125" style="525" customWidth="1"/>
    <col min="14344" max="14344" width="10.5703125" style="525" customWidth="1"/>
    <col min="14345" max="14345" width="16.28515625" style="525" customWidth="1"/>
    <col min="14346" max="14346" width="17.140625" style="525" bestFit="1" customWidth="1"/>
    <col min="14347" max="14347" width="11.140625" style="525" customWidth="1"/>
    <col min="14348" max="14348" width="16.42578125" style="525" customWidth="1"/>
    <col min="14349" max="14592" width="9.140625" style="525"/>
    <col min="14593" max="14593" width="33" style="525" customWidth="1"/>
    <col min="14594" max="14594" width="9.5703125" style="525" customWidth="1"/>
    <col min="14595" max="14595" width="15" style="525" customWidth="1"/>
    <col min="14596" max="14596" width="9.5703125" style="525" customWidth="1"/>
    <col min="14597" max="14597" width="17.140625" style="525" bestFit="1" customWidth="1"/>
    <col min="14598" max="14598" width="10" style="525" customWidth="1"/>
    <col min="14599" max="14599" width="16.42578125" style="525" customWidth="1"/>
    <col min="14600" max="14600" width="10.5703125" style="525" customWidth="1"/>
    <col min="14601" max="14601" width="16.28515625" style="525" customWidth="1"/>
    <col min="14602" max="14602" width="17.140625" style="525" bestFit="1" customWidth="1"/>
    <col min="14603" max="14603" width="11.140625" style="525" customWidth="1"/>
    <col min="14604" max="14604" width="16.42578125" style="525" customWidth="1"/>
    <col min="14605" max="14848" width="9.140625" style="525"/>
    <col min="14849" max="14849" width="33" style="525" customWidth="1"/>
    <col min="14850" max="14850" width="9.5703125" style="525" customWidth="1"/>
    <col min="14851" max="14851" width="15" style="525" customWidth="1"/>
    <col min="14852" max="14852" width="9.5703125" style="525" customWidth="1"/>
    <col min="14853" max="14853" width="17.140625" style="525" bestFit="1" customWidth="1"/>
    <col min="14854" max="14854" width="10" style="525" customWidth="1"/>
    <col min="14855" max="14855" width="16.42578125" style="525" customWidth="1"/>
    <col min="14856" max="14856" width="10.5703125" style="525" customWidth="1"/>
    <col min="14857" max="14857" width="16.28515625" style="525" customWidth="1"/>
    <col min="14858" max="14858" width="17.140625" style="525" bestFit="1" customWidth="1"/>
    <col min="14859" max="14859" width="11.140625" style="525" customWidth="1"/>
    <col min="14860" max="14860" width="16.42578125" style="525" customWidth="1"/>
    <col min="14861" max="15104" width="9.140625" style="525"/>
    <col min="15105" max="15105" width="33" style="525" customWidth="1"/>
    <col min="15106" max="15106" width="9.5703125" style="525" customWidth="1"/>
    <col min="15107" max="15107" width="15" style="525" customWidth="1"/>
    <col min="15108" max="15108" width="9.5703125" style="525" customWidth="1"/>
    <col min="15109" max="15109" width="17.140625" style="525" bestFit="1" customWidth="1"/>
    <col min="15110" max="15110" width="10" style="525" customWidth="1"/>
    <col min="15111" max="15111" width="16.42578125" style="525" customWidth="1"/>
    <col min="15112" max="15112" width="10.5703125" style="525" customWidth="1"/>
    <col min="15113" max="15113" width="16.28515625" style="525" customWidth="1"/>
    <col min="15114" max="15114" width="17.140625" style="525" bestFit="1" customWidth="1"/>
    <col min="15115" max="15115" width="11.140625" style="525" customWidth="1"/>
    <col min="15116" max="15116" width="16.42578125" style="525" customWidth="1"/>
    <col min="15117" max="15360" width="9.140625" style="525"/>
    <col min="15361" max="15361" width="33" style="525" customWidth="1"/>
    <col min="15362" max="15362" width="9.5703125" style="525" customWidth="1"/>
    <col min="15363" max="15363" width="15" style="525" customWidth="1"/>
    <col min="15364" max="15364" width="9.5703125" style="525" customWidth="1"/>
    <col min="15365" max="15365" width="17.140625" style="525" bestFit="1" customWidth="1"/>
    <col min="15366" max="15366" width="10" style="525" customWidth="1"/>
    <col min="15367" max="15367" width="16.42578125" style="525" customWidth="1"/>
    <col min="15368" max="15368" width="10.5703125" style="525" customWidth="1"/>
    <col min="15369" max="15369" width="16.28515625" style="525" customWidth="1"/>
    <col min="15370" max="15370" width="17.140625" style="525" bestFit="1" customWidth="1"/>
    <col min="15371" max="15371" width="11.140625" style="525" customWidth="1"/>
    <col min="15372" max="15372" width="16.42578125" style="525" customWidth="1"/>
    <col min="15373" max="15616" width="9.140625" style="525"/>
    <col min="15617" max="15617" width="33" style="525" customWidth="1"/>
    <col min="15618" max="15618" width="9.5703125" style="525" customWidth="1"/>
    <col min="15619" max="15619" width="15" style="525" customWidth="1"/>
    <col min="15620" max="15620" width="9.5703125" style="525" customWidth="1"/>
    <col min="15621" max="15621" width="17.140625" style="525" bestFit="1" customWidth="1"/>
    <col min="15622" max="15622" width="10" style="525" customWidth="1"/>
    <col min="15623" max="15623" width="16.42578125" style="525" customWidth="1"/>
    <col min="15624" max="15624" width="10.5703125" style="525" customWidth="1"/>
    <col min="15625" max="15625" width="16.28515625" style="525" customWidth="1"/>
    <col min="15626" max="15626" width="17.140625" style="525" bestFit="1" customWidth="1"/>
    <col min="15627" max="15627" width="11.140625" style="525" customWidth="1"/>
    <col min="15628" max="15628" width="16.42578125" style="525" customWidth="1"/>
    <col min="15629" max="15872" width="9.140625" style="525"/>
    <col min="15873" max="15873" width="33" style="525" customWidth="1"/>
    <col min="15874" max="15874" width="9.5703125" style="525" customWidth="1"/>
    <col min="15875" max="15875" width="15" style="525" customWidth="1"/>
    <col min="15876" max="15876" width="9.5703125" style="525" customWidth="1"/>
    <col min="15877" max="15877" width="17.140625" style="525" bestFit="1" customWidth="1"/>
    <col min="15878" max="15878" width="10" style="525" customWidth="1"/>
    <col min="15879" max="15879" width="16.42578125" style="525" customWidth="1"/>
    <col min="15880" max="15880" width="10.5703125" style="525" customWidth="1"/>
    <col min="15881" max="15881" width="16.28515625" style="525" customWidth="1"/>
    <col min="15882" max="15882" width="17.140625" style="525" bestFit="1" customWidth="1"/>
    <col min="15883" max="15883" width="11.140625" style="525" customWidth="1"/>
    <col min="15884" max="15884" width="16.42578125" style="525" customWidth="1"/>
    <col min="15885" max="16128" width="9.140625" style="525"/>
    <col min="16129" max="16129" width="33" style="525" customWidth="1"/>
    <col min="16130" max="16130" width="9.5703125" style="525" customWidth="1"/>
    <col min="16131" max="16131" width="15" style="525" customWidth="1"/>
    <col min="16132" max="16132" width="9.5703125" style="525" customWidth="1"/>
    <col min="16133" max="16133" width="17.140625" style="525" bestFit="1" customWidth="1"/>
    <col min="16134" max="16134" width="10" style="525" customWidth="1"/>
    <col min="16135" max="16135" width="16.42578125" style="525" customWidth="1"/>
    <col min="16136" max="16136" width="10.5703125" style="525" customWidth="1"/>
    <col min="16137" max="16137" width="16.28515625" style="525" customWidth="1"/>
    <col min="16138" max="16138" width="17.140625" style="525" bestFit="1" customWidth="1"/>
    <col min="16139" max="16139" width="11.140625" style="525" customWidth="1"/>
    <col min="16140" max="16140" width="16.42578125" style="525" customWidth="1"/>
    <col min="16141" max="16384" width="9.140625" style="525"/>
  </cols>
  <sheetData>
    <row r="1" spans="1:12">
      <c r="C1" s="526" t="s">
        <v>1412</v>
      </c>
      <c r="G1" s="1388" t="s">
        <v>1020</v>
      </c>
    </row>
    <row r="4" spans="1:12">
      <c r="A4" s="2740" t="s">
        <v>1411</v>
      </c>
      <c r="B4" s="2740"/>
      <c r="C4" s="2740"/>
      <c r="D4" s="2740"/>
      <c r="E4" s="2740"/>
      <c r="F4" s="2740"/>
      <c r="G4" s="2740"/>
      <c r="H4" s="2740"/>
      <c r="I4" s="2740"/>
      <c r="J4" s="2740"/>
      <c r="K4" s="2740"/>
      <c r="L4" s="2740"/>
    </row>
    <row r="5" spans="1:12" ht="17.25">
      <c r="A5" s="2741" t="s">
        <v>1361</v>
      </c>
      <c r="B5" s="2741"/>
      <c r="C5" s="2741"/>
      <c r="D5" s="2741"/>
      <c r="E5" s="2741"/>
      <c r="F5" s="2741"/>
      <c r="G5" s="2741"/>
      <c r="H5" s="2741"/>
      <c r="I5" s="2741"/>
      <c r="J5" s="2741"/>
      <c r="K5" s="2741"/>
      <c r="L5" s="2741"/>
    </row>
    <row r="6" spans="1:12">
      <c r="A6" s="2357"/>
      <c r="B6" s="2357"/>
      <c r="C6" s="2304"/>
      <c r="D6" s="2357"/>
      <c r="E6" s="2357"/>
      <c r="F6" s="2357"/>
      <c r="G6" s="2357"/>
      <c r="H6" s="2357"/>
      <c r="I6" s="2357"/>
      <c r="J6" s="2357"/>
      <c r="K6" s="2742" t="s">
        <v>1263</v>
      </c>
      <c r="L6" s="2742"/>
    </row>
    <row r="7" spans="1:12" s="568" customFormat="1" ht="15.75" customHeight="1">
      <c r="A7" s="2743" t="s">
        <v>1294</v>
      </c>
      <c r="B7" s="2743" t="s">
        <v>1360</v>
      </c>
      <c r="C7" s="2746" t="s">
        <v>1359</v>
      </c>
      <c r="D7" s="2747" t="s">
        <v>1358</v>
      </c>
      <c r="E7" s="2748"/>
      <c r="F7" s="2748"/>
      <c r="G7" s="2748"/>
      <c r="H7" s="2748"/>
      <c r="I7" s="2758"/>
      <c r="J7" s="2743" t="s">
        <v>1357</v>
      </c>
      <c r="K7" s="2749" t="s">
        <v>1356</v>
      </c>
      <c r="L7" s="2750"/>
    </row>
    <row r="8" spans="1:12" s="568" customFormat="1">
      <c r="A8" s="2744"/>
      <c r="B8" s="2744"/>
      <c r="C8" s="2746"/>
      <c r="D8" s="2747" t="s">
        <v>1355</v>
      </c>
      <c r="E8" s="2748"/>
      <c r="F8" s="2747" t="s">
        <v>1354</v>
      </c>
      <c r="G8" s="2748"/>
      <c r="H8" s="2747" t="s">
        <v>1353</v>
      </c>
      <c r="I8" s="2758"/>
      <c r="J8" s="2744"/>
      <c r="K8" s="2751"/>
      <c r="L8" s="2752"/>
    </row>
    <row r="9" spans="1:12" s="568" customFormat="1" ht="49.5">
      <c r="A9" s="2745"/>
      <c r="B9" s="2745"/>
      <c r="C9" s="2746"/>
      <c r="D9" s="569" t="s">
        <v>1352</v>
      </c>
      <c r="E9" s="569" t="s">
        <v>102</v>
      </c>
      <c r="F9" s="569" t="s">
        <v>1352</v>
      </c>
      <c r="G9" s="569" t="s">
        <v>102</v>
      </c>
      <c r="H9" s="569" t="s">
        <v>1352</v>
      </c>
      <c r="I9" s="569" t="s">
        <v>102</v>
      </c>
      <c r="J9" s="2745"/>
      <c r="K9" s="569" t="s">
        <v>1352</v>
      </c>
      <c r="L9" s="569" t="s">
        <v>102</v>
      </c>
    </row>
    <row r="10" spans="1:12" s="540" customFormat="1">
      <c r="A10" s="567" t="s">
        <v>1351</v>
      </c>
      <c r="B10" s="529"/>
      <c r="C10" s="566"/>
      <c r="D10" s="565"/>
      <c r="E10" s="565">
        <f>SUM(E22+E24)</f>
        <v>25330000</v>
      </c>
      <c r="F10" s="565"/>
      <c r="G10" s="565">
        <f>SUM(G22+G24)</f>
        <v>13710000</v>
      </c>
      <c r="H10" s="565"/>
      <c r="I10" s="565">
        <f>SUM(I22+I24)</f>
        <v>14700000</v>
      </c>
      <c r="J10" s="565">
        <f>SUM(J22+J24)</f>
        <v>53740000</v>
      </c>
      <c r="K10" s="565"/>
      <c r="L10" s="565">
        <f>SUM(L22+L24)</f>
        <v>17110000</v>
      </c>
    </row>
    <row r="11" spans="1:12">
      <c r="A11" s="552" t="s">
        <v>1308</v>
      </c>
      <c r="B11" s="554" t="s">
        <v>511</v>
      </c>
      <c r="C11" s="553">
        <v>150000</v>
      </c>
      <c r="D11" s="552">
        <v>60</v>
      </c>
      <c r="E11" s="557">
        <f t="shared" ref="E11:E21" si="0">$C11*D11</f>
        <v>9000000</v>
      </c>
      <c r="F11" s="552"/>
      <c r="G11" s="557">
        <f t="shared" ref="G11:G21" si="1">$C11*F11</f>
        <v>0</v>
      </c>
      <c r="H11" s="552"/>
      <c r="I11" s="557">
        <f t="shared" ref="I11:I21" si="2">$C11*H11</f>
        <v>0</v>
      </c>
      <c r="J11" s="557">
        <f t="shared" ref="J11:J21" si="3">E11+G11+I11</f>
        <v>9000000</v>
      </c>
      <c r="K11" s="551"/>
      <c r="L11" s="557">
        <f t="shared" ref="L11:L21" si="4">$C11*K11</f>
        <v>0</v>
      </c>
    </row>
    <row r="12" spans="1:12">
      <c r="A12" s="552" t="s">
        <v>1350</v>
      </c>
      <c r="B12" s="554" t="s">
        <v>1287</v>
      </c>
      <c r="C12" s="553">
        <v>15000</v>
      </c>
      <c r="D12" s="552">
        <v>110</v>
      </c>
      <c r="E12" s="557">
        <f t="shared" si="0"/>
        <v>1650000</v>
      </c>
      <c r="F12" s="552"/>
      <c r="G12" s="557">
        <f t="shared" si="1"/>
        <v>0</v>
      </c>
      <c r="H12" s="552"/>
      <c r="I12" s="557">
        <f t="shared" si="2"/>
        <v>0</v>
      </c>
      <c r="J12" s="557">
        <f t="shared" si="3"/>
        <v>1650000</v>
      </c>
      <c r="K12" s="551"/>
      <c r="L12" s="557">
        <f t="shared" si="4"/>
        <v>0</v>
      </c>
    </row>
    <row r="13" spans="1:12">
      <c r="A13" s="552" t="s">
        <v>1349</v>
      </c>
      <c r="B13" s="554" t="s">
        <v>228</v>
      </c>
      <c r="C13" s="553">
        <v>450000</v>
      </c>
      <c r="D13" s="552">
        <v>7</v>
      </c>
      <c r="E13" s="557">
        <f t="shared" si="0"/>
        <v>3150000</v>
      </c>
      <c r="F13" s="552">
        <v>5</v>
      </c>
      <c r="G13" s="557">
        <f t="shared" si="1"/>
        <v>2250000</v>
      </c>
      <c r="H13" s="552">
        <v>5</v>
      </c>
      <c r="I13" s="557">
        <f t="shared" si="2"/>
        <v>2250000</v>
      </c>
      <c r="J13" s="557">
        <f t="shared" si="3"/>
        <v>7650000</v>
      </c>
      <c r="K13" s="551">
        <v>5</v>
      </c>
      <c r="L13" s="557">
        <f t="shared" si="4"/>
        <v>2250000</v>
      </c>
    </row>
    <row r="14" spans="1:12">
      <c r="A14" s="552" t="s">
        <v>1348</v>
      </c>
      <c r="B14" s="554"/>
      <c r="C14" s="553"/>
      <c r="D14" s="552"/>
      <c r="E14" s="557">
        <f t="shared" si="0"/>
        <v>0</v>
      </c>
      <c r="F14" s="552"/>
      <c r="G14" s="557">
        <f t="shared" si="1"/>
        <v>0</v>
      </c>
      <c r="H14" s="552"/>
      <c r="I14" s="557">
        <f t="shared" si="2"/>
        <v>0</v>
      </c>
      <c r="J14" s="557">
        <f t="shared" si="3"/>
        <v>0</v>
      </c>
      <c r="K14" s="551"/>
      <c r="L14" s="557">
        <f t="shared" si="4"/>
        <v>0</v>
      </c>
    </row>
    <row r="15" spans="1:12">
      <c r="A15" s="552" t="s">
        <v>1284</v>
      </c>
      <c r="B15" s="554" t="s">
        <v>11</v>
      </c>
      <c r="C15" s="553">
        <v>10000</v>
      </c>
      <c r="D15" s="552">
        <v>150</v>
      </c>
      <c r="E15" s="557">
        <f t="shared" si="0"/>
        <v>1500000</v>
      </c>
      <c r="F15" s="552">
        <v>100</v>
      </c>
      <c r="G15" s="557">
        <f t="shared" si="1"/>
        <v>1000000</v>
      </c>
      <c r="H15" s="552">
        <v>100</v>
      </c>
      <c r="I15" s="557">
        <f t="shared" si="2"/>
        <v>1000000</v>
      </c>
      <c r="J15" s="557">
        <f t="shared" si="3"/>
        <v>3500000</v>
      </c>
      <c r="K15" s="551">
        <v>150</v>
      </c>
      <c r="L15" s="557">
        <f t="shared" si="4"/>
        <v>1500000</v>
      </c>
    </row>
    <row r="16" spans="1:12">
      <c r="A16" s="552" t="s">
        <v>1283</v>
      </c>
      <c r="B16" s="554" t="s">
        <v>11</v>
      </c>
      <c r="C16" s="553">
        <v>3000</v>
      </c>
      <c r="D16" s="552">
        <v>200</v>
      </c>
      <c r="E16" s="557">
        <f t="shared" si="0"/>
        <v>600000</v>
      </c>
      <c r="F16" s="552">
        <v>150</v>
      </c>
      <c r="G16" s="557">
        <f t="shared" si="1"/>
        <v>450000</v>
      </c>
      <c r="H16" s="552">
        <v>150</v>
      </c>
      <c r="I16" s="557">
        <f t="shared" si="2"/>
        <v>450000</v>
      </c>
      <c r="J16" s="557">
        <f t="shared" si="3"/>
        <v>1500000</v>
      </c>
      <c r="K16" s="552">
        <v>300</v>
      </c>
      <c r="L16" s="557">
        <f t="shared" si="4"/>
        <v>900000</v>
      </c>
    </row>
    <row r="17" spans="1:12">
      <c r="A17" s="552" t="s">
        <v>1282</v>
      </c>
      <c r="B17" s="554" t="s">
        <v>11</v>
      </c>
      <c r="C17" s="553">
        <v>15000</v>
      </c>
      <c r="D17" s="552">
        <v>40</v>
      </c>
      <c r="E17" s="557">
        <f t="shared" si="0"/>
        <v>600000</v>
      </c>
      <c r="F17" s="552">
        <v>40</v>
      </c>
      <c r="G17" s="557">
        <f t="shared" si="1"/>
        <v>600000</v>
      </c>
      <c r="H17" s="552">
        <v>40</v>
      </c>
      <c r="I17" s="557">
        <f t="shared" si="2"/>
        <v>600000</v>
      </c>
      <c r="J17" s="557">
        <f t="shared" si="3"/>
        <v>1800000</v>
      </c>
      <c r="K17" s="552">
        <v>120</v>
      </c>
      <c r="L17" s="557">
        <f t="shared" si="4"/>
        <v>1800000</v>
      </c>
    </row>
    <row r="18" spans="1:12">
      <c r="A18" s="552" t="s">
        <v>1347</v>
      </c>
      <c r="B18" s="554" t="s">
        <v>11</v>
      </c>
      <c r="C18" s="553">
        <v>10000</v>
      </c>
      <c r="D18" s="552">
        <v>40</v>
      </c>
      <c r="E18" s="557">
        <f t="shared" si="0"/>
        <v>400000</v>
      </c>
      <c r="F18" s="552">
        <v>30</v>
      </c>
      <c r="G18" s="557">
        <f t="shared" si="1"/>
        <v>300000</v>
      </c>
      <c r="H18" s="552">
        <v>30</v>
      </c>
      <c r="I18" s="557">
        <f t="shared" si="2"/>
        <v>300000</v>
      </c>
      <c r="J18" s="557">
        <f t="shared" si="3"/>
        <v>1000000</v>
      </c>
      <c r="K18" s="552">
        <v>20</v>
      </c>
      <c r="L18" s="557">
        <f t="shared" si="4"/>
        <v>200000</v>
      </c>
    </row>
    <row r="19" spans="1:12">
      <c r="A19" s="552" t="s">
        <v>1346</v>
      </c>
      <c r="B19" s="554" t="s">
        <v>11</v>
      </c>
      <c r="C19" s="553">
        <v>1000</v>
      </c>
      <c r="D19" s="552">
        <v>200</v>
      </c>
      <c r="E19" s="557">
        <f t="shared" si="0"/>
        <v>200000</v>
      </c>
      <c r="F19" s="552"/>
      <c r="G19" s="557">
        <f t="shared" si="1"/>
        <v>0</v>
      </c>
      <c r="H19" s="552"/>
      <c r="I19" s="557">
        <f t="shared" si="2"/>
        <v>0</v>
      </c>
      <c r="J19" s="557">
        <f t="shared" si="3"/>
        <v>200000</v>
      </c>
      <c r="K19" s="552"/>
      <c r="L19" s="557">
        <f t="shared" si="4"/>
        <v>0</v>
      </c>
    </row>
    <row r="20" spans="1:12">
      <c r="A20" s="552" t="s">
        <v>1318</v>
      </c>
      <c r="B20" s="554" t="s">
        <v>513</v>
      </c>
      <c r="C20" s="553">
        <v>250000</v>
      </c>
      <c r="D20" s="552">
        <v>5</v>
      </c>
      <c r="E20" s="557">
        <f t="shared" si="0"/>
        <v>1250000</v>
      </c>
      <c r="F20" s="552">
        <v>5</v>
      </c>
      <c r="G20" s="557">
        <f t="shared" si="1"/>
        <v>1250000</v>
      </c>
      <c r="H20" s="552">
        <v>5</v>
      </c>
      <c r="I20" s="557">
        <f t="shared" si="2"/>
        <v>1250000</v>
      </c>
      <c r="J20" s="557">
        <f t="shared" si="3"/>
        <v>3750000</v>
      </c>
      <c r="K20" s="552">
        <v>8</v>
      </c>
      <c r="L20" s="557">
        <f t="shared" si="4"/>
        <v>2000000</v>
      </c>
    </row>
    <row r="21" spans="1:12">
      <c r="A21" s="552" t="s">
        <v>1345</v>
      </c>
      <c r="B21" s="554" t="s">
        <v>511</v>
      </c>
      <c r="C21" s="553">
        <v>250000</v>
      </c>
      <c r="D21" s="552">
        <v>20</v>
      </c>
      <c r="E21" s="557">
        <f t="shared" si="0"/>
        <v>5000000</v>
      </c>
      <c r="F21" s="552">
        <v>20</v>
      </c>
      <c r="G21" s="557">
        <f t="shared" si="1"/>
        <v>5000000</v>
      </c>
      <c r="H21" s="552">
        <v>20</v>
      </c>
      <c r="I21" s="557">
        <f t="shared" si="2"/>
        <v>5000000</v>
      </c>
      <c r="J21" s="557">
        <f t="shared" si="3"/>
        <v>15000000</v>
      </c>
      <c r="K21" s="552">
        <v>30</v>
      </c>
      <c r="L21" s="557">
        <f t="shared" si="4"/>
        <v>7500000</v>
      </c>
    </row>
    <row r="22" spans="1:12" s="540" customFormat="1">
      <c r="A22" s="556" t="s">
        <v>1344</v>
      </c>
      <c r="B22" s="554"/>
      <c r="C22" s="553"/>
      <c r="D22" s="552"/>
      <c r="E22" s="564">
        <f>SUM(E11:E21)</f>
        <v>23350000</v>
      </c>
      <c r="F22" s="552"/>
      <c r="G22" s="564">
        <f>SUM(G11:G21)</f>
        <v>10850000</v>
      </c>
      <c r="H22" s="552"/>
      <c r="I22" s="564">
        <f>SUM(I11:I21)</f>
        <v>10850000</v>
      </c>
      <c r="J22" s="564">
        <f>SUM(J11:J21)</f>
        <v>45050000</v>
      </c>
      <c r="K22" s="555"/>
      <c r="L22" s="555">
        <f>SUM(L11:L21)</f>
        <v>16150000</v>
      </c>
    </row>
    <row r="23" spans="1:12" s="540" customFormat="1" ht="17.25">
      <c r="A23" s="563" t="s">
        <v>1343</v>
      </c>
      <c r="B23" s="562"/>
      <c r="C23" s="561"/>
      <c r="D23" s="560"/>
      <c r="E23" s="559">
        <v>18000000</v>
      </c>
      <c r="F23" s="559"/>
      <c r="G23" s="559">
        <v>26000000</v>
      </c>
      <c r="H23" s="559"/>
      <c r="I23" s="559">
        <f>B33</f>
        <v>35000000</v>
      </c>
      <c r="J23" s="559"/>
      <c r="K23" s="558"/>
      <c r="L23" s="558"/>
    </row>
    <row r="24" spans="1:12">
      <c r="A24" s="552" t="s">
        <v>1342</v>
      </c>
      <c r="B24" s="554"/>
      <c r="C24" s="553"/>
      <c r="D24" s="552"/>
      <c r="E24" s="557">
        <f>E23*$B$35</f>
        <v>1980000</v>
      </c>
      <c r="F24" s="557"/>
      <c r="G24" s="557">
        <f>G23*$B$35</f>
        <v>2860000</v>
      </c>
      <c r="H24" s="557"/>
      <c r="I24" s="557">
        <f>I23*$B$35</f>
        <v>3850000</v>
      </c>
      <c r="J24" s="553">
        <f>E24+G24+I24</f>
        <v>8690000</v>
      </c>
      <c r="K24" s="551"/>
      <c r="L24" s="551">
        <f>B38*B40</f>
        <v>960000</v>
      </c>
    </row>
    <row r="25" spans="1:12" s="540" customFormat="1">
      <c r="A25" s="556" t="s">
        <v>1341</v>
      </c>
      <c r="B25" s="554"/>
      <c r="C25" s="553"/>
      <c r="D25" s="552"/>
      <c r="E25" s="552"/>
      <c r="F25" s="552"/>
      <c r="G25" s="552"/>
      <c r="H25" s="552"/>
      <c r="I25" s="552"/>
      <c r="J25" s="552"/>
      <c r="K25" s="551"/>
      <c r="L25" s="555">
        <f>L27</f>
        <v>37400000</v>
      </c>
    </row>
    <row r="26" spans="1:12">
      <c r="A26" s="552" t="s">
        <v>1340</v>
      </c>
      <c r="B26" s="554" t="s">
        <v>11</v>
      </c>
      <c r="C26" s="553"/>
      <c r="D26" s="552"/>
      <c r="E26" s="552"/>
      <c r="F26" s="552"/>
      <c r="G26" s="552"/>
      <c r="H26" s="552"/>
      <c r="I26" s="552"/>
      <c r="J26" s="552"/>
      <c r="K26" s="551">
        <v>1700</v>
      </c>
      <c r="L26" s="551"/>
    </row>
    <row r="27" spans="1:12">
      <c r="A27" s="552" t="s">
        <v>1339</v>
      </c>
      <c r="B27" s="554" t="s">
        <v>1338</v>
      </c>
      <c r="C27" s="553">
        <v>22000</v>
      </c>
      <c r="D27" s="552"/>
      <c r="E27" s="552"/>
      <c r="F27" s="552"/>
      <c r="G27" s="552"/>
      <c r="H27" s="552"/>
      <c r="I27" s="552"/>
      <c r="J27" s="552"/>
      <c r="K27" s="551">
        <f>K26</f>
        <v>1700</v>
      </c>
      <c r="L27" s="551">
        <f>K27*C27</f>
        <v>37400000</v>
      </c>
    </row>
    <row r="28" spans="1:12" s="540" customFormat="1">
      <c r="A28" s="550" t="s">
        <v>1337</v>
      </c>
      <c r="B28" s="548"/>
      <c r="C28" s="549"/>
      <c r="D28" s="548"/>
      <c r="E28" s="548"/>
      <c r="F28" s="548"/>
      <c r="G28" s="548"/>
      <c r="H28" s="548"/>
      <c r="I28" s="548"/>
      <c r="J28" s="548"/>
      <c r="K28" s="547"/>
      <c r="L28" s="547">
        <f>L25-L10</f>
        <v>20290000</v>
      </c>
    </row>
    <row r="29" spans="1:12" s="540" customFormat="1">
      <c r="A29" s="546" t="s">
        <v>1269</v>
      </c>
      <c r="B29" s="545" t="s">
        <v>90</v>
      </c>
      <c r="C29" s="544"/>
      <c r="D29" s="543"/>
      <c r="E29" s="543"/>
      <c r="F29" s="543"/>
      <c r="G29" s="543"/>
      <c r="H29" s="543"/>
      <c r="I29" s="543"/>
      <c r="J29" s="543"/>
      <c r="K29" s="542"/>
      <c r="L29" s="541">
        <f>L28/L25</f>
        <v>0.54251336898395719</v>
      </c>
    </row>
    <row r="30" spans="1:12">
      <c r="A30" s="539"/>
      <c r="B30" s="537"/>
      <c r="C30" s="538"/>
      <c r="D30" s="537"/>
      <c r="E30" s="537"/>
      <c r="F30" s="537"/>
      <c r="G30" s="537"/>
      <c r="H30" s="537"/>
      <c r="I30" s="537"/>
      <c r="J30" s="537"/>
      <c r="K30" s="536"/>
      <c r="L30" s="536"/>
    </row>
    <row r="31" spans="1:12">
      <c r="A31" s="2753" t="s">
        <v>1336</v>
      </c>
      <c r="B31" s="2754"/>
      <c r="C31" s="2754"/>
    </row>
    <row r="32" spans="1:12">
      <c r="A32" s="530" t="s">
        <v>1335</v>
      </c>
      <c r="B32" s="2737"/>
      <c r="C32" s="2737"/>
    </row>
    <row r="33" spans="1:10">
      <c r="A33" s="529" t="s">
        <v>1330</v>
      </c>
      <c r="B33" s="2738">
        <v>35000000</v>
      </c>
      <c r="C33" s="2738"/>
      <c r="D33" s="535"/>
      <c r="E33" s="535"/>
      <c r="F33" s="535"/>
      <c r="G33" s="535"/>
      <c r="H33" s="535"/>
      <c r="I33" s="535"/>
      <c r="J33" s="534"/>
    </row>
    <row r="34" spans="1:10">
      <c r="A34" s="528" t="s">
        <v>1329</v>
      </c>
      <c r="B34" s="2739" t="s">
        <v>1334</v>
      </c>
      <c r="C34" s="2739"/>
      <c r="D34" s="533"/>
      <c r="E34" s="533"/>
      <c r="F34" s="533"/>
      <c r="G34" s="533"/>
      <c r="H34" s="533"/>
      <c r="I34" s="533"/>
      <c r="J34" s="533"/>
    </row>
    <row r="35" spans="1:10">
      <c r="A35" s="527" t="s">
        <v>1328</v>
      </c>
      <c r="B35" s="2735">
        <v>0.11</v>
      </c>
      <c r="C35" s="2735"/>
      <c r="D35" s="532"/>
      <c r="E35" s="532"/>
      <c r="F35" s="532"/>
      <c r="G35" s="532"/>
      <c r="H35" s="532"/>
      <c r="I35" s="532"/>
      <c r="J35" s="532"/>
    </row>
    <row r="36" spans="1:10">
      <c r="A36" s="531" t="s">
        <v>1333</v>
      </c>
      <c r="B36" s="2736" t="s">
        <v>1332</v>
      </c>
      <c r="C36" s="2736"/>
    </row>
    <row r="37" spans="1:10">
      <c r="A37" s="530" t="s">
        <v>1331</v>
      </c>
      <c r="B37" s="2737"/>
      <c r="C37" s="2737"/>
    </row>
    <row r="38" spans="1:10">
      <c r="A38" s="529" t="s">
        <v>1330</v>
      </c>
      <c r="B38" s="2738">
        <v>12000000</v>
      </c>
      <c r="C38" s="2738"/>
    </row>
    <row r="39" spans="1:10">
      <c r="A39" s="528" t="s">
        <v>1329</v>
      </c>
      <c r="B39" s="2739" t="s">
        <v>1159</v>
      </c>
      <c r="C39" s="2739"/>
    </row>
    <row r="40" spans="1:10">
      <c r="A40" s="527" t="s">
        <v>1328</v>
      </c>
      <c r="B40" s="2735">
        <v>0.08</v>
      </c>
      <c r="C40" s="2735"/>
    </row>
  </sheetData>
  <mergeCells count="22">
    <mergeCell ref="K7:L8"/>
    <mergeCell ref="D8:E8"/>
    <mergeCell ref="B38:C38"/>
    <mergeCell ref="B39:C39"/>
    <mergeCell ref="A4:L4"/>
    <mergeCell ref="A5:L5"/>
    <mergeCell ref="K6:L6"/>
    <mergeCell ref="A7:A9"/>
    <mergeCell ref="B7:B9"/>
    <mergeCell ref="C7:C9"/>
    <mergeCell ref="B36:C36"/>
    <mergeCell ref="B37:C37"/>
    <mergeCell ref="D7:I7"/>
    <mergeCell ref="J7:J9"/>
    <mergeCell ref="B40:C40"/>
    <mergeCell ref="F8:G8"/>
    <mergeCell ref="H8:I8"/>
    <mergeCell ref="A31:C31"/>
    <mergeCell ref="B32:C32"/>
    <mergeCell ref="B33:C33"/>
    <mergeCell ref="B34:C34"/>
    <mergeCell ref="B35:C35"/>
  </mergeCells>
  <pageMargins left="0.7" right="0.3" top="0.4" bottom="0.75" header="0.3" footer="0.3"/>
  <pageSetup paperSize="9" scale="75" orientation="landscape" r:id="rId1"/>
  <headerFooter>
    <oddFooter>&amp;CTrang</oddFooter>
  </headerFooter>
  <drawing r:id="rId2"/>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G33"/>
  <sheetViews>
    <sheetView zoomScaleNormal="100" workbookViewId="0">
      <selection activeCell="H20" sqref="H20"/>
    </sheetView>
  </sheetViews>
  <sheetFormatPr defaultRowHeight="16.5"/>
  <cols>
    <col min="1" max="1" width="31.5703125" style="523" customWidth="1"/>
    <col min="2" max="2" width="14.140625" style="523" customWidth="1"/>
    <col min="3" max="3" width="14.85546875" style="616" customWidth="1"/>
    <col min="4" max="4" width="14.7109375" style="523" customWidth="1"/>
    <col min="5" max="5" width="15.7109375" style="523" customWidth="1"/>
    <col min="6" max="256" width="9.140625" style="523"/>
    <col min="257" max="257" width="31.5703125" style="523" customWidth="1"/>
    <col min="258" max="258" width="14.140625" style="523" customWidth="1"/>
    <col min="259" max="259" width="14.85546875" style="523" customWidth="1"/>
    <col min="260" max="260" width="14.7109375" style="523" customWidth="1"/>
    <col min="261" max="261" width="15.7109375" style="523" customWidth="1"/>
    <col min="262" max="512" width="9.140625" style="523"/>
    <col min="513" max="513" width="31.5703125" style="523" customWidth="1"/>
    <col min="514" max="514" width="14.140625" style="523" customWidth="1"/>
    <col min="515" max="515" width="14.85546875" style="523" customWidth="1"/>
    <col min="516" max="516" width="14.7109375" style="523" customWidth="1"/>
    <col min="517" max="517" width="15.7109375" style="523" customWidth="1"/>
    <col min="518" max="768" width="9.140625" style="523"/>
    <col min="769" max="769" width="31.5703125" style="523" customWidth="1"/>
    <col min="770" max="770" width="14.140625" style="523" customWidth="1"/>
    <col min="771" max="771" width="14.85546875" style="523" customWidth="1"/>
    <col min="772" max="772" width="14.7109375" style="523" customWidth="1"/>
    <col min="773" max="773" width="15.7109375" style="523" customWidth="1"/>
    <col min="774" max="1024" width="9.140625" style="523"/>
    <col min="1025" max="1025" width="31.5703125" style="523" customWidth="1"/>
    <col min="1026" max="1026" width="14.140625" style="523" customWidth="1"/>
    <col min="1027" max="1027" width="14.85546875" style="523" customWidth="1"/>
    <col min="1028" max="1028" width="14.7109375" style="523" customWidth="1"/>
    <col min="1029" max="1029" width="15.7109375" style="523" customWidth="1"/>
    <col min="1030" max="1280" width="9.140625" style="523"/>
    <col min="1281" max="1281" width="31.5703125" style="523" customWidth="1"/>
    <col min="1282" max="1282" width="14.140625" style="523" customWidth="1"/>
    <col min="1283" max="1283" width="14.85546875" style="523" customWidth="1"/>
    <col min="1284" max="1284" width="14.7109375" style="523" customWidth="1"/>
    <col min="1285" max="1285" width="15.7109375" style="523" customWidth="1"/>
    <col min="1286" max="1536" width="9.140625" style="523"/>
    <col min="1537" max="1537" width="31.5703125" style="523" customWidth="1"/>
    <col min="1538" max="1538" width="14.140625" style="523" customWidth="1"/>
    <col min="1539" max="1539" width="14.85546875" style="523" customWidth="1"/>
    <col min="1540" max="1540" width="14.7109375" style="523" customWidth="1"/>
    <col min="1541" max="1541" width="15.7109375" style="523" customWidth="1"/>
    <col min="1542" max="1792" width="9.140625" style="523"/>
    <col min="1793" max="1793" width="31.5703125" style="523" customWidth="1"/>
    <col min="1794" max="1794" width="14.140625" style="523" customWidth="1"/>
    <col min="1795" max="1795" width="14.85546875" style="523" customWidth="1"/>
    <col min="1796" max="1796" width="14.7109375" style="523" customWidth="1"/>
    <col min="1797" max="1797" width="15.7109375" style="523" customWidth="1"/>
    <col min="1798" max="2048" width="9.140625" style="523"/>
    <col min="2049" max="2049" width="31.5703125" style="523" customWidth="1"/>
    <col min="2050" max="2050" width="14.140625" style="523" customWidth="1"/>
    <col min="2051" max="2051" width="14.85546875" style="523" customWidth="1"/>
    <col min="2052" max="2052" width="14.7109375" style="523" customWidth="1"/>
    <col min="2053" max="2053" width="15.7109375" style="523" customWidth="1"/>
    <col min="2054" max="2304" width="9.140625" style="523"/>
    <col min="2305" max="2305" width="31.5703125" style="523" customWidth="1"/>
    <col min="2306" max="2306" width="14.140625" style="523" customWidth="1"/>
    <col min="2307" max="2307" width="14.85546875" style="523" customWidth="1"/>
    <col min="2308" max="2308" width="14.7109375" style="523" customWidth="1"/>
    <col min="2309" max="2309" width="15.7109375" style="523" customWidth="1"/>
    <col min="2310" max="2560" width="9.140625" style="523"/>
    <col min="2561" max="2561" width="31.5703125" style="523" customWidth="1"/>
    <col min="2562" max="2562" width="14.140625" style="523" customWidth="1"/>
    <col min="2563" max="2563" width="14.85546875" style="523" customWidth="1"/>
    <col min="2564" max="2564" width="14.7109375" style="523" customWidth="1"/>
    <col min="2565" max="2565" width="15.7109375" style="523" customWidth="1"/>
    <col min="2566" max="2816" width="9.140625" style="523"/>
    <col min="2817" max="2817" width="31.5703125" style="523" customWidth="1"/>
    <col min="2818" max="2818" width="14.140625" style="523" customWidth="1"/>
    <col min="2819" max="2819" width="14.85546875" style="523" customWidth="1"/>
    <col min="2820" max="2820" width="14.7109375" style="523" customWidth="1"/>
    <col min="2821" max="2821" width="15.7109375" style="523" customWidth="1"/>
    <col min="2822" max="3072" width="9.140625" style="523"/>
    <col min="3073" max="3073" width="31.5703125" style="523" customWidth="1"/>
    <col min="3074" max="3074" width="14.140625" style="523" customWidth="1"/>
    <col min="3075" max="3075" width="14.85546875" style="523" customWidth="1"/>
    <col min="3076" max="3076" width="14.7109375" style="523" customWidth="1"/>
    <col min="3077" max="3077" width="15.7109375" style="523" customWidth="1"/>
    <col min="3078" max="3328" width="9.140625" style="523"/>
    <col min="3329" max="3329" width="31.5703125" style="523" customWidth="1"/>
    <col min="3330" max="3330" width="14.140625" style="523" customWidth="1"/>
    <col min="3331" max="3331" width="14.85546875" style="523" customWidth="1"/>
    <col min="3332" max="3332" width="14.7109375" style="523" customWidth="1"/>
    <col min="3333" max="3333" width="15.7109375" style="523" customWidth="1"/>
    <col min="3334" max="3584" width="9.140625" style="523"/>
    <col min="3585" max="3585" width="31.5703125" style="523" customWidth="1"/>
    <col min="3586" max="3586" width="14.140625" style="523" customWidth="1"/>
    <col min="3587" max="3587" width="14.85546875" style="523" customWidth="1"/>
    <col min="3588" max="3588" width="14.7109375" style="523" customWidth="1"/>
    <col min="3589" max="3589" width="15.7109375" style="523" customWidth="1"/>
    <col min="3590" max="3840" width="9.140625" style="523"/>
    <col min="3841" max="3841" width="31.5703125" style="523" customWidth="1"/>
    <col min="3842" max="3842" width="14.140625" style="523" customWidth="1"/>
    <col min="3843" max="3843" width="14.85546875" style="523" customWidth="1"/>
    <col min="3844" max="3844" width="14.7109375" style="523" customWidth="1"/>
    <col min="3845" max="3845" width="15.7109375" style="523" customWidth="1"/>
    <col min="3846" max="4096" width="9.140625" style="523"/>
    <col min="4097" max="4097" width="31.5703125" style="523" customWidth="1"/>
    <col min="4098" max="4098" width="14.140625" style="523" customWidth="1"/>
    <col min="4099" max="4099" width="14.85546875" style="523" customWidth="1"/>
    <col min="4100" max="4100" width="14.7109375" style="523" customWidth="1"/>
    <col min="4101" max="4101" width="15.7109375" style="523" customWidth="1"/>
    <col min="4102" max="4352" width="9.140625" style="523"/>
    <col min="4353" max="4353" width="31.5703125" style="523" customWidth="1"/>
    <col min="4354" max="4354" width="14.140625" style="523" customWidth="1"/>
    <col min="4355" max="4355" width="14.85546875" style="523" customWidth="1"/>
    <col min="4356" max="4356" width="14.7109375" style="523" customWidth="1"/>
    <col min="4357" max="4357" width="15.7109375" style="523" customWidth="1"/>
    <col min="4358" max="4608" width="9.140625" style="523"/>
    <col min="4609" max="4609" width="31.5703125" style="523" customWidth="1"/>
    <col min="4610" max="4610" width="14.140625" style="523" customWidth="1"/>
    <col min="4611" max="4611" width="14.85546875" style="523" customWidth="1"/>
    <col min="4612" max="4612" width="14.7109375" style="523" customWidth="1"/>
    <col min="4613" max="4613" width="15.7109375" style="523" customWidth="1"/>
    <col min="4614" max="4864" width="9.140625" style="523"/>
    <col min="4865" max="4865" width="31.5703125" style="523" customWidth="1"/>
    <col min="4866" max="4866" width="14.140625" style="523" customWidth="1"/>
    <col min="4867" max="4867" width="14.85546875" style="523" customWidth="1"/>
    <col min="4868" max="4868" width="14.7109375" style="523" customWidth="1"/>
    <col min="4869" max="4869" width="15.7109375" style="523" customWidth="1"/>
    <col min="4870" max="5120" width="9.140625" style="523"/>
    <col min="5121" max="5121" width="31.5703125" style="523" customWidth="1"/>
    <col min="5122" max="5122" width="14.140625" style="523" customWidth="1"/>
    <col min="5123" max="5123" width="14.85546875" style="523" customWidth="1"/>
    <col min="5124" max="5124" width="14.7109375" style="523" customWidth="1"/>
    <col min="5125" max="5125" width="15.7109375" style="523" customWidth="1"/>
    <col min="5126" max="5376" width="9.140625" style="523"/>
    <col min="5377" max="5377" width="31.5703125" style="523" customWidth="1"/>
    <col min="5378" max="5378" width="14.140625" style="523" customWidth="1"/>
    <col min="5379" max="5379" width="14.85546875" style="523" customWidth="1"/>
    <col min="5380" max="5380" width="14.7109375" style="523" customWidth="1"/>
    <col min="5381" max="5381" width="15.7109375" style="523" customWidth="1"/>
    <col min="5382" max="5632" width="9.140625" style="523"/>
    <col min="5633" max="5633" width="31.5703125" style="523" customWidth="1"/>
    <col min="5634" max="5634" width="14.140625" style="523" customWidth="1"/>
    <col min="5635" max="5635" width="14.85546875" style="523" customWidth="1"/>
    <col min="5636" max="5636" width="14.7109375" style="523" customWidth="1"/>
    <col min="5637" max="5637" width="15.7109375" style="523" customWidth="1"/>
    <col min="5638" max="5888" width="9.140625" style="523"/>
    <col min="5889" max="5889" width="31.5703125" style="523" customWidth="1"/>
    <col min="5890" max="5890" width="14.140625" style="523" customWidth="1"/>
    <col min="5891" max="5891" width="14.85546875" style="523" customWidth="1"/>
    <col min="5892" max="5892" width="14.7109375" style="523" customWidth="1"/>
    <col min="5893" max="5893" width="15.7109375" style="523" customWidth="1"/>
    <col min="5894" max="6144" width="9.140625" style="523"/>
    <col min="6145" max="6145" width="31.5703125" style="523" customWidth="1"/>
    <col min="6146" max="6146" width="14.140625" style="523" customWidth="1"/>
    <col min="6147" max="6147" width="14.85546875" style="523" customWidth="1"/>
    <col min="6148" max="6148" width="14.7109375" style="523" customWidth="1"/>
    <col min="6149" max="6149" width="15.7109375" style="523" customWidth="1"/>
    <col min="6150" max="6400" width="9.140625" style="523"/>
    <col min="6401" max="6401" width="31.5703125" style="523" customWidth="1"/>
    <col min="6402" max="6402" width="14.140625" style="523" customWidth="1"/>
    <col min="6403" max="6403" width="14.85546875" style="523" customWidth="1"/>
    <col min="6404" max="6404" width="14.7109375" style="523" customWidth="1"/>
    <col min="6405" max="6405" width="15.7109375" style="523" customWidth="1"/>
    <col min="6406" max="6656" width="9.140625" style="523"/>
    <col min="6657" max="6657" width="31.5703125" style="523" customWidth="1"/>
    <col min="6658" max="6658" width="14.140625" style="523" customWidth="1"/>
    <col min="6659" max="6659" width="14.85546875" style="523" customWidth="1"/>
    <col min="6660" max="6660" width="14.7109375" style="523" customWidth="1"/>
    <col min="6661" max="6661" width="15.7109375" style="523" customWidth="1"/>
    <col min="6662" max="6912" width="9.140625" style="523"/>
    <col min="6913" max="6913" width="31.5703125" style="523" customWidth="1"/>
    <col min="6914" max="6914" width="14.140625" style="523" customWidth="1"/>
    <col min="6915" max="6915" width="14.85546875" style="523" customWidth="1"/>
    <col min="6916" max="6916" width="14.7109375" style="523" customWidth="1"/>
    <col min="6917" max="6917" width="15.7109375" style="523" customWidth="1"/>
    <col min="6918" max="7168" width="9.140625" style="523"/>
    <col min="7169" max="7169" width="31.5703125" style="523" customWidth="1"/>
    <col min="7170" max="7170" width="14.140625" style="523" customWidth="1"/>
    <col min="7171" max="7171" width="14.85546875" style="523" customWidth="1"/>
    <col min="7172" max="7172" width="14.7109375" style="523" customWidth="1"/>
    <col min="7173" max="7173" width="15.7109375" style="523" customWidth="1"/>
    <col min="7174" max="7424" width="9.140625" style="523"/>
    <col min="7425" max="7425" width="31.5703125" style="523" customWidth="1"/>
    <col min="7426" max="7426" width="14.140625" style="523" customWidth="1"/>
    <col min="7427" max="7427" width="14.85546875" style="523" customWidth="1"/>
    <col min="7428" max="7428" width="14.7109375" style="523" customWidth="1"/>
    <col min="7429" max="7429" width="15.7109375" style="523" customWidth="1"/>
    <col min="7430" max="7680" width="9.140625" style="523"/>
    <col min="7681" max="7681" width="31.5703125" style="523" customWidth="1"/>
    <col min="7682" max="7682" width="14.140625" style="523" customWidth="1"/>
    <col min="7683" max="7683" width="14.85546875" style="523" customWidth="1"/>
    <col min="7684" max="7684" width="14.7109375" style="523" customWidth="1"/>
    <col min="7685" max="7685" width="15.7109375" style="523" customWidth="1"/>
    <col min="7686" max="7936" width="9.140625" style="523"/>
    <col min="7937" max="7937" width="31.5703125" style="523" customWidth="1"/>
    <col min="7938" max="7938" width="14.140625" style="523" customWidth="1"/>
    <col min="7939" max="7939" width="14.85546875" style="523" customWidth="1"/>
    <col min="7940" max="7940" width="14.7109375" style="523" customWidth="1"/>
    <col min="7941" max="7941" width="15.7109375" style="523" customWidth="1"/>
    <col min="7942" max="8192" width="9.140625" style="523"/>
    <col min="8193" max="8193" width="31.5703125" style="523" customWidth="1"/>
    <col min="8194" max="8194" width="14.140625" style="523" customWidth="1"/>
    <col min="8195" max="8195" width="14.85546875" style="523" customWidth="1"/>
    <col min="8196" max="8196" width="14.7109375" style="523" customWidth="1"/>
    <col min="8197" max="8197" width="15.7109375" style="523" customWidth="1"/>
    <col min="8198" max="8448" width="9.140625" style="523"/>
    <col min="8449" max="8449" width="31.5703125" style="523" customWidth="1"/>
    <col min="8450" max="8450" width="14.140625" style="523" customWidth="1"/>
    <col min="8451" max="8451" width="14.85546875" style="523" customWidth="1"/>
    <col min="8452" max="8452" width="14.7109375" style="523" customWidth="1"/>
    <col min="8453" max="8453" width="15.7109375" style="523" customWidth="1"/>
    <col min="8454" max="8704" width="9.140625" style="523"/>
    <col min="8705" max="8705" width="31.5703125" style="523" customWidth="1"/>
    <col min="8706" max="8706" width="14.140625" style="523" customWidth="1"/>
    <col min="8707" max="8707" width="14.85546875" style="523" customWidth="1"/>
    <col min="8708" max="8708" width="14.7109375" style="523" customWidth="1"/>
    <col min="8709" max="8709" width="15.7109375" style="523" customWidth="1"/>
    <col min="8710" max="8960" width="9.140625" style="523"/>
    <col min="8961" max="8961" width="31.5703125" style="523" customWidth="1"/>
    <col min="8962" max="8962" width="14.140625" style="523" customWidth="1"/>
    <col min="8963" max="8963" width="14.85546875" style="523" customWidth="1"/>
    <col min="8964" max="8964" width="14.7109375" style="523" customWidth="1"/>
    <col min="8965" max="8965" width="15.7109375" style="523" customWidth="1"/>
    <col min="8966" max="9216" width="9.140625" style="523"/>
    <col min="9217" max="9217" width="31.5703125" style="523" customWidth="1"/>
    <col min="9218" max="9218" width="14.140625" style="523" customWidth="1"/>
    <col min="9219" max="9219" width="14.85546875" style="523" customWidth="1"/>
    <col min="9220" max="9220" width="14.7109375" style="523" customWidth="1"/>
    <col min="9221" max="9221" width="15.7109375" style="523" customWidth="1"/>
    <col min="9222" max="9472" width="9.140625" style="523"/>
    <col min="9473" max="9473" width="31.5703125" style="523" customWidth="1"/>
    <col min="9474" max="9474" width="14.140625" style="523" customWidth="1"/>
    <col min="9475" max="9475" width="14.85546875" style="523" customWidth="1"/>
    <col min="9476" max="9476" width="14.7109375" style="523" customWidth="1"/>
    <col min="9477" max="9477" width="15.7109375" style="523" customWidth="1"/>
    <col min="9478" max="9728" width="9.140625" style="523"/>
    <col min="9729" max="9729" width="31.5703125" style="523" customWidth="1"/>
    <col min="9730" max="9730" width="14.140625" style="523" customWidth="1"/>
    <col min="9731" max="9731" width="14.85546875" style="523" customWidth="1"/>
    <col min="9732" max="9732" width="14.7109375" style="523" customWidth="1"/>
    <col min="9733" max="9733" width="15.7109375" style="523" customWidth="1"/>
    <col min="9734" max="9984" width="9.140625" style="523"/>
    <col min="9985" max="9985" width="31.5703125" style="523" customWidth="1"/>
    <col min="9986" max="9986" width="14.140625" style="523" customWidth="1"/>
    <col min="9987" max="9987" width="14.85546875" style="523" customWidth="1"/>
    <col min="9988" max="9988" width="14.7109375" style="523" customWidth="1"/>
    <col min="9989" max="9989" width="15.7109375" style="523" customWidth="1"/>
    <col min="9990" max="10240" width="9.140625" style="523"/>
    <col min="10241" max="10241" width="31.5703125" style="523" customWidth="1"/>
    <col min="10242" max="10242" width="14.140625" style="523" customWidth="1"/>
    <col min="10243" max="10243" width="14.85546875" style="523" customWidth="1"/>
    <col min="10244" max="10244" width="14.7109375" style="523" customWidth="1"/>
    <col min="10245" max="10245" width="15.7109375" style="523" customWidth="1"/>
    <col min="10246" max="10496" width="9.140625" style="523"/>
    <col min="10497" max="10497" width="31.5703125" style="523" customWidth="1"/>
    <col min="10498" max="10498" width="14.140625" style="523" customWidth="1"/>
    <col min="10499" max="10499" width="14.85546875" style="523" customWidth="1"/>
    <col min="10500" max="10500" width="14.7109375" style="523" customWidth="1"/>
    <col min="10501" max="10501" width="15.7109375" style="523" customWidth="1"/>
    <col min="10502" max="10752" width="9.140625" style="523"/>
    <col min="10753" max="10753" width="31.5703125" style="523" customWidth="1"/>
    <col min="10754" max="10754" width="14.140625" style="523" customWidth="1"/>
    <col min="10755" max="10755" width="14.85546875" style="523" customWidth="1"/>
    <col min="10756" max="10756" width="14.7109375" style="523" customWidth="1"/>
    <col min="10757" max="10757" width="15.7109375" style="523" customWidth="1"/>
    <col min="10758" max="11008" width="9.140625" style="523"/>
    <col min="11009" max="11009" width="31.5703125" style="523" customWidth="1"/>
    <col min="11010" max="11010" width="14.140625" style="523" customWidth="1"/>
    <col min="11011" max="11011" width="14.85546875" style="523" customWidth="1"/>
    <col min="11012" max="11012" width="14.7109375" style="523" customWidth="1"/>
    <col min="11013" max="11013" width="15.7109375" style="523" customWidth="1"/>
    <col min="11014" max="11264" width="9.140625" style="523"/>
    <col min="11265" max="11265" width="31.5703125" style="523" customWidth="1"/>
    <col min="11266" max="11266" width="14.140625" style="523" customWidth="1"/>
    <col min="11267" max="11267" width="14.85546875" style="523" customWidth="1"/>
    <col min="11268" max="11268" width="14.7109375" style="523" customWidth="1"/>
    <col min="11269" max="11269" width="15.7109375" style="523" customWidth="1"/>
    <col min="11270" max="11520" width="9.140625" style="523"/>
    <col min="11521" max="11521" width="31.5703125" style="523" customWidth="1"/>
    <col min="11522" max="11522" width="14.140625" style="523" customWidth="1"/>
    <col min="11523" max="11523" width="14.85546875" style="523" customWidth="1"/>
    <col min="11524" max="11524" width="14.7109375" style="523" customWidth="1"/>
    <col min="11525" max="11525" width="15.7109375" style="523" customWidth="1"/>
    <col min="11526" max="11776" width="9.140625" style="523"/>
    <col min="11777" max="11777" width="31.5703125" style="523" customWidth="1"/>
    <col min="11778" max="11778" width="14.140625" style="523" customWidth="1"/>
    <col min="11779" max="11779" width="14.85546875" style="523" customWidth="1"/>
    <col min="11780" max="11780" width="14.7109375" style="523" customWidth="1"/>
    <col min="11781" max="11781" width="15.7109375" style="523" customWidth="1"/>
    <col min="11782" max="12032" width="9.140625" style="523"/>
    <col min="12033" max="12033" width="31.5703125" style="523" customWidth="1"/>
    <col min="12034" max="12034" width="14.140625" style="523" customWidth="1"/>
    <col min="12035" max="12035" width="14.85546875" style="523" customWidth="1"/>
    <col min="12036" max="12036" width="14.7109375" style="523" customWidth="1"/>
    <col min="12037" max="12037" width="15.7109375" style="523" customWidth="1"/>
    <col min="12038" max="12288" width="9.140625" style="523"/>
    <col min="12289" max="12289" width="31.5703125" style="523" customWidth="1"/>
    <col min="12290" max="12290" width="14.140625" style="523" customWidth="1"/>
    <col min="12291" max="12291" width="14.85546875" style="523" customWidth="1"/>
    <col min="12292" max="12292" width="14.7109375" style="523" customWidth="1"/>
    <col min="12293" max="12293" width="15.7109375" style="523" customWidth="1"/>
    <col min="12294" max="12544" width="9.140625" style="523"/>
    <col min="12545" max="12545" width="31.5703125" style="523" customWidth="1"/>
    <col min="12546" max="12546" width="14.140625" style="523" customWidth="1"/>
    <col min="12547" max="12547" width="14.85546875" style="523" customWidth="1"/>
    <col min="12548" max="12548" width="14.7109375" style="523" customWidth="1"/>
    <col min="12549" max="12549" width="15.7109375" style="523" customWidth="1"/>
    <col min="12550" max="12800" width="9.140625" style="523"/>
    <col min="12801" max="12801" width="31.5703125" style="523" customWidth="1"/>
    <col min="12802" max="12802" width="14.140625" style="523" customWidth="1"/>
    <col min="12803" max="12803" width="14.85546875" style="523" customWidth="1"/>
    <col min="12804" max="12804" width="14.7109375" style="523" customWidth="1"/>
    <col min="12805" max="12805" width="15.7109375" style="523" customWidth="1"/>
    <col min="12806" max="13056" width="9.140625" style="523"/>
    <col min="13057" max="13057" width="31.5703125" style="523" customWidth="1"/>
    <col min="13058" max="13058" width="14.140625" style="523" customWidth="1"/>
    <col min="13059" max="13059" width="14.85546875" style="523" customWidth="1"/>
    <col min="13060" max="13060" width="14.7109375" style="523" customWidth="1"/>
    <col min="13061" max="13061" width="15.7109375" style="523" customWidth="1"/>
    <col min="13062" max="13312" width="9.140625" style="523"/>
    <col min="13313" max="13313" width="31.5703125" style="523" customWidth="1"/>
    <col min="13314" max="13314" width="14.140625" style="523" customWidth="1"/>
    <col min="13315" max="13315" width="14.85546875" style="523" customWidth="1"/>
    <col min="13316" max="13316" width="14.7109375" style="523" customWidth="1"/>
    <col min="13317" max="13317" width="15.7109375" style="523" customWidth="1"/>
    <col min="13318" max="13568" width="9.140625" style="523"/>
    <col min="13569" max="13569" width="31.5703125" style="523" customWidth="1"/>
    <col min="13570" max="13570" width="14.140625" style="523" customWidth="1"/>
    <col min="13571" max="13571" width="14.85546875" style="523" customWidth="1"/>
    <col min="13572" max="13572" width="14.7109375" style="523" customWidth="1"/>
    <col min="13573" max="13573" width="15.7109375" style="523" customWidth="1"/>
    <col min="13574" max="13824" width="9.140625" style="523"/>
    <col min="13825" max="13825" width="31.5703125" style="523" customWidth="1"/>
    <col min="13826" max="13826" width="14.140625" style="523" customWidth="1"/>
    <col min="13827" max="13827" width="14.85546875" style="523" customWidth="1"/>
    <col min="13828" max="13828" width="14.7109375" style="523" customWidth="1"/>
    <col min="13829" max="13829" width="15.7109375" style="523" customWidth="1"/>
    <col min="13830" max="14080" width="9.140625" style="523"/>
    <col min="14081" max="14081" width="31.5703125" style="523" customWidth="1"/>
    <col min="14082" max="14082" width="14.140625" style="523" customWidth="1"/>
    <col min="14083" max="14083" width="14.85546875" style="523" customWidth="1"/>
    <col min="14084" max="14084" width="14.7109375" style="523" customWidth="1"/>
    <col min="14085" max="14085" width="15.7109375" style="523" customWidth="1"/>
    <col min="14086" max="14336" width="9.140625" style="523"/>
    <col min="14337" max="14337" width="31.5703125" style="523" customWidth="1"/>
    <col min="14338" max="14338" width="14.140625" style="523" customWidth="1"/>
    <col min="14339" max="14339" width="14.85546875" style="523" customWidth="1"/>
    <col min="14340" max="14340" width="14.7109375" style="523" customWidth="1"/>
    <col min="14341" max="14341" width="15.7109375" style="523" customWidth="1"/>
    <col min="14342" max="14592" width="9.140625" style="523"/>
    <col min="14593" max="14593" width="31.5703125" style="523" customWidth="1"/>
    <col min="14594" max="14594" width="14.140625" style="523" customWidth="1"/>
    <col min="14595" max="14595" width="14.85546875" style="523" customWidth="1"/>
    <col min="14596" max="14596" width="14.7109375" style="523" customWidth="1"/>
    <col min="14597" max="14597" width="15.7109375" style="523" customWidth="1"/>
    <col min="14598" max="14848" width="9.140625" style="523"/>
    <col min="14849" max="14849" width="31.5703125" style="523" customWidth="1"/>
    <col min="14850" max="14850" width="14.140625" style="523" customWidth="1"/>
    <col min="14851" max="14851" width="14.85546875" style="523" customWidth="1"/>
    <col min="14852" max="14852" width="14.7109375" style="523" customWidth="1"/>
    <col min="14853" max="14853" width="15.7109375" style="523" customWidth="1"/>
    <col min="14854" max="15104" width="9.140625" style="523"/>
    <col min="15105" max="15105" width="31.5703125" style="523" customWidth="1"/>
    <col min="15106" max="15106" width="14.140625" style="523" customWidth="1"/>
    <col min="15107" max="15107" width="14.85546875" style="523" customWidth="1"/>
    <col min="15108" max="15108" width="14.7109375" style="523" customWidth="1"/>
    <col min="15109" max="15109" width="15.7109375" style="523" customWidth="1"/>
    <col min="15110" max="15360" width="9.140625" style="523"/>
    <col min="15361" max="15361" width="31.5703125" style="523" customWidth="1"/>
    <col min="15362" max="15362" width="14.140625" style="523" customWidth="1"/>
    <col min="15363" max="15363" width="14.85546875" style="523" customWidth="1"/>
    <col min="15364" max="15364" width="14.7109375" style="523" customWidth="1"/>
    <col min="15365" max="15365" width="15.7109375" style="523" customWidth="1"/>
    <col min="15366" max="15616" width="9.140625" style="523"/>
    <col min="15617" max="15617" width="31.5703125" style="523" customWidth="1"/>
    <col min="15618" max="15618" width="14.140625" style="523" customWidth="1"/>
    <col min="15619" max="15619" width="14.85546875" style="523" customWidth="1"/>
    <col min="15620" max="15620" width="14.7109375" style="523" customWidth="1"/>
    <col min="15621" max="15621" width="15.7109375" style="523" customWidth="1"/>
    <col min="15622" max="15872" width="9.140625" style="523"/>
    <col min="15873" max="15873" width="31.5703125" style="523" customWidth="1"/>
    <col min="15874" max="15874" width="14.140625" style="523" customWidth="1"/>
    <col min="15875" max="15875" width="14.85546875" style="523" customWidth="1"/>
    <col min="15876" max="15876" width="14.7109375" style="523" customWidth="1"/>
    <col min="15877" max="15877" width="15.7109375" style="523" customWidth="1"/>
    <col min="15878" max="16128" width="9.140625" style="523"/>
    <col min="16129" max="16129" width="31.5703125" style="523" customWidth="1"/>
    <col min="16130" max="16130" width="14.140625" style="523" customWidth="1"/>
    <col min="16131" max="16131" width="14.85546875" style="523" customWidth="1"/>
    <col min="16132" max="16132" width="14.7109375" style="523" customWidth="1"/>
    <col min="16133" max="16133" width="15.7109375" style="523" customWidth="1"/>
    <col min="16134" max="16384" width="9.140625" style="523"/>
  </cols>
  <sheetData>
    <row r="1" spans="1:7">
      <c r="C1" s="616" t="s">
        <v>1790</v>
      </c>
      <c r="G1" s="1383" t="s">
        <v>1020</v>
      </c>
    </row>
    <row r="5" spans="1:7">
      <c r="A5" s="2409" t="s">
        <v>1789</v>
      </c>
      <c r="B5" s="2409"/>
      <c r="C5" s="2409"/>
      <c r="D5" s="2409"/>
      <c r="E5" s="2409"/>
    </row>
    <row r="6" spans="1:7" ht="15.75" customHeight="1">
      <c r="A6" s="2409" t="s">
        <v>1753</v>
      </c>
      <c r="B6" s="2409"/>
      <c r="C6" s="2409"/>
      <c r="D6" s="2409"/>
      <c r="E6" s="2409"/>
    </row>
    <row r="7" spans="1:7" ht="17.25" thickBot="1">
      <c r="C7" s="621"/>
      <c r="D7" s="524"/>
      <c r="E7" s="2302" t="s">
        <v>1263</v>
      </c>
    </row>
    <row r="8" spans="1:7" ht="22.5" customHeight="1" thickTop="1">
      <c r="A8" s="930" t="s">
        <v>1294</v>
      </c>
      <c r="B8" s="929" t="s">
        <v>235</v>
      </c>
      <c r="C8" s="928" t="s">
        <v>3</v>
      </c>
      <c r="D8" s="2310" t="s">
        <v>1</v>
      </c>
      <c r="E8" s="709" t="s">
        <v>4</v>
      </c>
    </row>
    <row r="9" spans="1:7" ht="22.5" customHeight="1">
      <c r="A9" s="905" t="s">
        <v>1351</v>
      </c>
      <c r="B9" s="904"/>
      <c r="C9" s="916"/>
      <c r="D9" s="886"/>
      <c r="E9" s="903">
        <f>SUM(E22+E23)</f>
        <v>11495000</v>
      </c>
    </row>
    <row r="10" spans="1:7" ht="22.5" customHeight="1">
      <c r="A10" s="599" t="s">
        <v>1692</v>
      </c>
      <c r="B10" s="598" t="s">
        <v>11</v>
      </c>
      <c r="C10" s="627">
        <v>500000</v>
      </c>
      <c r="D10" s="597">
        <v>2</v>
      </c>
      <c r="E10" s="595">
        <f>D10*C10</f>
        <v>1000000</v>
      </c>
    </row>
    <row r="11" spans="1:7" ht="22.5" customHeight="1">
      <c r="A11" s="599" t="s">
        <v>1779</v>
      </c>
      <c r="B11" s="598" t="s">
        <v>228</v>
      </c>
      <c r="C11" s="627">
        <v>450000</v>
      </c>
      <c r="D11" s="597">
        <v>4</v>
      </c>
      <c r="E11" s="595">
        <f>D11*C11</f>
        <v>1800000</v>
      </c>
    </row>
    <row r="12" spans="1:7" ht="22.5" customHeight="1">
      <c r="A12" s="599" t="s">
        <v>1788</v>
      </c>
      <c r="B12" s="598" t="s">
        <v>11</v>
      </c>
      <c r="C12" s="627">
        <v>10000</v>
      </c>
      <c r="D12" s="597">
        <v>200</v>
      </c>
      <c r="E12" s="595">
        <f>D12*C12</f>
        <v>2000000</v>
      </c>
    </row>
    <row r="13" spans="1:7" ht="22.5" customHeight="1">
      <c r="A13" s="599" t="s">
        <v>1348</v>
      </c>
      <c r="B13" s="598"/>
      <c r="C13" s="627"/>
      <c r="D13" s="597"/>
      <c r="E13" s="595"/>
    </row>
    <row r="14" spans="1:7" ht="22.5" customHeight="1">
      <c r="A14" s="952" t="s">
        <v>1787</v>
      </c>
      <c r="B14" s="598" t="s">
        <v>11</v>
      </c>
      <c r="C14" s="627">
        <v>10000</v>
      </c>
      <c r="D14" s="597">
        <v>20</v>
      </c>
      <c r="E14" s="595">
        <f t="shared" ref="E14:E21" si="0">D14*C14</f>
        <v>200000</v>
      </c>
      <c r="F14" s="617"/>
    </row>
    <row r="15" spans="1:7" ht="22.5" customHeight="1">
      <c r="A15" s="952" t="s">
        <v>1786</v>
      </c>
      <c r="B15" s="598" t="s">
        <v>11</v>
      </c>
      <c r="C15" s="627">
        <v>3000</v>
      </c>
      <c r="D15" s="597">
        <v>30</v>
      </c>
      <c r="E15" s="595">
        <f t="shared" si="0"/>
        <v>90000</v>
      </c>
    </row>
    <row r="16" spans="1:7" ht="22.5" customHeight="1">
      <c r="A16" s="952" t="s">
        <v>1785</v>
      </c>
      <c r="B16" s="598" t="s">
        <v>11</v>
      </c>
      <c r="C16" s="627">
        <v>15000</v>
      </c>
      <c r="D16" s="597">
        <v>15</v>
      </c>
      <c r="E16" s="595">
        <f t="shared" si="0"/>
        <v>225000</v>
      </c>
    </row>
    <row r="17" spans="1:5" ht="22.5" customHeight="1">
      <c r="A17" s="599" t="s">
        <v>1346</v>
      </c>
      <c r="B17" s="598" t="s">
        <v>11</v>
      </c>
      <c r="C17" s="627">
        <v>1000</v>
      </c>
      <c r="D17" s="597">
        <v>200</v>
      </c>
      <c r="E17" s="595">
        <f t="shared" si="0"/>
        <v>200000</v>
      </c>
    </row>
    <row r="18" spans="1:5" ht="22.5" customHeight="1">
      <c r="A18" s="599" t="s">
        <v>1784</v>
      </c>
      <c r="B18" s="598" t="s">
        <v>11</v>
      </c>
      <c r="C18" s="627">
        <v>200000</v>
      </c>
      <c r="D18" s="597">
        <v>2</v>
      </c>
      <c r="E18" s="595">
        <f t="shared" si="0"/>
        <v>400000</v>
      </c>
    </row>
    <row r="19" spans="1:5" ht="22.5" customHeight="1">
      <c r="A19" s="599" t="s">
        <v>1443</v>
      </c>
      <c r="B19" s="598" t="s">
        <v>11</v>
      </c>
      <c r="C19" s="627">
        <v>200000</v>
      </c>
      <c r="D19" s="597">
        <v>2</v>
      </c>
      <c r="E19" s="595">
        <f t="shared" si="0"/>
        <v>400000</v>
      </c>
    </row>
    <row r="20" spans="1:5" ht="22.5" customHeight="1">
      <c r="A20" s="599" t="s">
        <v>1783</v>
      </c>
      <c r="B20" s="598" t="s">
        <v>1397</v>
      </c>
      <c r="C20" s="627">
        <v>70000</v>
      </c>
      <c r="D20" s="597">
        <v>20</v>
      </c>
      <c r="E20" s="595">
        <f t="shared" si="0"/>
        <v>1400000</v>
      </c>
    </row>
    <row r="21" spans="1:5" ht="22.5" customHeight="1">
      <c r="A21" s="599" t="s">
        <v>1782</v>
      </c>
      <c r="B21" s="598" t="s">
        <v>511</v>
      </c>
      <c r="C21" s="627">
        <v>180000</v>
      </c>
      <c r="D21" s="597">
        <v>20</v>
      </c>
      <c r="E21" s="595">
        <f t="shared" si="0"/>
        <v>3600000</v>
      </c>
    </row>
    <row r="22" spans="1:5" ht="22.5" customHeight="1">
      <c r="A22" s="893" t="s">
        <v>1344</v>
      </c>
      <c r="B22" s="598"/>
      <c r="C22" s="627"/>
      <c r="D22" s="876"/>
      <c r="E22" s="879">
        <f>SUM(E10:E21)</f>
        <v>11315000</v>
      </c>
    </row>
    <row r="23" spans="1:5" ht="22.5" customHeight="1">
      <c r="A23" s="599" t="s">
        <v>1682</v>
      </c>
      <c r="B23" s="598" t="s">
        <v>1270</v>
      </c>
      <c r="C23" s="627"/>
      <c r="D23" s="597"/>
      <c r="E23" s="595">
        <f>9000000*8%/4</f>
        <v>180000</v>
      </c>
    </row>
    <row r="24" spans="1:5" ht="22.5" customHeight="1">
      <c r="A24" s="893" t="s">
        <v>1341</v>
      </c>
      <c r="B24" s="598"/>
      <c r="C24" s="627"/>
      <c r="D24" s="597"/>
      <c r="E24" s="879">
        <f>E26</f>
        <v>16000000</v>
      </c>
    </row>
    <row r="25" spans="1:5" ht="22.5" customHeight="1">
      <c r="A25" s="599" t="s">
        <v>1340</v>
      </c>
      <c r="B25" s="598" t="s">
        <v>11</v>
      </c>
      <c r="C25" s="627"/>
      <c r="D25" s="597">
        <v>4000</v>
      </c>
      <c r="E25" s="595"/>
    </row>
    <row r="26" spans="1:5" ht="22.5" customHeight="1">
      <c r="A26" s="599" t="s">
        <v>1339</v>
      </c>
      <c r="B26" s="598" t="s">
        <v>1270</v>
      </c>
      <c r="C26" s="627">
        <v>4000</v>
      </c>
      <c r="D26" s="597">
        <v>4000</v>
      </c>
      <c r="E26" s="595">
        <f>D25*C26</f>
        <v>16000000</v>
      </c>
    </row>
    <row r="27" spans="1:5" ht="22.5" customHeight="1">
      <c r="A27" s="902" t="s">
        <v>1337</v>
      </c>
      <c r="B27" s="910"/>
      <c r="C27" s="914"/>
      <c r="D27" s="872"/>
      <c r="E27" s="870">
        <f>E24-E9</f>
        <v>4505000</v>
      </c>
    </row>
    <row r="28" spans="1:5" ht="22.5" customHeight="1" thickBot="1">
      <c r="A28" s="789" t="s">
        <v>1269</v>
      </c>
      <c r="B28" s="723" t="s">
        <v>90</v>
      </c>
      <c r="C28" s="624"/>
      <c r="D28" s="764"/>
      <c r="E28" s="622">
        <f>E27/E24</f>
        <v>0.28156249999999999</v>
      </c>
    </row>
    <row r="29" spans="1:5" ht="22.5" customHeight="1" thickTop="1">
      <c r="A29" s="652"/>
      <c r="B29" s="620"/>
      <c r="C29" s="621"/>
      <c r="D29" s="927"/>
      <c r="E29" s="927"/>
    </row>
    <row r="30" spans="1:5" ht="22.5" customHeight="1">
      <c r="A30" s="524" t="s">
        <v>1268</v>
      </c>
    </row>
    <row r="31" spans="1:5" ht="22.5" customHeight="1">
      <c r="A31" s="523" t="s">
        <v>1774</v>
      </c>
    </row>
    <row r="32" spans="1:5" ht="22.5" customHeight="1">
      <c r="A32" s="523" t="s">
        <v>1773</v>
      </c>
    </row>
    <row r="33" spans="1:1" ht="22.5" customHeight="1">
      <c r="A33" s="617" t="s">
        <v>1613</v>
      </c>
    </row>
  </sheetData>
  <mergeCells count="2">
    <mergeCell ref="A5:E5"/>
    <mergeCell ref="A6:E6"/>
  </mergeCells>
  <pageMargins left="1" right="0.5" top="0.57999999999999996" bottom="0.75" header="0.5" footer="0.5"/>
  <pageSetup orientation="portrait" r:id="rId1"/>
  <headerFooter alignWithMargins="0">
    <oddFooter>&amp;CTrang</oddFooter>
  </headerFooter>
  <drawing r:id="rId2"/>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G33"/>
  <sheetViews>
    <sheetView zoomScaleNormal="100" workbookViewId="0">
      <selection activeCell="H20" sqref="H20"/>
    </sheetView>
  </sheetViews>
  <sheetFormatPr defaultRowHeight="16.5"/>
  <cols>
    <col min="1" max="1" width="28.28515625" style="523" customWidth="1"/>
    <col min="2" max="2" width="13.28515625" style="523" customWidth="1"/>
    <col min="3" max="3" width="13.42578125" style="616" customWidth="1"/>
    <col min="4" max="4" width="15.28515625" style="523" customWidth="1"/>
    <col min="5" max="5" width="15.85546875" style="523" customWidth="1"/>
    <col min="6" max="256" width="9.140625" style="523"/>
    <col min="257" max="257" width="28.28515625" style="523" customWidth="1"/>
    <col min="258" max="258" width="13.28515625" style="523" customWidth="1"/>
    <col min="259" max="259" width="13.42578125" style="523" customWidth="1"/>
    <col min="260" max="260" width="15.28515625" style="523" customWidth="1"/>
    <col min="261" max="261" width="15.85546875" style="523" customWidth="1"/>
    <col min="262" max="512" width="9.140625" style="523"/>
    <col min="513" max="513" width="28.28515625" style="523" customWidth="1"/>
    <col min="514" max="514" width="13.28515625" style="523" customWidth="1"/>
    <col min="515" max="515" width="13.42578125" style="523" customWidth="1"/>
    <col min="516" max="516" width="15.28515625" style="523" customWidth="1"/>
    <col min="517" max="517" width="15.85546875" style="523" customWidth="1"/>
    <col min="518" max="768" width="9.140625" style="523"/>
    <col min="769" max="769" width="28.28515625" style="523" customWidth="1"/>
    <col min="770" max="770" width="13.28515625" style="523" customWidth="1"/>
    <col min="771" max="771" width="13.42578125" style="523" customWidth="1"/>
    <col min="772" max="772" width="15.28515625" style="523" customWidth="1"/>
    <col min="773" max="773" width="15.85546875" style="523" customWidth="1"/>
    <col min="774" max="1024" width="9.140625" style="523"/>
    <col min="1025" max="1025" width="28.28515625" style="523" customWidth="1"/>
    <col min="1026" max="1026" width="13.28515625" style="523" customWidth="1"/>
    <col min="1027" max="1027" width="13.42578125" style="523" customWidth="1"/>
    <col min="1028" max="1028" width="15.28515625" style="523" customWidth="1"/>
    <col min="1029" max="1029" width="15.85546875" style="523" customWidth="1"/>
    <col min="1030" max="1280" width="9.140625" style="523"/>
    <col min="1281" max="1281" width="28.28515625" style="523" customWidth="1"/>
    <col min="1282" max="1282" width="13.28515625" style="523" customWidth="1"/>
    <col min="1283" max="1283" width="13.42578125" style="523" customWidth="1"/>
    <col min="1284" max="1284" width="15.28515625" style="523" customWidth="1"/>
    <col min="1285" max="1285" width="15.85546875" style="523" customWidth="1"/>
    <col min="1286" max="1536" width="9.140625" style="523"/>
    <col min="1537" max="1537" width="28.28515625" style="523" customWidth="1"/>
    <col min="1538" max="1538" width="13.28515625" style="523" customWidth="1"/>
    <col min="1539" max="1539" width="13.42578125" style="523" customWidth="1"/>
    <col min="1540" max="1540" width="15.28515625" style="523" customWidth="1"/>
    <col min="1541" max="1541" width="15.85546875" style="523" customWidth="1"/>
    <col min="1542" max="1792" width="9.140625" style="523"/>
    <col min="1793" max="1793" width="28.28515625" style="523" customWidth="1"/>
    <col min="1794" max="1794" width="13.28515625" style="523" customWidth="1"/>
    <col min="1795" max="1795" width="13.42578125" style="523" customWidth="1"/>
    <col min="1796" max="1796" width="15.28515625" style="523" customWidth="1"/>
    <col min="1797" max="1797" width="15.85546875" style="523" customWidth="1"/>
    <col min="1798" max="2048" width="9.140625" style="523"/>
    <col min="2049" max="2049" width="28.28515625" style="523" customWidth="1"/>
    <col min="2050" max="2050" width="13.28515625" style="523" customWidth="1"/>
    <col min="2051" max="2051" width="13.42578125" style="523" customWidth="1"/>
    <col min="2052" max="2052" width="15.28515625" style="523" customWidth="1"/>
    <col min="2053" max="2053" width="15.85546875" style="523" customWidth="1"/>
    <col min="2054" max="2304" width="9.140625" style="523"/>
    <col min="2305" max="2305" width="28.28515625" style="523" customWidth="1"/>
    <col min="2306" max="2306" width="13.28515625" style="523" customWidth="1"/>
    <col min="2307" max="2307" width="13.42578125" style="523" customWidth="1"/>
    <col min="2308" max="2308" width="15.28515625" style="523" customWidth="1"/>
    <col min="2309" max="2309" width="15.85546875" style="523" customWidth="1"/>
    <col min="2310" max="2560" width="9.140625" style="523"/>
    <col min="2561" max="2561" width="28.28515625" style="523" customWidth="1"/>
    <col min="2562" max="2562" width="13.28515625" style="523" customWidth="1"/>
    <col min="2563" max="2563" width="13.42578125" style="523" customWidth="1"/>
    <col min="2564" max="2564" width="15.28515625" style="523" customWidth="1"/>
    <col min="2565" max="2565" width="15.85546875" style="523" customWidth="1"/>
    <col min="2566" max="2816" width="9.140625" style="523"/>
    <col min="2817" max="2817" width="28.28515625" style="523" customWidth="1"/>
    <col min="2818" max="2818" width="13.28515625" style="523" customWidth="1"/>
    <col min="2819" max="2819" width="13.42578125" style="523" customWidth="1"/>
    <col min="2820" max="2820" width="15.28515625" style="523" customWidth="1"/>
    <col min="2821" max="2821" width="15.85546875" style="523" customWidth="1"/>
    <col min="2822" max="3072" width="9.140625" style="523"/>
    <col min="3073" max="3073" width="28.28515625" style="523" customWidth="1"/>
    <col min="3074" max="3074" width="13.28515625" style="523" customWidth="1"/>
    <col min="3075" max="3075" width="13.42578125" style="523" customWidth="1"/>
    <col min="3076" max="3076" width="15.28515625" style="523" customWidth="1"/>
    <col min="3077" max="3077" width="15.85546875" style="523" customWidth="1"/>
    <col min="3078" max="3328" width="9.140625" style="523"/>
    <col min="3329" max="3329" width="28.28515625" style="523" customWidth="1"/>
    <col min="3330" max="3330" width="13.28515625" style="523" customWidth="1"/>
    <col min="3331" max="3331" width="13.42578125" style="523" customWidth="1"/>
    <col min="3332" max="3332" width="15.28515625" style="523" customWidth="1"/>
    <col min="3333" max="3333" width="15.85546875" style="523" customWidth="1"/>
    <col min="3334" max="3584" width="9.140625" style="523"/>
    <col min="3585" max="3585" width="28.28515625" style="523" customWidth="1"/>
    <col min="3586" max="3586" width="13.28515625" style="523" customWidth="1"/>
    <col min="3587" max="3587" width="13.42578125" style="523" customWidth="1"/>
    <col min="3588" max="3588" width="15.28515625" style="523" customWidth="1"/>
    <col min="3589" max="3589" width="15.85546875" style="523" customWidth="1"/>
    <col min="3590" max="3840" width="9.140625" style="523"/>
    <col min="3841" max="3841" width="28.28515625" style="523" customWidth="1"/>
    <col min="3842" max="3842" width="13.28515625" style="523" customWidth="1"/>
    <col min="3843" max="3843" width="13.42578125" style="523" customWidth="1"/>
    <col min="3844" max="3844" width="15.28515625" style="523" customWidth="1"/>
    <col min="3845" max="3845" width="15.85546875" style="523" customWidth="1"/>
    <col min="3846" max="4096" width="9.140625" style="523"/>
    <col min="4097" max="4097" width="28.28515625" style="523" customWidth="1"/>
    <col min="4098" max="4098" width="13.28515625" style="523" customWidth="1"/>
    <col min="4099" max="4099" width="13.42578125" style="523" customWidth="1"/>
    <col min="4100" max="4100" width="15.28515625" style="523" customWidth="1"/>
    <col min="4101" max="4101" width="15.85546875" style="523" customWidth="1"/>
    <col min="4102" max="4352" width="9.140625" style="523"/>
    <col min="4353" max="4353" width="28.28515625" style="523" customWidth="1"/>
    <col min="4354" max="4354" width="13.28515625" style="523" customWidth="1"/>
    <col min="4355" max="4355" width="13.42578125" style="523" customWidth="1"/>
    <col min="4356" max="4356" width="15.28515625" style="523" customWidth="1"/>
    <col min="4357" max="4357" width="15.85546875" style="523" customWidth="1"/>
    <col min="4358" max="4608" width="9.140625" style="523"/>
    <col min="4609" max="4609" width="28.28515625" style="523" customWidth="1"/>
    <col min="4610" max="4610" width="13.28515625" style="523" customWidth="1"/>
    <col min="4611" max="4611" width="13.42578125" style="523" customWidth="1"/>
    <col min="4612" max="4612" width="15.28515625" style="523" customWidth="1"/>
    <col min="4613" max="4613" width="15.85546875" style="523" customWidth="1"/>
    <col min="4614" max="4864" width="9.140625" style="523"/>
    <col min="4865" max="4865" width="28.28515625" style="523" customWidth="1"/>
    <col min="4866" max="4866" width="13.28515625" style="523" customWidth="1"/>
    <col min="4867" max="4867" width="13.42578125" style="523" customWidth="1"/>
    <col min="4868" max="4868" width="15.28515625" style="523" customWidth="1"/>
    <col min="4869" max="4869" width="15.85546875" style="523" customWidth="1"/>
    <col min="4870" max="5120" width="9.140625" style="523"/>
    <col min="5121" max="5121" width="28.28515625" style="523" customWidth="1"/>
    <col min="5122" max="5122" width="13.28515625" style="523" customWidth="1"/>
    <col min="5123" max="5123" width="13.42578125" style="523" customWidth="1"/>
    <col min="5124" max="5124" width="15.28515625" style="523" customWidth="1"/>
    <col min="5125" max="5125" width="15.85546875" style="523" customWidth="1"/>
    <col min="5126" max="5376" width="9.140625" style="523"/>
    <col min="5377" max="5377" width="28.28515625" style="523" customWidth="1"/>
    <col min="5378" max="5378" width="13.28515625" style="523" customWidth="1"/>
    <col min="5379" max="5379" width="13.42578125" style="523" customWidth="1"/>
    <col min="5380" max="5380" width="15.28515625" style="523" customWidth="1"/>
    <col min="5381" max="5381" width="15.85546875" style="523" customWidth="1"/>
    <col min="5382" max="5632" width="9.140625" style="523"/>
    <col min="5633" max="5633" width="28.28515625" style="523" customWidth="1"/>
    <col min="5634" max="5634" width="13.28515625" style="523" customWidth="1"/>
    <col min="5635" max="5635" width="13.42578125" style="523" customWidth="1"/>
    <col min="5636" max="5636" width="15.28515625" style="523" customWidth="1"/>
    <col min="5637" max="5637" width="15.85546875" style="523" customWidth="1"/>
    <col min="5638" max="5888" width="9.140625" style="523"/>
    <col min="5889" max="5889" width="28.28515625" style="523" customWidth="1"/>
    <col min="5890" max="5890" width="13.28515625" style="523" customWidth="1"/>
    <col min="5891" max="5891" width="13.42578125" style="523" customWidth="1"/>
    <col min="5892" max="5892" width="15.28515625" style="523" customWidth="1"/>
    <col min="5893" max="5893" width="15.85546875" style="523" customWidth="1"/>
    <col min="5894" max="6144" width="9.140625" style="523"/>
    <col min="6145" max="6145" width="28.28515625" style="523" customWidth="1"/>
    <col min="6146" max="6146" width="13.28515625" style="523" customWidth="1"/>
    <col min="6147" max="6147" width="13.42578125" style="523" customWidth="1"/>
    <col min="6148" max="6148" width="15.28515625" style="523" customWidth="1"/>
    <col min="6149" max="6149" width="15.85546875" style="523" customWidth="1"/>
    <col min="6150" max="6400" width="9.140625" style="523"/>
    <col min="6401" max="6401" width="28.28515625" style="523" customWidth="1"/>
    <col min="6402" max="6402" width="13.28515625" style="523" customWidth="1"/>
    <col min="6403" max="6403" width="13.42578125" style="523" customWidth="1"/>
    <col min="6404" max="6404" width="15.28515625" style="523" customWidth="1"/>
    <col min="6405" max="6405" width="15.85546875" style="523" customWidth="1"/>
    <col min="6406" max="6656" width="9.140625" style="523"/>
    <col min="6657" max="6657" width="28.28515625" style="523" customWidth="1"/>
    <col min="6658" max="6658" width="13.28515625" style="523" customWidth="1"/>
    <col min="6659" max="6659" width="13.42578125" style="523" customWidth="1"/>
    <col min="6660" max="6660" width="15.28515625" style="523" customWidth="1"/>
    <col min="6661" max="6661" width="15.85546875" style="523" customWidth="1"/>
    <col min="6662" max="6912" width="9.140625" style="523"/>
    <col min="6913" max="6913" width="28.28515625" style="523" customWidth="1"/>
    <col min="6914" max="6914" width="13.28515625" style="523" customWidth="1"/>
    <col min="6915" max="6915" width="13.42578125" style="523" customWidth="1"/>
    <col min="6916" max="6916" width="15.28515625" style="523" customWidth="1"/>
    <col min="6917" max="6917" width="15.85546875" style="523" customWidth="1"/>
    <col min="6918" max="7168" width="9.140625" style="523"/>
    <col min="7169" max="7169" width="28.28515625" style="523" customWidth="1"/>
    <col min="7170" max="7170" width="13.28515625" style="523" customWidth="1"/>
    <col min="7171" max="7171" width="13.42578125" style="523" customWidth="1"/>
    <col min="7172" max="7172" width="15.28515625" style="523" customWidth="1"/>
    <col min="7173" max="7173" width="15.85546875" style="523" customWidth="1"/>
    <col min="7174" max="7424" width="9.140625" style="523"/>
    <col min="7425" max="7425" width="28.28515625" style="523" customWidth="1"/>
    <col min="7426" max="7426" width="13.28515625" style="523" customWidth="1"/>
    <col min="7427" max="7427" width="13.42578125" style="523" customWidth="1"/>
    <col min="7428" max="7428" width="15.28515625" style="523" customWidth="1"/>
    <col min="7429" max="7429" width="15.85546875" style="523" customWidth="1"/>
    <col min="7430" max="7680" width="9.140625" style="523"/>
    <col min="7681" max="7681" width="28.28515625" style="523" customWidth="1"/>
    <col min="7682" max="7682" width="13.28515625" style="523" customWidth="1"/>
    <col min="7683" max="7683" width="13.42578125" style="523" customWidth="1"/>
    <col min="7684" max="7684" width="15.28515625" style="523" customWidth="1"/>
    <col min="7685" max="7685" width="15.85546875" style="523" customWidth="1"/>
    <col min="7686" max="7936" width="9.140625" style="523"/>
    <col min="7937" max="7937" width="28.28515625" style="523" customWidth="1"/>
    <col min="7938" max="7938" width="13.28515625" style="523" customWidth="1"/>
    <col min="7939" max="7939" width="13.42578125" style="523" customWidth="1"/>
    <col min="7940" max="7940" width="15.28515625" style="523" customWidth="1"/>
    <col min="7941" max="7941" width="15.85546875" style="523" customWidth="1"/>
    <col min="7942" max="8192" width="9.140625" style="523"/>
    <col min="8193" max="8193" width="28.28515625" style="523" customWidth="1"/>
    <col min="8194" max="8194" width="13.28515625" style="523" customWidth="1"/>
    <col min="8195" max="8195" width="13.42578125" style="523" customWidth="1"/>
    <col min="8196" max="8196" width="15.28515625" style="523" customWidth="1"/>
    <col min="8197" max="8197" width="15.85546875" style="523" customWidth="1"/>
    <col min="8198" max="8448" width="9.140625" style="523"/>
    <col min="8449" max="8449" width="28.28515625" style="523" customWidth="1"/>
    <col min="8450" max="8450" width="13.28515625" style="523" customWidth="1"/>
    <col min="8451" max="8451" width="13.42578125" style="523" customWidth="1"/>
    <col min="8452" max="8452" width="15.28515625" style="523" customWidth="1"/>
    <col min="8453" max="8453" width="15.85546875" style="523" customWidth="1"/>
    <col min="8454" max="8704" width="9.140625" style="523"/>
    <col min="8705" max="8705" width="28.28515625" style="523" customWidth="1"/>
    <col min="8706" max="8706" width="13.28515625" style="523" customWidth="1"/>
    <col min="8707" max="8707" width="13.42578125" style="523" customWidth="1"/>
    <col min="8708" max="8708" width="15.28515625" style="523" customWidth="1"/>
    <col min="8709" max="8709" width="15.85546875" style="523" customWidth="1"/>
    <col min="8710" max="8960" width="9.140625" style="523"/>
    <col min="8961" max="8961" width="28.28515625" style="523" customWidth="1"/>
    <col min="8962" max="8962" width="13.28515625" style="523" customWidth="1"/>
    <col min="8963" max="8963" width="13.42578125" style="523" customWidth="1"/>
    <col min="8964" max="8964" width="15.28515625" style="523" customWidth="1"/>
    <col min="8965" max="8965" width="15.85546875" style="523" customWidth="1"/>
    <col min="8966" max="9216" width="9.140625" style="523"/>
    <col min="9217" max="9217" width="28.28515625" style="523" customWidth="1"/>
    <col min="9218" max="9218" width="13.28515625" style="523" customWidth="1"/>
    <col min="9219" max="9219" width="13.42578125" style="523" customWidth="1"/>
    <col min="9220" max="9220" width="15.28515625" style="523" customWidth="1"/>
    <col min="9221" max="9221" width="15.85546875" style="523" customWidth="1"/>
    <col min="9222" max="9472" width="9.140625" style="523"/>
    <col min="9473" max="9473" width="28.28515625" style="523" customWidth="1"/>
    <col min="9474" max="9474" width="13.28515625" style="523" customWidth="1"/>
    <col min="9475" max="9475" width="13.42578125" style="523" customWidth="1"/>
    <col min="9476" max="9476" width="15.28515625" style="523" customWidth="1"/>
    <col min="9477" max="9477" width="15.85546875" style="523" customWidth="1"/>
    <col min="9478" max="9728" width="9.140625" style="523"/>
    <col min="9729" max="9729" width="28.28515625" style="523" customWidth="1"/>
    <col min="9730" max="9730" width="13.28515625" style="523" customWidth="1"/>
    <col min="9731" max="9731" width="13.42578125" style="523" customWidth="1"/>
    <col min="9732" max="9732" width="15.28515625" style="523" customWidth="1"/>
    <col min="9733" max="9733" width="15.85546875" style="523" customWidth="1"/>
    <col min="9734" max="9984" width="9.140625" style="523"/>
    <col min="9985" max="9985" width="28.28515625" style="523" customWidth="1"/>
    <col min="9986" max="9986" width="13.28515625" style="523" customWidth="1"/>
    <col min="9987" max="9987" width="13.42578125" style="523" customWidth="1"/>
    <col min="9988" max="9988" width="15.28515625" style="523" customWidth="1"/>
    <col min="9989" max="9989" width="15.85546875" style="523" customWidth="1"/>
    <col min="9990" max="10240" width="9.140625" style="523"/>
    <col min="10241" max="10241" width="28.28515625" style="523" customWidth="1"/>
    <col min="10242" max="10242" width="13.28515625" style="523" customWidth="1"/>
    <col min="10243" max="10243" width="13.42578125" style="523" customWidth="1"/>
    <col min="10244" max="10244" width="15.28515625" style="523" customWidth="1"/>
    <col min="10245" max="10245" width="15.85546875" style="523" customWidth="1"/>
    <col min="10246" max="10496" width="9.140625" style="523"/>
    <col min="10497" max="10497" width="28.28515625" style="523" customWidth="1"/>
    <col min="10498" max="10498" width="13.28515625" style="523" customWidth="1"/>
    <col min="10499" max="10499" width="13.42578125" style="523" customWidth="1"/>
    <col min="10500" max="10500" width="15.28515625" style="523" customWidth="1"/>
    <col min="10501" max="10501" width="15.85546875" style="523" customWidth="1"/>
    <col min="10502" max="10752" width="9.140625" style="523"/>
    <col min="10753" max="10753" width="28.28515625" style="523" customWidth="1"/>
    <col min="10754" max="10754" width="13.28515625" style="523" customWidth="1"/>
    <col min="10755" max="10755" width="13.42578125" style="523" customWidth="1"/>
    <col min="10756" max="10756" width="15.28515625" style="523" customWidth="1"/>
    <col min="10757" max="10757" width="15.85546875" style="523" customWidth="1"/>
    <col min="10758" max="11008" width="9.140625" style="523"/>
    <col min="11009" max="11009" width="28.28515625" style="523" customWidth="1"/>
    <col min="11010" max="11010" width="13.28515625" style="523" customWidth="1"/>
    <col min="11011" max="11011" width="13.42578125" style="523" customWidth="1"/>
    <col min="11012" max="11012" width="15.28515625" style="523" customWidth="1"/>
    <col min="11013" max="11013" width="15.85546875" style="523" customWidth="1"/>
    <col min="11014" max="11264" width="9.140625" style="523"/>
    <col min="11265" max="11265" width="28.28515625" style="523" customWidth="1"/>
    <col min="11266" max="11266" width="13.28515625" style="523" customWidth="1"/>
    <col min="11267" max="11267" width="13.42578125" style="523" customWidth="1"/>
    <col min="11268" max="11268" width="15.28515625" style="523" customWidth="1"/>
    <col min="11269" max="11269" width="15.85546875" style="523" customWidth="1"/>
    <col min="11270" max="11520" width="9.140625" style="523"/>
    <col min="11521" max="11521" width="28.28515625" style="523" customWidth="1"/>
    <col min="11522" max="11522" width="13.28515625" style="523" customWidth="1"/>
    <col min="11523" max="11523" width="13.42578125" style="523" customWidth="1"/>
    <col min="11524" max="11524" width="15.28515625" style="523" customWidth="1"/>
    <col min="11525" max="11525" width="15.85546875" style="523" customWidth="1"/>
    <col min="11526" max="11776" width="9.140625" style="523"/>
    <col min="11777" max="11777" width="28.28515625" style="523" customWidth="1"/>
    <col min="11778" max="11778" width="13.28515625" style="523" customWidth="1"/>
    <col min="11779" max="11779" width="13.42578125" style="523" customWidth="1"/>
    <col min="11780" max="11780" width="15.28515625" style="523" customWidth="1"/>
    <col min="11781" max="11781" width="15.85546875" style="523" customWidth="1"/>
    <col min="11782" max="12032" width="9.140625" style="523"/>
    <col min="12033" max="12033" width="28.28515625" style="523" customWidth="1"/>
    <col min="12034" max="12034" width="13.28515625" style="523" customWidth="1"/>
    <col min="12035" max="12035" width="13.42578125" style="523" customWidth="1"/>
    <col min="12036" max="12036" width="15.28515625" style="523" customWidth="1"/>
    <col min="12037" max="12037" width="15.85546875" style="523" customWidth="1"/>
    <col min="12038" max="12288" width="9.140625" style="523"/>
    <col min="12289" max="12289" width="28.28515625" style="523" customWidth="1"/>
    <col min="12290" max="12290" width="13.28515625" style="523" customWidth="1"/>
    <col min="12291" max="12291" width="13.42578125" style="523" customWidth="1"/>
    <col min="12292" max="12292" width="15.28515625" style="523" customWidth="1"/>
    <col min="12293" max="12293" width="15.85546875" style="523" customWidth="1"/>
    <col min="12294" max="12544" width="9.140625" style="523"/>
    <col min="12545" max="12545" width="28.28515625" style="523" customWidth="1"/>
    <col min="12546" max="12546" width="13.28515625" style="523" customWidth="1"/>
    <col min="12547" max="12547" width="13.42578125" style="523" customWidth="1"/>
    <col min="12548" max="12548" width="15.28515625" style="523" customWidth="1"/>
    <col min="12549" max="12549" width="15.85546875" style="523" customWidth="1"/>
    <col min="12550" max="12800" width="9.140625" style="523"/>
    <col min="12801" max="12801" width="28.28515625" style="523" customWidth="1"/>
    <col min="12802" max="12802" width="13.28515625" style="523" customWidth="1"/>
    <col min="12803" max="12803" width="13.42578125" style="523" customWidth="1"/>
    <col min="12804" max="12804" width="15.28515625" style="523" customWidth="1"/>
    <col min="12805" max="12805" width="15.85546875" style="523" customWidth="1"/>
    <col min="12806" max="13056" width="9.140625" style="523"/>
    <col min="13057" max="13057" width="28.28515625" style="523" customWidth="1"/>
    <col min="13058" max="13058" width="13.28515625" style="523" customWidth="1"/>
    <col min="13059" max="13059" width="13.42578125" style="523" customWidth="1"/>
    <col min="13060" max="13060" width="15.28515625" style="523" customWidth="1"/>
    <col min="13061" max="13061" width="15.85546875" style="523" customWidth="1"/>
    <col min="13062" max="13312" width="9.140625" style="523"/>
    <col min="13313" max="13313" width="28.28515625" style="523" customWidth="1"/>
    <col min="13314" max="13314" width="13.28515625" style="523" customWidth="1"/>
    <col min="13315" max="13315" width="13.42578125" style="523" customWidth="1"/>
    <col min="13316" max="13316" width="15.28515625" style="523" customWidth="1"/>
    <col min="13317" max="13317" width="15.85546875" style="523" customWidth="1"/>
    <col min="13318" max="13568" width="9.140625" style="523"/>
    <col min="13569" max="13569" width="28.28515625" style="523" customWidth="1"/>
    <col min="13570" max="13570" width="13.28515625" style="523" customWidth="1"/>
    <col min="13571" max="13571" width="13.42578125" style="523" customWidth="1"/>
    <col min="13572" max="13572" width="15.28515625" style="523" customWidth="1"/>
    <col min="13573" max="13573" width="15.85546875" style="523" customWidth="1"/>
    <col min="13574" max="13824" width="9.140625" style="523"/>
    <col min="13825" max="13825" width="28.28515625" style="523" customWidth="1"/>
    <col min="13826" max="13826" width="13.28515625" style="523" customWidth="1"/>
    <col min="13827" max="13827" width="13.42578125" style="523" customWidth="1"/>
    <col min="13828" max="13828" width="15.28515625" style="523" customWidth="1"/>
    <col min="13829" max="13829" width="15.85546875" style="523" customWidth="1"/>
    <col min="13830" max="14080" width="9.140625" style="523"/>
    <col min="14081" max="14081" width="28.28515625" style="523" customWidth="1"/>
    <col min="14082" max="14082" width="13.28515625" style="523" customWidth="1"/>
    <col min="14083" max="14083" width="13.42578125" style="523" customWidth="1"/>
    <col min="14084" max="14084" width="15.28515625" style="523" customWidth="1"/>
    <col min="14085" max="14085" width="15.85546875" style="523" customWidth="1"/>
    <col min="14086" max="14336" width="9.140625" style="523"/>
    <col min="14337" max="14337" width="28.28515625" style="523" customWidth="1"/>
    <col min="14338" max="14338" width="13.28515625" style="523" customWidth="1"/>
    <col min="14339" max="14339" width="13.42578125" style="523" customWidth="1"/>
    <col min="14340" max="14340" width="15.28515625" style="523" customWidth="1"/>
    <col min="14341" max="14341" width="15.85546875" style="523" customWidth="1"/>
    <col min="14342" max="14592" width="9.140625" style="523"/>
    <col min="14593" max="14593" width="28.28515625" style="523" customWidth="1"/>
    <col min="14594" max="14594" width="13.28515625" style="523" customWidth="1"/>
    <col min="14595" max="14595" width="13.42578125" style="523" customWidth="1"/>
    <col min="14596" max="14596" width="15.28515625" style="523" customWidth="1"/>
    <col min="14597" max="14597" width="15.85546875" style="523" customWidth="1"/>
    <col min="14598" max="14848" width="9.140625" style="523"/>
    <col min="14849" max="14849" width="28.28515625" style="523" customWidth="1"/>
    <col min="14850" max="14850" width="13.28515625" style="523" customWidth="1"/>
    <col min="14851" max="14851" width="13.42578125" style="523" customWidth="1"/>
    <col min="14852" max="14852" width="15.28515625" style="523" customWidth="1"/>
    <col min="14853" max="14853" width="15.85546875" style="523" customWidth="1"/>
    <col min="14854" max="15104" width="9.140625" style="523"/>
    <col min="15105" max="15105" width="28.28515625" style="523" customWidth="1"/>
    <col min="15106" max="15106" width="13.28515625" style="523" customWidth="1"/>
    <col min="15107" max="15107" width="13.42578125" style="523" customWidth="1"/>
    <col min="15108" max="15108" width="15.28515625" style="523" customWidth="1"/>
    <col min="15109" max="15109" width="15.85546875" style="523" customWidth="1"/>
    <col min="15110" max="15360" width="9.140625" style="523"/>
    <col min="15361" max="15361" width="28.28515625" style="523" customWidth="1"/>
    <col min="15362" max="15362" width="13.28515625" style="523" customWidth="1"/>
    <col min="15363" max="15363" width="13.42578125" style="523" customWidth="1"/>
    <col min="15364" max="15364" width="15.28515625" style="523" customWidth="1"/>
    <col min="15365" max="15365" width="15.85546875" style="523" customWidth="1"/>
    <col min="15366" max="15616" width="9.140625" style="523"/>
    <col min="15617" max="15617" width="28.28515625" style="523" customWidth="1"/>
    <col min="15618" max="15618" width="13.28515625" style="523" customWidth="1"/>
    <col min="15619" max="15619" width="13.42578125" style="523" customWidth="1"/>
    <col min="15620" max="15620" width="15.28515625" style="523" customWidth="1"/>
    <col min="15621" max="15621" width="15.85546875" style="523" customWidth="1"/>
    <col min="15622" max="15872" width="9.140625" style="523"/>
    <col min="15873" max="15873" width="28.28515625" style="523" customWidth="1"/>
    <col min="15874" max="15874" width="13.28515625" style="523" customWidth="1"/>
    <col min="15875" max="15875" width="13.42578125" style="523" customWidth="1"/>
    <col min="15876" max="15876" width="15.28515625" style="523" customWidth="1"/>
    <col min="15877" max="15877" width="15.85546875" style="523" customWidth="1"/>
    <col min="15878" max="16128" width="9.140625" style="523"/>
    <col min="16129" max="16129" width="28.28515625" style="523" customWidth="1"/>
    <col min="16130" max="16130" width="13.28515625" style="523" customWidth="1"/>
    <col min="16131" max="16131" width="13.42578125" style="523" customWidth="1"/>
    <col min="16132" max="16132" width="15.28515625" style="523" customWidth="1"/>
    <col min="16133" max="16133" width="15.85546875" style="523" customWidth="1"/>
    <col min="16134" max="16384" width="9.140625" style="523"/>
  </cols>
  <sheetData>
    <row r="1" spans="1:7">
      <c r="C1" s="616" t="s">
        <v>1755</v>
      </c>
      <c r="G1" s="1383" t="s">
        <v>1020</v>
      </c>
    </row>
    <row r="6" spans="1:7">
      <c r="A6" s="2409" t="s">
        <v>1754</v>
      </c>
      <c r="B6" s="2409"/>
      <c r="C6" s="2409"/>
      <c r="D6" s="2409"/>
      <c r="E6" s="2409"/>
    </row>
    <row r="7" spans="1:7">
      <c r="A7" s="2409" t="s">
        <v>1753</v>
      </c>
      <c r="B7" s="2409"/>
      <c r="C7" s="2409"/>
      <c r="D7" s="2409"/>
      <c r="E7" s="2409"/>
    </row>
    <row r="8" spans="1:7" ht="17.25" thickBot="1">
      <c r="C8" s="621"/>
      <c r="E8" s="2302" t="s">
        <v>1263</v>
      </c>
    </row>
    <row r="9" spans="1:7" ht="20.25" customHeight="1" thickTop="1">
      <c r="A9" s="898" t="s">
        <v>1294</v>
      </c>
      <c r="B9" s="2361" t="s">
        <v>235</v>
      </c>
      <c r="C9" s="925" t="s">
        <v>3</v>
      </c>
      <c r="D9" s="2307" t="s">
        <v>1</v>
      </c>
      <c r="E9" s="2308" t="s">
        <v>4</v>
      </c>
    </row>
    <row r="10" spans="1:7" ht="20.25" customHeight="1">
      <c r="A10" s="905" t="s">
        <v>1351</v>
      </c>
      <c r="B10" s="904"/>
      <c r="C10" s="916"/>
      <c r="D10" s="886"/>
      <c r="E10" s="903">
        <f>SUM(E23+E24)</f>
        <v>11025666.666666666</v>
      </c>
    </row>
    <row r="11" spans="1:7" ht="20.25" customHeight="1">
      <c r="A11" s="599" t="s">
        <v>1692</v>
      </c>
      <c r="B11" s="598" t="s">
        <v>1287</v>
      </c>
      <c r="C11" s="627">
        <v>70</v>
      </c>
      <c r="D11" s="597">
        <v>4200</v>
      </c>
      <c r="E11" s="595">
        <f t="shared" ref="E11:E21" si="0">D11*C11</f>
        <v>294000</v>
      </c>
    </row>
    <row r="12" spans="1:7" ht="20.25" customHeight="1">
      <c r="A12" s="599" t="s">
        <v>1752</v>
      </c>
      <c r="B12" s="598" t="s">
        <v>228</v>
      </c>
      <c r="C12" s="627">
        <v>450000</v>
      </c>
      <c r="D12" s="597">
        <v>4</v>
      </c>
      <c r="E12" s="595">
        <f t="shared" si="0"/>
        <v>1800000</v>
      </c>
    </row>
    <row r="13" spans="1:7" ht="20.25" customHeight="1">
      <c r="A13" s="599" t="s">
        <v>1751</v>
      </c>
      <c r="B13" s="598" t="s">
        <v>11</v>
      </c>
      <c r="C13" s="627">
        <v>10000</v>
      </c>
      <c r="D13" s="597">
        <v>110</v>
      </c>
      <c r="E13" s="595">
        <f t="shared" si="0"/>
        <v>1100000</v>
      </c>
    </row>
    <row r="14" spans="1:7" ht="20.25" customHeight="1">
      <c r="A14" s="599" t="s">
        <v>1750</v>
      </c>
      <c r="B14" s="598" t="s">
        <v>11</v>
      </c>
      <c r="C14" s="627">
        <v>10000</v>
      </c>
      <c r="D14" s="597">
        <v>20</v>
      </c>
      <c r="E14" s="595">
        <f t="shared" si="0"/>
        <v>200000</v>
      </c>
    </row>
    <row r="15" spans="1:7" ht="20.25" customHeight="1">
      <c r="A15" s="599" t="s">
        <v>1346</v>
      </c>
      <c r="B15" s="598" t="s">
        <v>11</v>
      </c>
      <c r="C15" s="627">
        <v>2000</v>
      </c>
      <c r="D15" s="597">
        <v>200</v>
      </c>
      <c r="E15" s="595">
        <f t="shared" si="0"/>
        <v>400000</v>
      </c>
    </row>
    <row r="16" spans="1:7" ht="20.25" customHeight="1">
      <c r="A16" s="599" t="s">
        <v>1724</v>
      </c>
      <c r="B16" s="598" t="s">
        <v>11</v>
      </c>
      <c r="C16" s="627">
        <v>3000</v>
      </c>
      <c r="D16" s="597">
        <v>35</v>
      </c>
      <c r="E16" s="595">
        <f t="shared" si="0"/>
        <v>105000</v>
      </c>
    </row>
    <row r="17" spans="1:5" ht="20.25" customHeight="1">
      <c r="A17" s="599" t="s">
        <v>1723</v>
      </c>
      <c r="B17" s="598" t="s">
        <v>11</v>
      </c>
      <c r="C17" s="627">
        <v>10000</v>
      </c>
      <c r="D17" s="597">
        <v>10</v>
      </c>
      <c r="E17" s="595">
        <f t="shared" si="0"/>
        <v>100000</v>
      </c>
    </row>
    <row r="18" spans="1:5" ht="20.25" customHeight="1">
      <c r="A18" s="599" t="s">
        <v>1747</v>
      </c>
      <c r="B18" s="598" t="s">
        <v>11</v>
      </c>
      <c r="C18" s="627">
        <v>200000</v>
      </c>
      <c r="D18" s="597">
        <v>1</v>
      </c>
      <c r="E18" s="595">
        <f t="shared" si="0"/>
        <v>200000</v>
      </c>
    </row>
    <row r="19" spans="1:5" ht="20.25" customHeight="1">
      <c r="A19" s="599" t="s">
        <v>1721</v>
      </c>
      <c r="B19" s="598" t="s">
        <v>11</v>
      </c>
      <c r="C19" s="627">
        <v>200000</v>
      </c>
      <c r="D19" s="597">
        <v>1</v>
      </c>
      <c r="E19" s="595">
        <f t="shared" si="0"/>
        <v>200000</v>
      </c>
    </row>
    <row r="20" spans="1:5" ht="20.25" customHeight="1">
      <c r="A20" s="599" t="s">
        <v>1720</v>
      </c>
      <c r="B20" s="598" t="s">
        <v>1397</v>
      </c>
      <c r="C20" s="627">
        <v>70000</v>
      </c>
      <c r="D20" s="597">
        <v>12</v>
      </c>
      <c r="E20" s="595">
        <f t="shared" si="0"/>
        <v>840000</v>
      </c>
    </row>
    <row r="21" spans="1:5" ht="20.25" customHeight="1">
      <c r="A21" s="599" t="s">
        <v>1719</v>
      </c>
      <c r="B21" s="598" t="s">
        <v>511</v>
      </c>
      <c r="C21" s="627">
        <v>180000</v>
      </c>
      <c r="D21" s="597">
        <v>30</v>
      </c>
      <c r="E21" s="595">
        <f t="shared" si="0"/>
        <v>5400000</v>
      </c>
    </row>
    <row r="22" spans="1:5" ht="20.25" customHeight="1">
      <c r="A22" s="599" t="s">
        <v>1718</v>
      </c>
      <c r="B22" s="598"/>
      <c r="C22" s="627"/>
      <c r="D22" s="597"/>
      <c r="E22" s="595">
        <v>200000</v>
      </c>
    </row>
    <row r="23" spans="1:5" ht="20.25" customHeight="1">
      <c r="A23" s="893" t="s">
        <v>1344</v>
      </c>
      <c r="B23" s="598"/>
      <c r="C23" s="627"/>
      <c r="D23" s="876"/>
      <c r="E23" s="879">
        <f>SUM(E11:E22)</f>
        <v>10839000</v>
      </c>
    </row>
    <row r="24" spans="1:5" ht="20.25" customHeight="1">
      <c r="A24" s="599" t="s">
        <v>1395</v>
      </c>
      <c r="B24" s="598" t="s">
        <v>1270</v>
      </c>
      <c r="C24" s="627"/>
      <c r="D24" s="597"/>
      <c r="E24" s="595">
        <f>7000000*8%/3</f>
        <v>186666.66666666666</v>
      </c>
    </row>
    <row r="25" spans="1:5" ht="20.25" customHeight="1">
      <c r="A25" s="893" t="s">
        <v>1341</v>
      </c>
      <c r="B25" s="598"/>
      <c r="C25" s="627"/>
      <c r="D25" s="876"/>
      <c r="E25" s="879">
        <f>E27</f>
        <v>13300000</v>
      </c>
    </row>
    <row r="26" spans="1:5" ht="20.25" customHeight="1">
      <c r="A26" s="599" t="s">
        <v>1340</v>
      </c>
      <c r="B26" s="598" t="s">
        <v>1287</v>
      </c>
      <c r="C26" s="627"/>
      <c r="D26" s="597">
        <v>3500</v>
      </c>
      <c r="E26" s="595"/>
    </row>
    <row r="27" spans="1:5" ht="20.25" customHeight="1">
      <c r="A27" s="599" t="s">
        <v>1339</v>
      </c>
      <c r="B27" s="598" t="s">
        <v>1270</v>
      </c>
      <c r="C27" s="627">
        <v>3800</v>
      </c>
      <c r="D27" s="597">
        <v>3500</v>
      </c>
      <c r="E27" s="595">
        <f>D27*C27</f>
        <v>13300000</v>
      </c>
    </row>
    <row r="28" spans="1:5" ht="20.25" customHeight="1">
      <c r="A28" s="902" t="s">
        <v>1337</v>
      </c>
      <c r="B28" s="910"/>
      <c r="C28" s="914"/>
      <c r="D28" s="872"/>
      <c r="E28" s="870">
        <f>E25-E10</f>
        <v>2274333.333333334</v>
      </c>
    </row>
    <row r="29" spans="1:5" ht="20.25" customHeight="1" thickBot="1">
      <c r="A29" s="789" t="s">
        <v>1269</v>
      </c>
      <c r="B29" s="892" t="s">
        <v>90</v>
      </c>
      <c r="C29" s="624"/>
      <c r="D29" s="869"/>
      <c r="E29" s="868">
        <f>E28/E25</f>
        <v>0.17100250626566421</v>
      </c>
    </row>
    <row r="30" spans="1:5" ht="20.25" customHeight="1" thickTop="1">
      <c r="A30" s="652"/>
      <c r="B30" s="620"/>
      <c r="C30" s="621"/>
      <c r="D30" s="891"/>
      <c r="E30" s="891"/>
    </row>
    <row r="31" spans="1:5" ht="20.25" customHeight="1">
      <c r="A31" s="524" t="s">
        <v>1268</v>
      </c>
    </row>
    <row r="32" spans="1:5" ht="20.25" customHeight="1">
      <c r="A32" s="523" t="s">
        <v>1749</v>
      </c>
    </row>
    <row r="33" spans="1:1" ht="20.25" customHeight="1">
      <c r="A33" s="617" t="s">
        <v>1613</v>
      </c>
    </row>
  </sheetData>
  <mergeCells count="2">
    <mergeCell ref="A6:E6"/>
    <mergeCell ref="A7:E7"/>
  </mergeCells>
  <pageMargins left="1" right="0.5" top="0.75" bottom="0.75" header="0.5" footer="0.5"/>
  <pageSetup paperSize="9" orientation="portrait" r:id="rId1"/>
  <headerFooter alignWithMargins="0">
    <oddFooter>&amp;CTrang</oddFooter>
  </headerFooter>
  <drawing r:id="rId2"/>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G33"/>
  <sheetViews>
    <sheetView zoomScaleNormal="100" workbookViewId="0">
      <selection activeCell="H20" sqref="H20"/>
    </sheetView>
  </sheetViews>
  <sheetFormatPr defaultRowHeight="16.5"/>
  <cols>
    <col min="1" max="1" width="25.85546875" style="523" customWidth="1"/>
    <col min="2" max="2" width="15.140625" style="523" customWidth="1"/>
    <col min="3" max="3" width="13.5703125" style="523" customWidth="1"/>
    <col min="4" max="4" width="15.7109375" style="523" customWidth="1"/>
    <col min="5" max="5" width="17.7109375" style="523" customWidth="1"/>
    <col min="6" max="256" width="9.140625" style="523"/>
    <col min="257" max="257" width="25.85546875" style="523" customWidth="1"/>
    <col min="258" max="258" width="15.140625" style="523" customWidth="1"/>
    <col min="259" max="259" width="13.5703125" style="523" customWidth="1"/>
    <col min="260" max="260" width="15.7109375" style="523" customWidth="1"/>
    <col min="261" max="261" width="17.7109375" style="523" customWidth="1"/>
    <col min="262" max="512" width="9.140625" style="523"/>
    <col min="513" max="513" width="25.85546875" style="523" customWidth="1"/>
    <col min="514" max="514" width="15.140625" style="523" customWidth="1"/>
    <col min="515" max="515" width="13.5703125" style="523" customWidth="1"/>
    <col min="516" max="516" width="15.7109375" style="523" customWidth="1"/>
    <col min="517" max="517" width="17.7109375" style="523" customWidth="1"/>
    <col min="518" max="768" width="9.140625" style="523"/>
    <col min="769" max="769" width="25.85546875" style="523" customWidth="1"/>
    <col min="770" max="770" width="15.140625" style="523" customWidth="1"/>
    <col min="771" max="771" width="13.5703125" style="523" customWidth="1"/>
    <col min="772" max="772" width="15.7109375" style="523" customWidth="1"/>
    <col min="773" max="773" width="17.7109375" style="523" customWidth="1"/>
    <col min="774" max="1024" width="9.140625" style="523"/>
    <col min="1025" max="1025" width="25.85546875" style="523" customWidth="1"/>
    <col min="1026" max="1026" width="15.140625" style="523" customWidth="1"/>
    <col min="1027" max="1027" width="13.5703125" style="523" customWidth="1"/>
    <col min="1028" max="1028" width="15.7109375" style="523" customWidth="1"/>
    <col min="1029" max="1029" width="17.7109375" style="523" customWidth="1"/>
    <col min="1030" max="1280" width="9.140625" style="523"/>
    <col min="1281" max="1281" width="25.85546875" style="523" customWidth="1"/>
    <col min="1282" max="1282" width="15.140625" style="523" customWidth="1"/>
    <col min="1283" max="1283" width="13.5703125" style="523" customWidth="1"/>
    <col min="1284" max="1284" width="15.7109375" style="523" customWidth="1"/>
    <col min="1285" max="1285" width="17.7109375" style="523" customWidth="1"/>
    <col min="1286" max="1536" width="9.140625" style="523"/>
    <col min="1537" max="1537" width="25.85546875" style="523" customWidth="1"/>
    <col min="1538" max="1538" width="15.140625" style="523" customWidth="1"/>
    <col min="1539" max="1539" width="13.5703125" style="523" customWidth="1"/>
    <col min="1540" max="1540" width="15.7109375" style="523" customWidth="1"/>
    <col min="1541" max="1541" width="17.7109375" style="523" customWidth="1"/>
    <col min="1542" max="1792" width="9.140625" style="523"/>
    <col min="1793" max="1793" width="25.85546875" style="523" customWidth="1"/>
    <col min="1794" max="1794" width="15.140625" style="523" customWidth="1"/>
    <col min="1795" max="1795" width="13.5703125" style="523" customWidth="1"/>
    <col min="1796" max="1796" width="15.7109375" style="523" customWidth="1"/>
    <col min="1797" max="1797" width="17.7109375" style="523" customWidth="1"/>
    <col min="1798" max="2048" width="9.140625" style="523"/>
    <col min="2049" max="2049" width="25.85546875" style="523" customWidth="1"/>
    <col min="2050" max="2050" width="15.140625" style="523" customWidth="1"/>
    <col min="2051" max="2051" width="13.5703125" style="523" customWidth="1"/>
    <col min="2052" max="2052" width="15.7109375" style="523" customWidth="1"/>
    <col min="2053" max="2053" width="17.7109375" style="523" customWidth="1"/>
    <col min="2054" max="2304" width="9.140625" style="523"/>
    <col min="2305" max="2305" width="25.85546875" style="523" customWidth="1"/>
    <col min="2306" max="2306" width="15.140625" style="523" customWidth="1"/>
    <col min="2307" max="2307" width="13.5703125" style="523" customWidth="1"/>
    <col min="2308" max="2308" width="15.7109375" style="523" customWidth="1"/>
    <col min="2309" max="2309" width="17.7109375" style="523" customWidth="1"/>
    <col min="2310" max="2560" width="9.140625" style="523"/>
    <col min="2561" max="2561" width="25.85546875" style="523" customWidth="1"/>
    <col min="2562" max="2562" width="15.140625" style="523" customWidth="1"/>
    <col min="2563" max="2563" width="13.5703125" style="523" customWidth="1"/>
    <col min="2564" max="2564" width="15.7109375" style="523" customWidth="1"/>
    <col min="2565" max="2565" width="17.7109375" style="523" customWidth="1"/>
    <col min="2566" max="2816" width="9.140625" style="523"/>
    <col min="2817" max="2817" width="25.85546875" style="523" customWidth="1"/>
    <col min="2818" max="2818" width="15.140625" style="523" customWidth="1"/>
    <col min="2819" max="2819" width="13.5703125" style="523" customWidth="1"/>
    <col min="2820" max="2820" width="15.7109375" style="523" customWidth="1"/>
    <col min="2821" max="2821" width="17.7109375" style="523" customWidth="1"/>
    <col min="2822" max="3072" width="9.140625" style="523"/>
    <col min="3073" max="3073" width="25.85546875" style="523" customWidth="1"/>
    <col min="3074" max="3074" width="15.140625" style="523" customWidth="1"/>
    <col min="3075" max="3075" width="13.5703125" style="523" customWidth="1"/>
    <col min="3076" max="3076" width="15.7109375" style="523" customWidth="1"/>
    <col min="3077" max="3077" width="17.7109375" style="523" customWidth="1"/>
    <col min="3078" max="3328" width="9.140625" style="523"/>
    <col min="3329" max="3329" width="25.85546875" style="523" customWidth="1"/>
    <col min="3330" max="3330" width="15.140625" style="523" customWidth="1"/>
    <col min="3331" max="3331" width="13.5703125" style="523" customWidth="1"/>
    <col min="3332" max="3332" width="15.7109375" style="523" customWidth="1"/>
    <col min="3333" max="3333" width="17.7109375" style="523" customWidth="1"/>
    <col min="3334" max="3584" width="9.140625" style="523"/>
    <col min="3585" max="3585" width="25.85546875" style="523" customWidth="1"/>
    <col min="3586" max="3586" width="15.140625" style="523" customWidth="1"/>
    <col min="3587" max="3587" width="13.5703125" style="523" customWidth="1"/>
    <col min="3588" max="3588" width="15.7109375" style="523" customWidth="1"/>
    <col min="3589" max="3589" width="17.7109375" style="523" customWidth="1"/>
    <col min="3590" max="3840" width="9.140625" style="523"/>
    <col min="3841" max="3841" width="25.85546875" style="523" customWidth="1"/>
    <col min="3842" max="3842" width="15.140625" style="523" customWidth="1"/>
    <col min="3843" max="3843" width="13.5703125" style="523" customWidth="1"/>
    <col min="3844" max="3844" width="15.7109375" style="523" customWidth="1"/>
    <col min="3845" max="3845" width="17.7109375" style="523" customWidth="1"/>
    <col min="3846" max="4096" width="9.140625" style="523"/>
    <col min="4097" max="4097" width="25.85546875" style="523" customWidth="1"/>
    <col min="4098" max="4098" width="15.140625" style="523" customWidth="1"/>
    <col min="4099" max="4099" width="13.5703125" style="523" customWidth="1"/>
    <col min="4100" max="4100" width="15.7109375" style="523" customWidth="1"/>
    <col min="4101" max="4101" width="17.7109375" style="523" customWidth="1"/>
    <col min="4102" max="4352" width="9.140625" style="523"/>
    <col min="4353" max="4353" width="25.85546875" style="523" customWidth="1"/>
    <col min="4354" max="4354" width="15.140625" style="523" customWidth="1"/>
    <col min="4355" max="4355" width="13.5703125" style="523" customWidth="1"/>
    <col min="4356" max="4356" width="15.7109375" style="523" customWidth="1"/>
    <col min="4357" max="4357" width="17.7109375" style="523" customWidth="1"/>
    <col min="4358" max="4608" width="9.140625" style="523"/>
    <col min="4609" max="4609" width="25.85546875" style="523" customWidth="1"/>
    <col min="4610" max="4610" width="15.140625" style="523" customWidth="1"/>
    <col min="4611" max="4611" width="13.5703125" style="523" customWidth="1"/>
    <col min="4612" max="4612" width="15.7109375" style="523" customWidth="1"/>
    <col min="4613" max="4613" width="17.7109375" style="523" customWidth="1"/>
    <col min="4614" max="4864" width="9.140625" style="523"/>
    <col min="4865" max="4865" width="25.85546875" style="523" customWidth="1"/>
    <col min="4866" max="4866" width="15.140625" style="523" customWidth="1"/>
    <col min="4867" max="4867" width="13.5703125" style="523" customWidth="1"/>
    <col min="4868" max="4868" width="15.7109375" style="523" customWidth="1"/>
    <col min="4869" max="4869" width="17.7109375" style="523" customWidth="1"/>
    <col min="4870" max="5120" width="9.140625" style="523"/>
    <col min="5121" max="5121" width="25.85546875" style="523" customWidth="1"/>
    <col min="5122" max="5122" width="15.140625" style="523" customWidth="1"/>
    <col min="5123" max="5123" width="13.5703125" style="523" customWidth="1"/>
    <col min="5124" max="5124" width="15.7109375" style="523" customWidth="1"/>
    <col min="5125" max="5125" width="17.7109375" style="523" customWidth="1"/>
    <col min="5126" max="5376" width="9.140625" style="523"/>
    <col min="5377" max="5377" width="25.85546875" style="523" customWidth="1"/>
    <col min="5378" max="5378" width="15.140625" style="523" customWidth="1"/>
    <col min="5379" max="5379" width="13.5703125" style="523" customWidth="1"/>
    <col min="5380" max="5380" width="15.7109375" style="523" customWidth="1"/>
    <col min="5381" max="5381" width="17.7109375" style="523" customWidth="1"/>
    <col min="5382" max="5632" width="9.140625" style="523"/>
    <col min="5633" max="5633" width="25.85546875" style="523" customWidth="1"/>
    <col min="5634" max="5634" width="15.140625" style="523" customWidth="1"/>
    <col min="5635" max="5635" width="13.5703125" style="523" customWidth="1"/>
    <col min="5636" max="5636" width="15.7109375" style="523" customWidth="1"/>
    <col min="5637" max="5637" width="17.7109375" style="523" customWidth="1"/>
    <col min="5638" max="5888" width="9.140625" style="523"/>
    <col min="5889" max="5889" width="25.85546875" style="523" customWidth="1"/>
    <col min="5890" max="5890" width="15.140625" style="523" customWidth="1"/>
    <col min="5891" max="5891" width="13.5703125" style="523" customWidth="1"/>
    <col min="5892" max="5892" width="15.7109375" style="523" customWidth="1"/>
    <col min="5893" max="5893" width="17.7109375" style="523" customWidth="1"/>
    <col min="5894" max="6144" width="9.140625" style="523"/>
    <col min="6145" max="6145" width="25.85546875" style="523" customWidth="1"/>
    <col min="6146" max="6146" width="15.140625" style="523" customWidth="1"/>
    <col min="6147" max="6147" width="13.5703125" style="523" customWidth="1"/>
    <col min="6148" max="6148" width="15.7109375" style="523" customWidth="1"/>
    <col min="6149" max="6149" width="17.7109375" style="523" customWidth="1"/>
    <col min="6150" max="6400" width="9.140625" style="523"/>
    <col min="6401" max="6401" width="25.85546875" style="523" customWidth="1"/>
    <col min="6402" max="6402" width="15.140625" style="523" customWidth="1"/>
    <col min="6403" max="6403" width="13.5703125" style="523" customWidth="1"/>
    <col min="6404" max="6404" width="15.7109375" style="523" customWidth="1"/>
    <col min="6405" max="6405" width="17.7109375" style="523" customWidth="1"/>
    <col min="6406" max="6656" width="9.140625" style="523"/>
    <col min="6657" max="6657" width="25.85546875" style="523" customWidth="1"/>
    <col min="6658" max="6658" width="15.140625" style="523" customWidth="1"/>
    <col min="6659" max="6659" width="13.5703125" style="523" customWidth="1"/>
    <col min="6660" max="6660" width="15.7109375" style="523" customWidth="1"/>
    <col min="6661" max="6661" width="17.7109375" style="523" customWidth="1"/>
    <col min="6662" max="6912" width="9.140625" style="523"/>
    <col min="6913" max="6913" width="25.85546875" style="523" customWidth="1"/>
    <col min="6914" max="6914" width="15.140625" style="523" customWidth="1"/>
    <col min="6915" max="6915" width="13.5703125" style="523" customWidth="1"/>
    <col min="6916" max="6916" width="15.7109375" style="523" customWidth="1"/>
    <col min="6917" max="6917" width="17.7109375" style="523" customWidth="1"/>
    <col min="6918" max="7168" width="9.140625" style="523"/>
    <col min="7169" max="7169" width="25.85546875" style="523" customWidth="1"/>
    <col min="7170" max="7170" width="15.140625" style="523" customWidth="1"/>
    <col min="7171" max="7171" width="13.5703125" style="523" customWidth="1"/>
    <col min="7172" max="7172" width="15.7109375" style="523" customWidth="1"/>
    <col min="7173" max="7173" width="17.7109375" style="523" customWidth="1"/>
    <col min="7174" max="7424" width="9.140625" style="523"/>
    <col min="7425" max="7425" width="25.85546875" style="523" customWidth="1"/>
    <col min="7426" max="7426" width="15.140625" style="523" customWidth="1"/>
    <col min="7427" max="7427" width="13.5703125" style="523" customWidth="1"/>
    <col min="7428" max="7428" width="15.7109375" style="523" customWidth="1"/>
    <col min="7429" max="7429" width="17.7109375" style="523" customWidth="1"/>
    <col min="7430" max="7680" width="9.140625" style="523"/>
    <col min="7681" max="7681" width="25.85546875" style="523" customWidth="1"/>
    <col min="7682" max="7682" width="15.140625" style="523" customWidth="1"/>
    <col min="7683" max="7683" width="13.5703125" style="523" customWidth="1"/>
    <col min="7684" max="7684" width="15.7109375" style="523" customWidth="1"/>
    <col min="7685" max="7685" width="17.7109375" style="523" customWidth="1"/>
    <col min="7686" max="7936" width="9.140625" style="523"/>
    <col min="7937" max="7937" width="25.85546875" style="523" customWidth="1"/>
    <col min="7938" max="7938" width="15.140625" style="523" customWidth="1"/>
    <col min="7939" max="7939" width="13.5703125" style="523" customWidth="1"/>
    <col min="7940" max="7940" width="15.7109375" style="523" customWidth="1"/>
    <col min="7941" max="7941" width="17.7109375" style="523" customWidth="1"/>
    <col min="7942" max="8192" width="9.140625" style="523"/>
    <col min="8193" max="8193" width="25.85546875" style="523" customWidth="1"/>
    <col min="8194" max="8194" width="15.140625" style="523" customWidth="1"/>
    <col min="8195" max="8195" width="13.5703125" style="523" customWidth="1"/>
    <col min="8196" max="8196" width="15.7109375" style="523" customWidth="1"/>
    <col min="8197" max="8197" width="17.7109375" style="523" customWidth="1"/>
    <col min="8198" max="8448" width="9.140625" style="523"/>
    <col min="8449" max="8449" width="25.85546875" style="523" customWidth="1"/>
    <col min="8450" max="8450" width="15.140625" style="523" customWidth="1"/>
    <col min="8451" max="8451" width="13.5703125" style="523" customWidth="1"/>
    <col min="8452" max="8452" width="15.7109375" style="523" customWidth="1"/>
    <col min="8453" max="8453" width="17.7109375" style="523" customWidth="1"/>
    <col min="8454" max="8704" width="9.140625" style="523"/>
    <col min="8705" max="8705" width="25.85546875" style="523" customWidth="1"/>
    <col min="8706" max="8706" width="15.140625" style="523" customWidth="1"/>
    <col min="8707" max="8707" width="13.5703125" style="523" customWidth="1"/>
    <col min="8708" max="8708" width="15.7109375" style="523" customWidth="1"/>
    <col min="8709" max="8709" width="17.7109375" style="523" customWidth="1"/>
    <col min="8710" max="8960" width="9.140625" style="523"/>
    <col min="8961" max="8961" width="25.85546875" style="523" customWidth="1"/>
    <col min="8962" max="8962" width="15.140625" style="523" customWidth="1"/>
    <col min="8963" max="8963" width="13.5703125" style="523" customWidth="1"/>
    <col min="8964" max="8964" width="15.7109375" style="523" customWidth="1"/>
    <col min="8965" max="8965" width="17.7109375" style="523" customWidth="1"/>
    <col min="8966" max="9216" width="9.140625" style="523"/>
    <col min="9217" max="9217" width="25.85546875" style="523" customWidth="1"/>
    <col min="9218" max="9218" width="15.140625" style="523" customWidth="1"/>
    <col min="9219" max="9219" width="13.5703125" style="523" customWidth="1"/>
    <col min="9220" max="9220" width="15.7109375" style="523" customWidth="1"/>
    <col min="9221" max="9221" width="17.7109375" style="523" customWidth="1"/>
    <col min="9222" max="9472" width="9.140625" style="523"/>
    <col min="9473" max="9473" width="25.85546875" style="523" customWidth="1"/>
    <col min="9474" max="9474" width="15.140625" style="523" customWidth="1"/>
    <col min="9475" max="9475" width="13.5703125" style="523" customWidth="1"/>
    <col min="9476" max="9476" width="15.7109375" style="523" customWidth="1"/>
    <col min="9477" max="9477" width="17.7109375" style="523" customWidth="1"/>
    <col min="9478" max="9728" width="9.140625" style="523"/>
    <col min="9729" max="9729" width="25.85546875" style="523" customWidth="1"/>
    <col min="9730" max="9730" width="15.140625" style="523" customWidth="1"/>
    <col min="9731" max="9731" width="13.5703125" style="523" customWidth="1"/>
    <col min="9732" max="9732" width="15.7109375" style="523" customWidth="1"/>
    <col min="9733" max="9733" width="17.7109375" style="523" customWidth="1"/>
    <col min="9734" max="9984" width="9.140625" style="523"/>
    <col min="9985" max="9985" width="25.85546875" style="523" customWidth="1"/>
    <col min="9986" max="9986" width="15.140625" style="523" customWidth="1"/>
    <col min="9987" max="9987" width="13.5703125" style="523" customWidth="1"/>
    <col min="9988" max="9988" width="15.7109375" style="523" customWidth="1"/>
    <col min="9989" max="9989" width="17.7109375" style="523" customWidth="1"/>
    <col min="9990" max="10240" width="9.140625" style="523"/>
    <col min="10241" max="10241" width="25.85546875" style="523" customWidth="1"/>
    <col min="10242" max="10242" width="15.140625" style="523" customWidth="1"/>
    <col min="10243" max="10243" width="13.5703125" style="523" customWidth="1"/>
    <col min="10244" max="10244" width="15.7109375" style="523" customWidth="1"/>
    <col min="10245" max="10245" width="17.7109375" style="523" customWidth="1"/>
    <col min="10246" max="10496" width="9.140625" style="523"/>
    <col min="10497" max="10497" width="25.85546875" style="523" customWidth="1"/>
    <col min="10498" max="10498" width="15.140625" style="523" customWidth="1"/>
    <col min="10499" max="10499" width="13.5703125" style="523" customWidth="1"/>
    <col min="10500" max="10500" width="15.7109375" style="523" customWidth="1"/>
    <col min="10501" max="10501" width="17.7109375" style="523" customWidth="1"/>
    <col min="10502" max="10752" width="9.140625" style="523"/>
    <col min="10753" max="10753" width="25.85546875" style="523" customWidth="1"/>
    <col min="10754" max="10754" width="15.140625" style="523" customWidth="1"/>
    <col min="10755" max="10755" width="13.5703125" style="523" customWidth="1"/>
    <col min="10756" max="10756" width="15.7109375" style="523" customWidth="1"/>
    <col min="10757" max="10757" width="17.7109375" style="523" customWidth="1"/>
    <col min="10758" max="11008" width="9.140625" style="523"/>
    <col min="11009" max="11009" width="25.85546875" style="523" customWidth="1"/>
    <col min="11010" max="11010" width="15.140625" style="523" customWidth="1"/>
    <col min="11011" max="11011" width="13.5703125" style="523" customWidth="1"/>
    <col min="11012" max="11012" width="15.7109375" style="523" customWidth="1"/>
    <col min="11013" max="11013" width="17.7109375" style="523" customWidth="1"/>
    <col min="11014" max="11264" width="9.140625" style="523"/>
    <col min="11265" max="11265" width="25.85546875" style="523" customWidth="1"/>
    <col min="11266" max="11266" width="15.140625" style="523" customWidth="1"/>
    <col min="11267" max="11267" width="13.5703125" style="523" customWidth="1"/>
    <col min="11268" max="11268" width="15.7109375" style="523" customWidth="1"/>
    <col min="11269" max="11269" width="17.7109375" style="523" customWidth="1"/>
    <col min="11270" max="11520" width="9.140625" style="523"/>
    <col min="11521" max="11521" width="25.85546875" style="523" customWidth="1"/>
    <col min="11522" max="11522" width="15.140625" style="523" customWidth="1"/>
    <col min="11523" max="11523" width="13.5703125" style="523" customWidth="1"/>
    <col min="11524" max="11524" width="15.7109375" style="523" customWidth="1"/>
    <col min="11525" max="11525" width="17.7109375" style="523" customWidth="1"/>
    <col min="11526" max="11776" width="9.140625" style="523"/>
    <col min="11777" max="11777" width="25.85546875" style="523" customWidth="1"/>
    <col min="11778" max="11778" width="15.140625" style="523" customWidth="1"/>
    <col min="11779" max="11779" width="13.5703125" style="523" customWidth="1"/>
    <col min="11780" max="11780" width="15.7109375" style="523" customWidth="1"/>
    <col min="11781" max="11781" width="17.7109375" style="523" customWidth="1"/>
    <col min="11782" max="12032" width="9.140625" style="523"/>
    <col min="12033" max="12033" width="25.85546875" style="523" customWidth="1"/>
    <col min="12034" max="12034" width="15.140625" style="523" customWidth="1"/>
    <col min="12035" max="12035" width="13.5703125" style="523" customWidth="1"/>
    <col min="12036" max="12036" width="15.7109375" style="523" customWidth="1"/>
    <col min="12037" max="12037" width="17.7109375" style="523" customWidth="1"/>
    <col min="12038" max="12288" width="9.140625" style="523"/>
    <col min="12289" max="12289" width="25.85546875" style="523" customWidth="1"/>
    <col min="12290" max="12290" width="15.140625" style="523" customWidth="1"/>
    <col min="12291" max="12291" width="13.5703125" style="523" customWidth="1"/>
    <col min="12292" max="12292" width="15.7109375" style="523" customWidth="1"/>
    <col min="12293" max="12293" width="17.7109375" style="523" customWidth="1"/>
    <col min="12294" max="12544" width="9.140625" style="523"/>
    <col min="12545" max="12545" width="25.85546875" style="523" customWidth="1"/>
    <col min="12546" max="12546" width="15.140625" style="523" customWidth="1"/>
    <col min="12547" max="12547" width="13.5703125" style="523" customWidth="1"/>
    <col min="12548" max="12548" width="15.7109375" style="523" customWidth="1"/>
    <col min="12549" max="12549" width="17.7109375" style="523" customWidth="1"/>
    <col min="12550" max="12800" width="9.140625" style="523"/>
    <col min="12801" max="12801" width="25.85546875" style="523" customWidth="1"/>
    <col min="12802" max="12802" width="15.140625" style="523" customWidth="1"/>
    <col min="12803" max="12803" width="13.5703125" style="523" customWidth="1"/>
    <col min="12804" max="12804" width="15.7109375" style="523" customWidth="1"/>
    <col min="12805" max="12805" width="17.7109375" style="523" customWidth="1"/>
    <col min="12806" max="13056" width="9.140625" style="523"/>
    <col min="13057" max="13057" width="25.85546875" style="523" customWidth="1"/>
    <col min="13058" max="13058" width="15.140625" style="523" customWidth="1"/>
    <col min="13059" max="13059" width="13.5703125" style="523" customWidth="1"/>
    <col min="13060" max="13060" width="15.7109375" style="523" customWidth="1"/>
    <col min="13061" max="13061" width="17.7109375" style="523" customWidth="1"/>
    <col min="13062" max="13312" width="9.140625" style="523"/>
    <col min="13313" max="13313" width="25.85546875" style="523" customWidth="1"/>
    <col min="13314" max="13314" width="15.140625" style="523" customWidth="1"/>
    <col min="13315" max="13315" width="13.5703125" style="523" customWidth="1"/>
    <col min="13316" max="13316" width="15.7109375" style="523" customWidth="1"/>
    <col min="13317" max="13317" width="17.7109375" style="523" customWidth="1"/>
    <col min="13318" max="13568" width="9.140625" style="523"/>
    <col min="13569" max="13569" width="25.85546875" style="523" customWidth="1"/>
    <col min="13570" max="13570" width="15.140625" style="523" customWidth="1"/>
    <col min="13571" max="13571" width="13.5703125" style="523" customWidth="1"/>
    <col min="13572" max="13572" width="15.7109375" style="523" customWidth="1"/>
    <col min="13573" max="13573" width="17.7109375" style="523" customWidth="1"/>
    <col min="13574" max="13824" width="9.140625" style="523"/>
    <col min="13825" max="13825" width="25.85546875" style="523" customWidth="1"/>
    <col min="13826" max="13826" width="15.140625" style="523" customWidth="1"/>
    <col min="13827" max="13827" width="13.5703125" style="523" customWidth="1"/>
    <col min="13828" max="13828" width="15.7109375" style="523" customWidth="1"/>
    <col min="13829" max="13829" width="17.7109375" style="523" customWidth="1"/>
    <col min="13830" max="14080" width="9.140625" style="523"/>
    <col min="14081" max="14081" width="25.85546875" style="523" customWidth="1"/>
    <col min="14082" max="14082" width="15.140625" style="523" customWidth="1"/>
    <col min="14083" max="14083" width="13.5703125" style="523" customWidth="1"/>
    <col min="14084" max="14084" width="15.7109375" style="523" customWidth="1"/>
    <col min="14085" max="14085" width="17.7109375" style="523" customWidth="1"/>
    <col min="14086" max="14336" width="9.140625" style="523"/>
    <col min="14337" max="14337" width="25.85546875" style="523" customWidth="1"/>
    <col min="14338" max="14338" width="15.140625" style="523" customWidth="1"/>
    <col min="14339" max="14339" width="13.5703125" style="523" customWidth="1"/>
    <col min="14340" max="14340" width="15.7109375" style="523" customWidth="1"/>
    <col min="14341" max="14341" width="17.7109375" style="523" customWidth="1"/>
    <col min="14342" max="14592" width="9.140625" style="523"/>
    <col min="14593" max="14593" width="25.85546875" style="523" customWidth="1"/>
    <col min="14594" max="14594" width="15.140625" style="523" customWidth="1"/>
    <col min="14595" max="14595" width="13.5703125" style="523" customWidth="1"/>
    <col min="14596" max="14596" width="15.7109375" style="523" customWidth="1"/>
    <col min="14597" max="14597" width="17.7109375" style="523" customWidth="1"/>
    <col min="14598" max="14848" width="9.140625" style="523"/>
    <col min="14849" max="14849" width="25.85546875" style="523" customWidth="1"/>
    <col min="14850" max="14850" width="15.140625" style="523" customWidth="1"/>
    <col min="14851" max="14851" width="13.5703125" style="523" customWidth="1"/>
    <col min="14852" max="14852" width="15.7109375" style="523" customWidth="1"/>
    <col min="14853" max="14853" width="17.7109375" style="523" customWidth="1"/>
    <col min="14854" max="15104" width="9.140625" style="523"/>
    <col min="15105" max="15105" width="25.85546875" style="523" customWidth="1"/>
    <col min="15106" max="15106" width="15.140625" style="523" customWidth="1"/>
    <col min="15107" max="15107" width="13.5703125" style="523" customWidth="1"/>
    <col min="15108" max="15108" width="15.7109375" style="523" customWidth="1"/>
    <col min="15109" max="15109" width="17.7109375" style="523" customWidth="1"/>
    <col min="15110" max="15360" width="9.140625" style="523"/>
    <col min="15361" max="15361" width="25.85546875" style="523" customWidth="1"/>
    <col min="15362" max="15362" width="15.140625" style="523" customWidth="1"/>
    <col min="15363" max="15363" width="13.5703125" style="523" customWidth="1"/>
    <col min="15364" max="15364" width="15.7109375" style="523" customWidth="1"/>
    <col min="15365" max="15365" width="17.7109375" style="523" customWidth="1"/>
    <col min="15366" max="15616" width="9.140625" style="523"/>
    <col min="15617" max="15617" width="25.85546875" style="523" customWidth="1"/>
    <col min="15618" max="15618" width="15.140625" style="523" customWidth="1"/>
    <col min="15619" max="15619" width="13.5703125" style="523" customWidth="1"/>
    <col min="15620" max="15620" width="15.7109375" style="523" customWidth="1"/>
    <col min="15621" max="15621" width="17.7109375" style="523" customWidth="1"/>
    <col min="15622" max="15872" width="9.140625" style="523"/>
    <col min="15873" max="15873" width="25.85546875" style="523" customWidth="1"/>
    <col min="15874" max="15874" width="15.140625" style="523" customWidth="1"/>
    <col min="15875" max="15875" width="13.5703125" style="523" customWidth="1"/>
    <col min="15876" max="15876" width="15.7109375" style="523" customWidth="1"/>
    <col min="15877" max="15877" width="17.7109375" style="523" customWidth="1"/>
    <col min="15878" max="16128" width="9.140625" style="523"/>
    <col min="16129" max="16129" width="25.85546875" style="523" customWidth="1"/>
    <col min="16130" max="16130" width="15.140625" style="523" customWidth="1"/>
    <col min="16131" max="16131" width="13.5703125" style="523" customWidth="1"/>
    <col min="16132" max="16132" width="15.7109375" style="523" customWidth="1"/>
    <col min="16133" max="16133" width="17.7109375" style="523" customWidth="1"/>
    <col min="16134" max="16384" width="9.140625" style="523"/>
  </cols>
  <sheetData>
    <row r="1" spans="1:7">
      <c r="C1" s="523" t="s">
        <v>1809</v>
      </c>
      <c r="G1" s="1383" t="s">
        <v>1020</v>
      </c>
    </row>
    <row r="6" spans="1:7">
      <c r="A6" s="2409" t="s">
        <v>1808</v>
      </c>
      <c r="B6" s="2409"/>
      <c r="C6" s="2409"/>
      <c r="D6" s="2409"/>
      <c r="E6" s="2409"/>
    </row>
    <row r="7" spans="1:7" ht="18" customHeight="1">
      <c r="A7" s="2409" t="s">
        <v>1807</v>
      </c>
      <c r="B7" s="2409"/>
      <c r="C7" s="2409"/>
      <c r="D7" s="2409"/>
      <c r="E7" s="2409"/>
    </row>
    <row r="8" spans="1:7" ht="17.25" thickBot="1">
      <c r="C8" s="620"/>
      <c r="E8" s="524" t="s">
        <v>1408</v>
      </c>
    </row>
    <row r="9" spans="1:7" ht="17.25" thickTop="1">
      <c r="A9" s="962" t="s">
        <v>1294</v>
      </c>
      <c r="B9" s="961" t="s">
        <v>2</v>
      </c>
      <c r="C9" s="960" t="s">
        <v>3</v>
      </c>
      <c r="D9" s="2778" t="s">
        <v>1806</v>
      </c>
      <c r="E9" s="2779"/>
    </row>
    <row r="10" spans="1:7">
      <c r="A10" s="959"/>
      <c r="B10" s="958"/>
      <c r="C10" s="958"/>
      <c r="D10" s="676" t="s">
        <v>1</v>
      </c>
      <c r="E10" s="912" t="s">
        <v>4</v>
      </c>
    </row>
    <row r="11" spans="1:7">
      <c r="A11" s="905" t="s">
        <v>1351</v>
      </c>
      <c r="B11" s="904"/>
      <c r="C11" s="904"/>
      <c r="D11" s="887"/>
      <c r="E11" s="903">
        <f>SUM(E23+E24)</f>
        <v>71000000</v>
      </c>
    </row>
    <row r="12" spans="1:7">
      <c r="A12" s="599" t="s">
        <v>1692</v>
      </c>
      <c r="B12" s="598" t="s">
        <v>1287</v>
      </c>
      <c r="C12" s="627">
        <v>3000</v>
      </c>
      <c r="D12" s="627">
        <v>6000</v>
      </c>
      <c r="E12" s="595">
        <f>D12*C12</f>
        <v>18000000</v>
      </c>
    </row>
    <row r="13" spans="1:7">
      <c r="A13" s="599" t="s">
        <v>1779</v>
      </c>
      <c r="B13" s="598" t="s">
        <v>228</v>
      </c>
      <c r="C13" s="627">
        <v>450000</v>
      </c>
      <c r="D13" s="627">
        <v>10</v>
      </c>
      <c r="E13" s="595">
        <f>D13*C13</f>
        <v>4500000</v>
      </c>
    </row>
    <row r="14" spans="1:7">
      <c r="A14" s="599" t="s">
        <v>1788</v>
      </c>
      <c r="B14" s="598" t="s">
        <v>11</v>
      </c>
      <c r="C14" s="627">
        <v>10000</v>
      </c>
      <c r="D14" s="627">
        <v>300</v>
      </c>
      <c r="E14" s="595">
        <f>D14*C14</f>
        <v>3000000</v>
      </c>
    </row>
    <row r="15" spans="1:7" ht="17.25">
      <c r="A15" s="599" t="s">
        <v>1348</v>
      </c>
      <c r="B15" s="598"/>
      <c r="C15" s="627"/>
      <c r="D15" s="627"/>
      <c r="E15" s="957"/>
    </row>
    <row r="16" spans="1:7">
      <c r="A16" s="599" t="s">
        <v>1805</v>
      </c>
      <c r="B16" s="598" t="s">
        <v>11</v>
      </c>
      <c r="C16" s="627">
        <v>10000</v>
      </c>
      <c r="D16" s="627">
        <v>200</v>
      </c>
      <c r="E16" s="595">
        <f t="shared" ref="E16:E22" si="0">D16*C16</f>
        <v>2000000</v>
      </c>
    </row>
    <row r="17" spans="1:5">
      <c r="A17" s="599" t="s">
        <v>1804</v>
      </c>
      <c r="B17" s="598" t="s">
        <v>11</v>
      </c>
      <c r="C17" s="627">
        <v>3000</v>
      </c>
      <c r="D17" s="627">
        <v>800</v>
      </c>
      <c r="E17" s="595">
        <f t="shared" si="0"/>
        <v>2400000</v>
      </c>
    </row>
    <row r="18" spans="1:5">
      <c r="A18" s="599" t="s">
        <v>1803</v>
      </c>
      <c r="B18" s="598" t="s">
        <v>11</v>
      </c>
      <c r="C18" s="627">
        <v>15000</v>
      </c>
      <c r="D18" s="627">
        <v>200</v>
      </c>
      <c r="E18" s="595">
        <f t="shared" si="0"/>
        <v>3000000</v>
      </c>
    </row>
    <row r="19" spans="1:5">
      <c r="A19" s="599" t="s">
        <v>1802</v>
      </c>
      <c r="B19" s="598" t="s">
        <v>11</v>
      </c>
      <c r="C19" s="627">
        <v>1000</v>
      </c>
      <c r="D19" s="627">
        <v>100</v>
      </c>
      <c r="E19" s="595">
        <f t="shared" si="0"/>
        <v>100000</v>
      </c>
    </row>
    <row r="20" spans="1:5">
      <c r="A20" s="599" t="s">
        <v>1801</v>
      </c>
      <c r="B20" s="598" t="s">
        <v>965</v>
      </c>
      <c r="C20" s="956">
        <v>2000000</v>
      </c>
      <c r="D20" s="956">
        <v>1</v>
      </c>
      <c r="E20" s="955">
        <f t="shared" si="0"/>
        <v>2000000</v>
      </c>
    </row>
    <row r="21" spans="1:5">
      <c r="A21" s="599" t="s">
        <v>1318</v>
      </c>
      <c r="B21" s="598" t="s">
        <v>513</v>
      </c>
      <c r="C21" s="627">
        <v>200000</v>
      </c>
      <c r="D21" s="627">
        <v>40</v>
      </c>
      <c r="E21" s="595">
        <f t="shared" si="0"/>
        <v>8000000</v>
      </c>
    </row>
    <row r="22" spans="1:5">
      <c r="A22" s="599" t="s">
        <v>1345</v>
      </c>
      <c r="B22" s="598" t="s">
        <v>511</v>
      </c>
      <c r="C22" s="627">
        <v>200000</v>
      </c>
      <c r="D22" s="627">
        <v>120</v>
      </c>
      <c r="E22" s="595">
        <f t="shared" si="0"/>
        <v>24000000</v>
      </c>
    </row>
    <row r="23" spans="1:5">
      <c r="A23" s="893" t="s">
        <v>1344</v>
      </c>
      <c r="B23" s="598"/>
      <c r="C23" s="627"/>
      <c r="D23" s="954"/>
      <c r="E23" s="879">
        <f>SUM(E12:E22)</f>
        <v>67000000</v>
      </c>
    </row>
    <row r="24" spans="1:5">
      <c r="A24" s="599" t="s">
        <v>1682</v>
      </c>
      <c r="B24" s="598" t="s">
        <v>1270</v>
      </c>
      <c r="C24" s="627"/>
      <c r="D24" s="954"/>
      <c r="E24" s="595">
        <f>50000000*8%</f>
        <v>4000000</v>
      </c>
    </row>
    <row r="25" spans="1:5">
      <c r="A25" s="893" t="s">
        <v>1341</v>
      </c>
      <c r="B25" s="598"/>
      <c r="C25" s="627"/>
      <c r="D25" s="627"/>
      <c r="E25" s="879">
        <f>E27</f>
        <v>135000000</v>
      </c>
    </row>
    <row r="26" spans="1:5">
      <c r="A26" s="599" t="s">
        <v>1340</v>
      </c>
      <c r="B26" s="598" t="s">
        <v>11</v>
      </c>
      <c r="C26" s="627"/>
      <c r="D26" s="627">
        <v>6750</v>
      </c>
      <c r="E26" s="595"/>
    </row>
    <row r="27" spans="1:5">
      <c r="A27" s="599" t="s">
        <v>1339</v>
      </c>
      <c r="B27" s="598" t="s">
        <v>1270</v>
      </c>
      <c r="C27" s="627">
        <v>20000</v>
      </c>
      <c r="D27" s="627">
        <f>D26</f>
        <v>6750</v>
      </c>
      <c r="E27" s="595">
        <f>D27*C27</f>
        <v>135000000</v>
      </c>
    </row>
    <row r="28" spans="1:5">
      <c r="A28" s="893" t="s">
        <v>1337</v>
      </c>
      <c r="B28" s="911"/>
      <c r="C28" s="627"/>
      <c r="D28" s="627"/>
      <c r="E28" s="879">
        <f>E25-E11</f>
        <v>64000000</v>
      </c>
    </row>
    <row r="29" spans="1:5" ht="17.25" thickBot="1">
      <c r="A29" s="789" t="s">
        <v>1269</v>
      </c>
      <c r="B29" s="723" t="s">
        <v>90</v>
      </c>
      <c r="C29" s="624"/>
      <c r="D29" s="624"/>
      <c r="E29" s="622">
        <f>E28/E25</f>
        <v>0.47407407407407409</v>
      </c>
    </row>
    <row r="30" spans="1:5" ht="17.25" thickTop="1">
      <c r="A30" s="652"/>
      <c r="B30" s="932"/>
      <c r="C30" s="931"/>
      <c r="D30" s="788"/>
      <c r="E30" s="953"/>
    </row>
    <row r="31" spans="1:5">
      <c r="A31" s="524" t="s">
        <v>1800</v>
      </c>
    </row>
    <row r="32" spans="1:5">
      <c r="A32" s="523" t="s">
        <v>1799</v>
      </c>
    </row>
    <row r="33" spans="1:1">
      <c r="A33" s="523" t="s">
        <v>1798</v>
      </c>
    </row>
  </sheetData>
  <mergeCells count="3">
    <mergeCell ref="A6:E6"/>
    <mergeCell ref="A7:E7"/>
    <mergeCell ref="D9:E9"/>
  </mergeCells>
  <pageMargins left="0.7" right="0.7" top="0.75" bottom="0.75" header="0.3" footer="0.3"/>
  <pageSetup orientation="portrait" r:id="rId1"/>
  <drawing r:id="rId2"/>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G34"/>
  <sheetViews>
    <sheetView zoomScaleNormal="100" workbookViewId="0">
      <selection activeCell="H20" sqref="H20"/>
    </sheetView>
  </sheetViews>
  <sheetFormatPr defaultColWidth="9.42578125" defaultRowHeight="16.5"/>
  <cols>
    <col min="1" max="1" width="22.85546875" style="523" customWidth="1"/>
    <col min="2" max="5" width="17" style="523" customWidth="1"/>
    <col min="6" max="254" width="9.140625" style="523" customWidth="1"/>
    <col min="255" max="255" width="22.85546875" style="523" customWidth="1"/>
    <col min="256" max="256" width="9.42578125" style="523"/>
    <col min="257" max="257" width="22.85546875" style="523" customWidth="1"/>
    <col min="258" max="261" width="17" style="523" customWidth="1"/>
    <col min="262" max="510" width="9.140625" style="523" customWidth="1"/>
    <col min="511" max="511" width="22.85546875" style="523" customWidth="1"/>
    <col min="512" max="512" width="9.42578125" style="523"/>
    <col min="513" max="513" width="22.85546875" style="523" customWidth="1"/>
    <col min="514" max="517" width="17" style="523" customWidth="1"/>
    <col min="518" max="766" width="9.140625" style="523" customWidth="1"/>
    <col min="767" max="767" width="22.85546875" style="523" customWidth="1"/>
    <col min="768" max="768" width="9.42578125" style="523"/>
    <col min="769" max="769" width="22.85546875" style="523" customWidth="1"/>
    <col min="770" max="773" width="17" style="523" customWidth="1"/>
    <col min="774" max="1022" width="9.140625" style="523" customWidth="1"/>
    <col min="1023" max="1023" width="22.85546875" style="523" customWidth="1"/>
    <col min="1024" max="1024" width="9.42578125" style="523"/>
    <col min="1025" max="1025" width="22.85546875" style="523" customWidth="1"/>
    <col min="1026" max="1029" width="17" style="523" customWidth="1"/>
    <col min="1030" max="1278" width="9.140625" style="523" customWidth="1"/>
    <col min="1279" max="1279" width="22.85546875" style="523" customWidth="1"/>
    <col min="1280" max="1280" width="9.42578125" style="523"/>
    <col min="1281" max="1281" width="22.85546875" style="523" customWidth="1"/>
    <col min="1282" max="1285" width="17" style="523" customWidth="1"/>
    <col min="1286" max="1534" width="9.140625" style="523" customWidth="1"/>
    <col min="1535" max="1535" width="22.85546875" style="523" customWidth="1"/>
    <col min="1536" max="1536" width="9.42578125" style="523"/>
    <col min="1537" max="1537" width="22.85546875" style="523" customWidth="1"/>
    <col min="1538" max="1541" width="17" style="523" customWidth="1"/>
    <col min="1542" max="1790" width="9.140625" style="523" customWidth="1"/>
    <col min="1791" max="1791" width="22.85546875" style="523" customWidth="1"/>
    <col min="1792" max="1792" width="9.42578125" style="523"/>
    <col min="1793" max="1793" width="22.85546875" style="523" customWidth="1"/>
    <col min="1794" max="1797" width="17" style="523" customWidth="1"/>
    <col min="1798" max="2046" width="9.140625" style="523" customWidth="1"/>
    <col min="2047" max="2047" width="22.85546875" style="523" customWidth="1"/>
    <col min="2048" max="2048" width="9.42578125" style="523"/>
    <col min="2049" max="2049" width="22.85546875" style="523" customWidth="1"/>
    <col min="2050" max="2053" width="17" style="523" customWidth="1"/>
    <col min="2054" max="2302" width="9.140625" style="523" customWidth="1"/>
    <col min="2303" max="2303" width="22.85546875" style="523" customWidth="1"/>
    <col min="2304" max="2304" width="9.42578125" style="523"/>
    <col min="2305" max="2305" width="22.85546875" style="523" customWidth="1"/>
    <col min="2306" max="2309" width="17" style="523" customWidth="1"/>
    <col min="2310" max="2558" width="9.140625" style="523" customWidth="1"/>
    <col min="2559" max="2559" width="22.85546875" style="523" customWidth="1"/>
    <col min="2560" max="2560" width="9.42578125" style="523"/>
    <col min="2561" max="2561" width="22.85546875" style="523" customWidth="1"/>
    <col min="2562" max="2565" width="17" style="523" customWidth="1"/>
    <col min="2566" max="2814" width="9.140625" style="523" customWidth="1"/>
    <col min="2815" max="2815" width="22.85546875" style="523" customWidth="1"/>
    <col min="2816" max="2816" width="9.42578125" style="523"/>
    <col min="2817" max="2817" width="22.85546875" style="523" customWidth="1"/>
    <col min="2818" max="2821" width="17" style="523" customWidth="1"/>
    <col min="2822" max="3070" width="9.140625" style="523" customWidth="1"/>
    <col min="3071" max="3071" width="22.85546875" style="523" customWidth="1"/>
    <col min="3072" max="3072" width="9.42578125" style="523"/>
    <col min="3073" max="3073" width="22.85546875" style="523" customWidth="1"/>
    <col min="3074" max="3077" width="17" style="523" customWidth="1"/>
    <col min="3078" max="3326" width="9.140625" style="523" customWidth="1"/>
    <col min="3327" max="3327" width="22.85546875" style="523" customWidth="1"/>
    <col min="3328" max="3328" width="9.42578125" style="523"/>
    <col min="3329" max="3329" width="22.85546875" style="523" customWidth="1"/>
    <col min="3330" max="3333" width="17" style="523" customWidth="1"/>
    <col min="3334" max="3582" width="9.140625" style="523" customWidth="1"/>
    <col min="3583" max="3583" width="22.85546875" style="523" customWidth="1"/>
    <col min="3584" max="3584" width="9.42578125" style="523"/>
    <col min="3585" max="3585" width="22.85546875" style="523" customWidth="1"/>
    <col min="3586" max="3589" width="17" style="523" customWidth="1"/>
    <col min="3590" max="3838" width="9.140625" style="523" customWidth="1"/>
    <col min="3839" max="3839" width="22.85546875" style="523" customWidth="1"/>
    <col min="3840" max="3840" width="9.42578125" style="523"/>
    <col min="3841" max="3841" width="22.85546875" style="523" customWidth="1"/>
    <col min="3842" max="3845" width="17" style="523" customWidth="1"/>
    <col min="3846" max="4094" width="9.140625" style="523" customWidth="1"/>
    <col min="4095" max="4095" width="22.85546875" style="523" customWidth="1"/>
    <col min="4096" max="4096" width="9.42578125" style="523"/>
    <col min="4097" max="4097" width="22.85546875" style="523" customWidth="1"/>
    <col min="4098" max="4101" width="17" style="523" customWidth="1"/>
    <col min="4102" max="4350" width="9.140625" style="523" customWidth="1"/>
    <col min="4351" max="4351" width="22.85546875" style="523" customWidth="1"/>
    <col min="4352" max="4352" width="9.42578125" style="523"/>
    <col min="4353" max="4353" width="22.85546875" style="523" customWidth="1"/>
    <col min="4354" max="4357" width="17" style="523" customWidth="1"/>
    <col min="4358" max="4606" width="9.140625" style="523" customWidth="1"/>
    <col min="4607" max="4607" width="22.85546875" style="523" customWidth="1"/>
    <col min="4608" max="4608" width="9.42578125" style="523"/>
    <col min="4609" max="4609" width="22.85546875" style="523" customWidth="1"/>
    <col min="4610" max="4613" width="17" style="523" customWidth="1"/>
    <col min="4614" max="4862" width="9.140625" style="523" customWidth="1"/>
    <col min="4863" max="4863" width="22.85546875" style="523" customWidth="1"/>
    <col min="4864" max="4864" width="9.42578125" style="523"/>
    <col min="4865" max="4865" width="22.85546875" style="523" customWidth="1"/>
    <col min="4866" max="4869" width="17" style="523" customWidth="1"/>
    <col min="4870" max="5118" width="9.140625" style="523" customWidth="1"/>
    <col min="5119" max="5119" width="22.85546875" style="523" customWidth="1"/>
    <col min="5120" max="5120" width="9.42578125" style="523"/>
    <col min="5121" max="5121" width="22.85546875" style="523" customWidth="1"/>
    <col min="5122" max="5125" width="17" style="523" customWidth="1"/>
    <col min="5126" max="5374" width="9.140625" style="523" customWidth="1"/>
    <col min="5375" max="5375" width="22.85546875" style="523" customWidth="1"/>
    <col min="5376" max="5376" width="9.42578125" style="523"/>
    <col min="5377" max="5377" width="22.85546875" style="523" customWidth="1"/>
    <col min="5378" max="5381" width="17" style="523" customWidth="1"/>
    <col min="5382" max="5630" width="9.140625" style="523" customWidth="1"/>
    <col min="5631" max="5631" width="22.85546875" style="523" customWidth="1"/>
    <col min="5632" max="5632" width="9.42578125" style="523"/>
    <col min="5633" max="5633" width="22.85546875" style="523" customWidth="1"/>
    <col min="5634" max="5637" width="17" style="523" customWidth="1"/>
    <col min="5638" max="5886" width="9.140625" style="523" customWidth="1"/>
    <col min="5887" max="5887" width="22.85546875" style="523" customWidth="1"/>
    <col min="5888" max="5888" width="9.42578125" style="523"/>
    <col min="5889" max="5889" width="22.85546875" style="523" customWidth="1"/>
    <col min="5890" max="5893" width="17" style="523" customWidth="1"/>
    <col min="5894" max="6142" width="9.140625" style="523" customWidth="1"/>
    <col min="6143" max="6143" width="22.85546875" style="523" customWidth="1"/>
    <col min="6144" max="6144" width="9.42578125" style="523"/>
    <col min="6145" max="6145" width="22.85546875" style="523" customWidth="1"/>
    <col min="6146" max="6149" width="17" style="523" customWidth="1"/>
    <col min="6150" max="6398" width="9.140625" style="523" customWidth="1"/>
    <col min="6399" max="6399" width="22.85546875" style="523" customWidth="1"/>
    <col min="6400" max="6400" width="9.42578125" style="523"/>
    <col min="6401" max="6401" width="22.85546875" style="523" customWidth="1"/>
    <col min="6402" max="6405" width="17" style="523" customWidth="1"/>
    <col min="6406" max="6654" width="9.140625" style="523" customWidth="1"/>
    <col min="6655" max="6655" width="22.85546875" style="523" customWidth="1"/>
    <col min="6656" max="6656" width="9.42578125" style="523"/>
    <col min="6657" max="6657" width="22.85546875" style="523" customWidth="1"/>
    <col min="6658" max="6661" width="17" style="523" customWidth="1"/>
    <col min="6662" max="6910" width="9.140625" style="523" customWidth="1"/>
    <col min="6911" max="6911" width="22.85546875" style="523" customWidth="1"/>
    <col min="6912" max="6912" width="9.42578125" style="523"/>
    <col min="6913" max="6913" width="22.85546875" style="523" customWidth="1"/>
    <col min="6914" max="6917" width="17" style="523" customWidth="1"/>
    <col min="6918" max="7166" width="9.140625" style="523" customWidth="1"/>
    <col min="7167" max="7167" width="22.85546875" style="523" customWidth="1"/>
    <col min="7168" max="7168" width="9.42578125" style="523"/>
    <col min="7169" max="7169" width="22.85546875" style="523" customWidth="1"/>
    <col min="7170" max="7173" width="17" style="523" customWidth="1"/>
    <col min="7174" max="7422" width="9.140625" style="523" customWidth="1"/>
    <col min="7423" max="7423" width="22.85546875" style="523" customWidth="1"/>
    <col min="7424" max="7424" width="9.42578125" style="523"/>
    <col min="7425" max="7425" width="22.85546875" style="523" customWidth="1"/>
    <col min="7426" max="7429" width="17" style="523" customWidth="1"/>
    <col min="7430" max="7678" width="9.140625" style="523" customWidth="1"/>
    <col min="7679" max="7679" width="22.85546875" style="523" customWidth="1"/>
    <col min="7680" max="7680" width="9.42578125" style="523"/>
    <col min="7681" max="7681" width="22.85546875" style="523" customWidth="1"/>
    <col min="7682" max="7685" width="17" style="523" customWidth="1"/>
    <col min="7686" max="7934" width="9.140625" style="523" customWidth="1"/>
    <col min="7935" max="7935" width="22.85546875" style="523" customWidth="1"/>
    <col min="7936" max="7936" width="9.42578125" style="523"/>
    <col min="7937" max="7937" width="22.85546875" style="523" customWidth="1"/>
    <col min="7938" max="7941" width="17" style="523" customWidth="1"/>
    <col min="7942" max="8190" width="9.140625" style="523" customWidth="1"/>
    <col min="8191" max="8191" width="22.85546875" style="523" customWidth="1"/>
    <col min="8192" max="8192" width="9.42578125" style="523"/>
    <col min="8193" max="8193" width="22.85546875" style="523" customWidth="1"/>
    <col min="8194" max="8197" width="17" style="523" customWidth="1"/>
    <col min="8198" max="8446" width="9.140625" style="523" customWidth="1"/>
    <col min="8447" max="8447" width="22.85546875" style="523" customWidth="1"/>
    <col min="8448" max="8448" width="9.42578125" style="523"/>
    <col min="8449" max="8449" width="22.85546875" style="523" customWidth="1"/>
    <col min="8450" max="8453" width="17" style="523" customWidth="1"/>
    <col min="8454" max="8702" width="9.140625" style="523" customWidth="1"/>
    <col min="8703" max="8703" width="22.85546875" style="523" customWidth="1"/>
    <col min="8704" max="8704" width="9.42578125" style="523"/>
    <col min="8705" max="8705" width="22.85546875" style="523" customWidth="1"/>
    <col min="8706" max="8709" width="17" style="523" customWidth="1"/>
    <col min="8710" max="8958" width="9.140625" style="523" customWidth="1"/>
    <col min="8959" max="8959" width="22.85546875" style="523" customWidth="1"/>
    <col min="8960" max="8960" width="9.42578125" style="523"/>
    <col min="8961" max="8961" width="22.85546875" style="523" customWidth="1"/>
    <col min="8962" max="8965" width="17" style="523" customWidth="1"/>
    <col min="8966" max="9214" width="9.140625" style="523" customWidth="1"/>
    <col min="9215" max="9215" width="22.85546875" style="523" customWidth="1"/>
    <col min="9216" max="9216" width="9.42578125" style="523"/>
    <col min="9217" max="9217" width="22.85546875" style="523" customWidth="1"/>
    <col min="9218" max="9221" width="17" style="523" customWidth="1"/>
    <col min="9222" max="9470" width="9.140625" style="523" customWidth="1"/>
    <col min="9471" max="9471" width="22.85546875" style="523" customWidth="1"/>
    <col min="9472" max="9472" width="9.42578125" style="523"/>
    <col min="9473" max="9473" width="22.85546875" style="523" customWidth="1"/>
    <col min="9474" max="9477" width="17" style="523" customWidth="1"/>
    <col min="9478" max="9726" width="9.140625" style="523" customWidth="1"/>
    <col min="9727" max="9727" width="22.85546875" style="523" customWidth="1"/>
    <col min="9728" max="9728" width="9.42578125" style="523"/>
    <col min="9729" max="9729" width="22.85546875" style="523" customWidth="1"/>
    <col min="9730" max="9733" width="17" style="523" customWidth="1"/>
    <col min="9734" max="9982" width="9.140625" style="523" customWidth="1"/>
    <col min="9983" max="9983" width="22.85546875" style="523" customWidth="1"/>
    <col min="9984" max="9984" width="9.42578125" style="523"/>
    <col min="9985" max="9985" width="22.85546875" style="523" customWidth="1"/>
    <col min="9986" max="9989" width="17" style="523" customWidth="1"/>
    <col min="9990" max="10238" width="9.140625" style="523" customWidth="1"/>
    <col min="10239" max="10239" width="22.85546875" style="523" customWidth="1"/>
    <col min="10240" max="10240" width="9.42578125" style="523"/>
    <col min="10241" max="10241" width="22.85546875" style="523" customWidth="1"/>
    <col min="10242" max="10245" width="17" style="523" customWidth="1"/>
    <col min="10246" max="10494" width="9.140625" style="523" customWidth="1"/>
    <col min="10495" max="10495" width="22.85546875" style="523" customWidth="1"/>
    <col min="10496" max="10496" width="9.42578125" style="523"/>
    <col min="10497" max="10497" width="22.85546875" style="523" customWidth="1"/>
    <col min="10498" max="10501" width="17" style="523" customWidth="1"/>
    <col min="10502" max="10750" width="9.140625" style="523" customWidth="1"/>
    <col min="10751" max="10751" width="22.85546875" style="523" customWidth="1"/>
    <col min="10752" max="10752" width="9.42578125" style="523"/>
    <col min="10753" max="10753" width="22.85546875" style="523" customWidth="1"/>
    <col min="10754" max="10757" width="17" style="523" customWidth="1"/>
    <col min="10758" max="11006" width="9.140625" style="523" customWidth="1"/>
    <col min="11007" max="11007" width="22.85546875" style="523" customWidth="1"/>
    <col min="11008" max="11008" width="9.42578125" style="523"/>
    <col min="11009" max="11009" width="22.85546875" style="523" customWidth="1"/>
    <col min="11010" max="11013" width="17" style="523" customWidth="1"/>
    <col min="11014" max="11262" width="9.140625" style="523" customWidth="1"/>
    <col min="11263" max="11263" width="22.85546875" style="523" customWidth="1"/>
    <col min="11264" max="11264" width="9.42578125" style="523"/>
    <col min="11265" max="11265" width="22.85546875" style="523" customWidth="1"/>
    <col min="11266" max="11269" width="17" style="523" customWidth="1"/>
    <col min="11270" max="11518" width="9.140625" style="523" customWidth="1"/>
    <col min="11519" max="11519" width="22.85546875" style="523" customWidth="1"/>
    <col min="11520" max="11520" width="9.42578125" style="523"/>
    <col min="11521" max="11521" width="22.85546875" style="523" customWidth="1"/>
    <col min="11522" max="11525" width="17" style="523" customWidth="1"/>
    <col min="11526" max="11774" width="9.140625" style="523" customWidth="1"/>
    <col min="11775" max="11775" width="22.85546875" style="523" customWidth="1"/>
    <col min="11776" max="11776" width="9.42578125" style="523"/>
    <col min="11777" max="11777" width="22.85546875" style="523" customWidth="1"/>
    <col min="11778" max="11781" width="17" style="523" customWidth="1"/>
    <col min="11782" max="12030" width="9.140625" style="523" customWidth="1"/>
    <col min="12031" max="12031" width="22.85546875" style="523" customWidth="1"/>
    <col min="12032" max="12032" width="9.42578125" style="523"/>
    <col min="12033" max="12033" width="22.85546875" style="523" customWidth="1"/>
    <col min="12034" max="12037" width="17" style="523" customWidth="1"/>
    <col min="12038" max="12286" width="9.140625" style="523" customWidth="1"/>
    <col min="12287" max="12287" width="22.85546875" style="523" customWidth="1"/>
    <col min="12288" max="12288" width="9.42578125" style="523"/>
    <col min="12289" max="12289" width="22.85546875" style="523" customWidth="1"/>
    <col min="12290" max="12293" width="17" style="523" customWidth="1"/>
    <col min="12294" max="12542" width="9.140625" style="523" customWidth="1"/>
    <col min="12543" max="12543" width="22.85546875" style="523" customWidth="1"/>
    <col min="12544" max="12544" width="9.42578125" style="523"/>
    <col min="12545" max="12545" width="22.85546875" style="523" customWidth="1"/>
    <col min="12546" max="12549" width="17" style="523" customWidth="1"/>
    <col min="12550" max="12798" width="9.140625" style="523" customWidth="1"/>
    <col min="12799" max="12799" width="22.85546875" style="523" customWidth="1"/>
    <col min="12800" max="12800" width="9.42578125" style="523"/>
    <col min="12801" max="12801" width="22.85546875" style="523" customWidth="1"/>
    <col min="12802" max="12805" width="17" style="523" customWidth="1"/>
    <col min="12806" max="13054" width="9.140625" style="523" customWidth="1"/>
    <col min="13055" max="13055" width="22.85546875" style="523" customWidth="1"/>
    <col min="13056" max="13056" width="9.42578125" style="523"/>
    <col min="13057" max="13057" width="22.85546875" style="523" customWidth="1"/>
    <col min="13058" max="13061" width="17" style="523" customWidth="1"/>
    <col min="13062" max="13310" width="9.140625" style="523" customWidth="1"/>
    <col min="13311" max="13311" width="22.85546875" style="523" customWidth="1"/>
    <col min="13312" max="13312" width="9.42578125" style="523"/>
    <col min="13313" max="13313" width="22.85546875" style="523" customWidth="1"/>
    <col min="13314" max="13317" width="17" style="523" customWidth="1"/>
    <col min="13318" max="13566" width="9.140625" style="523" customWidth="1"/>
    <col min="13567" max="13567" width="22.85546875" style="523" customWidth="1"/>
    <col min="13568" max="13568" width="9.42578125" style="523"/>
    <col min="13569" max="13569" width="22.85546875" style="523" customWidth="1"/>
    <col min="13570" max="13573" width="17" style="523" customWidth="1"/>
    <col min="13574" max="13822" width="9.140625" style="523" customWidth="1"/>
    <col min="13823" max="13823" width="22.85546875" style="523" customWidth="1"/>
    <col min="13824" max="13824" width="9.42578125" style="523"/>
    <col min="13825" max="13825" width="22.85546875" style="523" customWidth="1"/>
    <col min="13826" max="13829" width="17" style="523" customWidth="1"/>
    <col min="13830" max="14078" width="9.140625" style="523" customWidth="1"/>
    <col min="14079" max="14079" width="22.85546875" style="523" customWidth="1"/>
    <col min="14080" max="14080" width="9.42578125" style="523"/>
    <col min="14081" max="14081" width="22.85546875" style="523" customWidth="1"/>
    <col min="14082" max="14085" width="17" style="523" customWidth="1"/>
    <col min="14086" max="14334" width="9.140625" style="523" customWidth="1"/>
    <col min="14335" max="14335" width="22.85546875" style="523" customWidth="1"/>
    <col min="14336" max="14336" width="9.42578125" style="523"/>
    <col min="14337" max="14337" width="22.85546875" style="523" customWidth="1"/>
    <col min="14338" max="14341" width="17" style="523" customWidth="1"/>
    <col min="14342" max="14590" width="9.140625" style="523" customWidth="1"/>
    <col min="14591" max="14591" width="22.85546875" style="523" customWidth="1"/>
    <col min="14592" max="14592" width="9.42578125" style="523"/>
    <col min="14593" max="14593" width="22.85546875" style="523" customWidth="1"/>
    <col min="14594" max="14597" width="17" style="523" customWidth="1"/>
    <col min="14598" max="14846" width="9.140625" style="523" customWidth="1"/>
    <col min="14847" max="14847" width="22.85546875" style="523" customWidth="1"/>
    <col min="14848" max="14848" width="9.42578125" style="523"/>
    <col min="14849" max="14849" width="22.85546875" style="523" customWidth="1"/>
    <col min="14850" max="14853" width="17" style="523" customWidth="1"/>
    <col min="14854" max="15102" width="9.140625" style="523" customWidth="1"/>
    <col min="15103" max="15103" width="22.85546875" style="523" customWidth="1"/>
    <col min="15104" max="15104" width="9.42578125" style="523"/>
    <col min="15105" max="15105" width="22.85546875" style="523" customWidth="1"/>
    <col min="15106" max="15109" width="17" style="523" customWidth="1"/>
    <col min="15110" max="15358" width="9.140625" style="523" customWidth="1"/>
    <col min="15359" max="15359" width="22.85546875" style="523" customWidth="1"/>
    <col min="15360" max="15360" width="9.42578125" style="523"/>
    <col min="15361" max="15361" width="22.85546875" style="523" customWidth="1"/>
    <col min="15362" max="15365" width="17" style="523" customWidth="1"/>
    <col min="15366" max="15614" width="9.140625" style="523" customWidth="1"/>
    <col min="15615" max="15615" width="22.85546875" style="523" customWidth="1"/>
    <col min="15616" max="15616" width="9.42578125" style="523"/>
    <col min="15617" max="15617" width="22.85546875" style="523" customWidth="1"/>
    <col min="15618" max="15621" width="17" style="523" customWidth="1"/>
    <col min="15622" max="15870" width="9.140625" style="523" customWidth="1"/>
    <col min="15871" max="15871" width="22.85546875" style="523" customWidth="1"/>
    <col min="15872" max="15872" width="9.42578125" style="523"/>
    <col min="15873" max="15873" width="22.85546875" style="523" customWidth="1"/>
    <col min="15874" max="15877" width="17" style="523" customWidth="1"/>
    <col min="15878" max="16126" width="9.140625" style="523" customWidth="1"/>
    <col min="16127" max="16127" width="22.85546875" style="523" customWidth="1"/>
    <col min="16128" max="16128" width="9.42578125" style="523"/>
    <col min="16129" max="16129" width="22.85546875" style="523" customWidth="1"/>
    <col min="16130" max="16133" width="17" style="523" customWidth="1"/>
    <col min="16134" max="16382" width="9.140625" style="523" customWidth="1"/>
    <col min="16383" max="16383" width="22.85546875" style="523" customWidth="1"/>
    <col min="16384" max="16384" width="9.42578125" style="523"/>
  </cols>
  <sheetData>
    <row r="1" spans="1:7">
      <c r="C1" s="523" t="s">
        <v>1643</v>
      </c>
      <c r="G1" s="1383" t="s">
        <v>1020</v>
      </c>
    </row>
    <row r="6" spans="1:7">
      <c r="A6" s="2402" t="s">
        <v>1642</v>
      </c>
      <c r="B6" s="2402"/>
      <c r="C6" s="2402"/>
      <c r="D6" s="2402"/>
      <c r="E6" s="2402"/>
    </row>
    <row r="7" spans="1:7">
      <c r="A7" s="2780" t="s">
        <v>1295</v>
      </c>
      <c r="B7" s="2780"/>
      <c r="C7" s="2780"/>
      <c r="D7" s="2780"/>
      <c r="E7" s="2780"/>
    </row>
    <row r="8" spans="1:7" ht="17.25" thickBot="1">
      <c r="A8" s="788"/>
      <c r="B8" s="618"/>
      <c r="C8" s="714"/>
      <c r="D8" s="617"/>
      <c r="E8" s="2299" t="s">
        <v>1263</v>
      </c>
    </row>
    <row r="9" spans="1:7" ht="17.25" thickTop="1">
      <c r="A9" s="2781" t="s">
        <v>1294</v>
      </c>
      <c r="B9" s="2784" t="s">
        <v>235</v>
      </c>
      <c r="C9" s="2787" t="s">
        <v>3</v>
      </c>
      <c r="D9" s="2790" t="s">
        <v>1637</v>
      </c>
      <c r="E9" s="2791"/>
    </row>
    <row r="10" spans="1:7">
      <c r="A10" s="2782"/>
      <c r="B10" s="2785"/>
      <c r="C10" s="2788"/>
      <c r="D10" s="2792"/>
      <c r="E10" s="2793"/>
    </row>
    <row r="11" spans="1:7">
      <c r="A11" s="2783"/>
      <c r="B11" s="2786"/>
      <c r="C11" s="2789"/>
      <c r="D11" s="757" t="s">
        <v>1</v>
      </c>
      <c r="E11" s="784" t="s">
        <v>4</v>
      </c>
    </row>
    <row r="12" spans="1:7" ht="17.25">
      <c r="A12" s="793" t="s">
        <v>1289</v>
      </c>
      <c r="B12" s="799"/>
      <c r="C12" s="798"/>
      <c r="D12" s="797"/>
      <c r="E12" s="796">
        <f>E24+E25</f>
        <v>131305000</v>
      </c>
    </row>
    <row r="13" spans="1:7">
      <c r="A13" s="773" t="s">
        <v>1308</v>
      </c>
      <c r="B13" s="769" t="s">
        <v>5</v>
      </c>
      <c r="C13" s="549">
        <v>12000</v>
      </c>
      <c r="D13" s="772">
        <v>1000</v>
      </c>
      <c r="E13" s="771">
        <f>D13*C13</f>
        <v>12000000</v>
      </c>
    </row>
    <row r="14" spans="1:7">
      <c r="A14" s="773" t="s">
        <v>1350</v>
      </c>
      <c r="B14" s="769" t="s">
        <v>1287</v>
      </c>
      <c r="C14" s="549">
        <v>1500</v>
      </c>
      <c r="D14" s="772">
        <v>35000</v>
      </c>
      <c r="E14" s="771">
        <f>D14*C14</f>
        <v>52500000</v>
      </c>
    </row>
    <row r="15" spans="1:7">
      <c r="A15" s="773" t="s">
        <v>1305</v>
      </c>
      <c r="B15" s="769" t="s">
        <v>228</v>
      </c>
      <c r="C15" s="549">
        <v>450000</v>
      </c>
      <c r="D15" s="772">
        <v>15</v>
      </c>
      <c r="E15" s="771">
        <f>D15*C15</f>
        <v>6750000</v>
      </c>
    </row>
    <row r="16" spans="1:7">
      <c r="A16" s="773" t="s">
        <v>1304</v>
      </c>
      <c r="B16" s="769"/>
      <c r="C16" s="549"/>
      <c r="D16" s="772"/>
      <c r="E16" s="771">
        <f>SUM(E17:E20)</f>
        <v>5455000</v>
      </c>
    </row>
    <row r="17" spans="1:5">
      <c r="A17" s="779" t="s">
        <v>1284</v>
      </c>
      <c r="B17" s="769" t="s">
        <v>11</v>
      </c>
      <c r="C17" s="778">
        <v>10000</v>
      </c>
      <c r="D17" s="777">
        <v>67</v>
      </c>
      <c r="E17" s="776">
        <f t="shared" ref="E17:E23" si="0">D17*C17</f>
        <v>670000</v>
      </c>
    </row>
    <row r="18" spans="1:5">
      <c r="A18" s="779" t="s">
        <v>1283</v>
      </c>
      <c r="B18" s="769" t="s">
        <v>11</v>
      </c>
      <c r="C18" s="778">
        <v>3000</v>
      </c>
      <c r="D18" s="777">
        <v>225</v>
      </c>
      <c r="E18" s="776">
        <f t="shared" si="0"/>
        <v>675000</v>
      </c>
    </row>
    <row r="19" spans="1:5">
      <c r="A19" s="779" t="s">
        <v>1282</v>
      </c>
      <c r="B19" s="769" t="s">
        <v>11</v>
      </c>
      <c r="C19" s="778">
        <v>15000</v>
      </c>
      <c r="D19" s="777">
        <v>74</v>
      </c>
      <c r="E19" s="776">
        <f t="shared" si="0"/>
        <v>1110000</v>
      </c>
    </row>
    <row r="20" spans="1:5">
      <c r="A20" s="779" t="s">
        <v>1347</v>
      </c>
      <c r="B20" s="769" t="s">
        <v>11</v>
      </c>
      <c r="C20" s="778">
        <v>10000</v>
      </c>
      <c r="D20" s="777">
        <v>300</v>
      </c>
      <c r="E20" s="776">
        <f t="shared" si="0"/>
        <v>3000000</v>
      </c>
    </row>
    <row r="21" spans="1:5">
      <c r="A21" s="773" t="s">
        <v>1303</v>
      </c>
      <c r="B21" s="769" t="s">
        <v>11</v>
      </c>
      <c r="C21" s="549">
        <v>1000</v>
      </c>
      <c r="D21" s="772">
        <v>100</v>
      </c>
      <c r="E21" s="771">
        <f t="shared" si="0"/>
        <v>100000</v>
      </c>
    </row>
    <row r="22" spans="1:5">
      <c r="A22" s="773" t="s">
        <v>1623</v>
      </c>
      <c r="B22" s="769" t="s">
        <v>513</v>
      </c>
      <c r="C22" s="549">
        <v>200000</v>
      </c>
      <c r="D22" s="772">
        <v>120</v>
      </c>
      <c r="E22" s="771">
        <f t="shared" si="0"/>
        <v>24000000</v>
      </c>
    </row>
    <row r="23" spans="1:5">
      <c r="A23" s="773" t="s">
        <v>1301</v>
      </c>
      <c r="B23" s="769" t="s">
        <v>511</v>
      </c>
      <c r="C23" s="549">
        <v>250000</v>
      </c>
      <c r="D23" s="772">
        <v>90</v>
      </c>
      <c r="E23" s="771">
        <f t="shared" si="0"/>
        <v>22500000</v>
      </c>
    </row>
    <row r="24" spans="1:5" ht="17.25">
      <c r="A24" s="793" t="s">
        <v>1277</v>
      </c>
      <c r="B24" s="795"/>
      <c r="C24" s="794"/>
      <c r="D24" s="791"/>
      <c r="E24" s="790">
        <f>SUM(E13:E16)+SUM(E21:E23)</f>
        <v>123305000</v>
      </c>
    </row>
    <row r="25" spans="1:5">
      <c r="A25" s="773" t="s">
        <v>1300</v>
      </c>
      <c r="B25" s="769" t="s">
        <v>1270</v>
      </c>
      <c r="C25" s="549"/>
      <c r="D25" s="772"/>
      <c r="E25" s="771">
        <f>100000000*8%</f>
        <v>8000000</v>
      </c>
    </row>
    <row r="26" spans="1:5" ht="17.25">
      <c r="A26" s="793" t="s">
        <v>1275</v>
      </c>
      <c r="B26" s="795"/>
      <c r="C26" s="794"/>
      <c r="D26" s="791"/>
      <c r="E26" s="790">
        <f>E28</f>
        <v>240000000</v>
      </c>
    </row>
    <row r="27" spans="1:5">
      <c r="A27" s="773" t="s">
        <v>1340</v>
      </c>
      <c r="B27" s="769" t="s">
        <v>11</v>
      </c>
      <c r="C27" s="549"/>
      <c r="D27" s="772">
        <v>6000</v>
      </c>
      <c r="E27" s="771"/>
    </row>
    <row r="28" spans="1:5">
      <c r="A28" s="773" t="s">
        <v>1641</v>
      </c>
      <c r="B28" s="769" t="s">
        <v>1270</v>
      </c>
      <c r="C28" s="549">
        <v>40000</v>
      </c>
      <c r="D28" s="772"/>
      <c r="E28" s="771">
        <f>D27*C28</f>
        <v>240000000</v>
      </c>
    </row>
    <row r="29" spans="1:5">
      <c r="A29" s="793" t="s">
        <v>1271</v>
      </c>
      <c r="B29" s="769" t="s">
        <v>1270</v>
      </c>
      <c r="C29" s="792"/>
      <c r="D29" s="791"/>
      <c r="E29" s="790">
        <f>E26-E12</f>
        <v>108695000</v>
      </c>
    </row>
    <row r="30" spans="1:5" ht="17.25" thickBot="1">
      <c r="A30" s="789" t="s">
        <v>1269</v>
      </c>
      <c r="B30" s="586" t="s">
        <v>90</v>
      </c>
      <c r="C30" s="765"/>
      <c r="D30" s="764"/>
      <c r="E30" s="622">
        <f>E29/E26</f>
        <v>0.45289583333333333</v>
      </c>
    </row>
    <row r="31" spans="1:5" ht="18" thickTop="1">
      <c r="A31" s="524" t="s">
        <v>1268</v>
      </c>
      <c r="E31" s="717"/>
    </row>
    <row r="32" spans="1:5">
      <c r="A32" s="617" t="s">
        <v>1640</v>
      </c>
      <c r="B32" s="618"/>
      <c r="C32" s="714"/>
      <c r="D32" s="617"/>
      <c r="E32" s="617"/>
    </row>
    <row r="33" spans="1:5">
      <c r="A33" s="617" t="s">
        <v>1310</v>
      </c>
      <c r="B33" s="618"/>
      <c r="C33" s="714"/>
      <c r="D33" s="617"/>
      <c r="E33" s="617"/>
    </row>
    <row r="34" spans="1:5">
      <c r="A34" s="617" t="s">
        <v>1613</v>
      </c>
      <c r="B34" s="618"/>
      <c r="C34" s="714"/>
      <c r="D34" s="617"/>
      <c r="E34" s="617"/>
    </row>
  </sheetData>
  <mergeCells count="6">
    <mergeCell ref="A6:E6"/>
    <mergeCell ref="A7:E7"/>
    <mergeCell ref="A9:A11"/>
    <mergeCell ref="B9:B11"/>
    <mergeCell ref="C9:C11"/>
    <mergeCell ref="D9:E10"/>
  </mergeCells>
  <pageMargins left="1" right="0.5" top="0.75" bottom="0.75" header="0.5" footer="0.5"/>
  <pageSetup orientation="portrait" r:id="rId1"/>
  <headerFooter>
    <oddFooter>&amp;CTrang</oddFooter>
  </headerFooter>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IV39"/>
  <sheetViews>
    <sheetView workbookViewId="0">
      <selection activeCell="F8" sqref="F7:F8"/>
    </sheetView>
  </sheetViews>
  <sheetFormatPr defaultRowHeight="16.5"/>
  <cols>
    <col min="1" max="1" width="31.28515625" style="525" customWidth="1"/>
    <col min="2" max="2" width="12.28515625" style="525" customWidth="1"/>
    <col min="3" max="3" width="12.42578125" style="525" customWidth="1"/>
    <col min="4" max="4" width="14.140625" style="525" customWidth="1"/>
    <col min="5" max="6" width="17.42578125" style="525" customWidth="1"/>
    <col min="7" max="256" width="9.140625" style="525"/>
    <col min="257" max="257" width="31.28515625" style="525" customWidth="1"/>
    <col min="258" max="258" width="12.28515625" style="525" customWidth="1"/>
    <col min="259" max="259" width="12.42578125" style="525" customWidth="1"/>
    <col min="260" max="260" width="14.140625" style="525" customWidth="1"/>
    <col min="261" max="262" width="17.42578125" style="525" customWidth="1"/>
    <col min="263" max="512" width="9.140625" style="525"/>
    <col min="513" max="513" width="31.28515625" style="525" customWidth="1"/>
    <col min="514" max="514" width="12.28515625" style="525" customWidth="1"/>
    <col min="515" max="515" width="12.42578125" style="525" customWidth="1"/>
    <col min="516" max="516" width="14.140625" style="525" customWidth="1"/>
    <col min="517" max="518" width="17.42578125" style="525" customWidth="1"/>
    <col min="519" max="768" width="9.140625" style="525"/>
    <col min="769" max="769" width="31.28515625" style="525" customWidth="1"/>
    <col min="770" max="770" width="12.28515625" style="525" customWidth="1"/>
    <col min="771" max="771" width="12.42578125" style="525" customWidth="1"/>
    <col min="772" max="772" width="14.140625" style="525" customWidth="1"/>
    <col min="773" max="774" width="17.42578125" style="525" customWidth="1"/>
    <col min="775" max="1024" width="9.140625" style="525"/>
    <col min="1025" max="1025" width="31.28515625" style="525" customWidth="1"/>
    <col min="1026" max="1026" width="12.28515625" style="525" customWidth="1"/>
    <col min="1027" max="1027" width="12.42578125" style="525" customWidth="1"/>
    <col min="1028" max="1028" width="14.140625" style="525" customWidth="1"/>
    <col min="1029" max="1030" width="17.42578125" style="525" customWidth="1"/>
    <col min="1031" max="1280" width="9.140625" style="525"/>
    <col min="1281" max="1281" width="31.28515625" style="525" customWidth="1"/>
    <col min="1282" max="1282" width="12.28515625" style="525" customWidth="1"/>
    <col min="1283" max="1283" width="12.42578125" style="525" customWidth="1"/>
    <col min="1284" max="1284" width="14.140625" style="525" customWidth="1"/>
    <col min="1285" max="1286" width="17.42578125" style="525" customWidth="1"/>
    <col min="1287" max="1536" width="9.140625" style="525"/>
    <col min="1537" max="1537" width="31.28515625" style="525" customWidth="1"/>
    <col min="1538" max="1538" width="12.28515625" style="525" customWidth="1"/>
    <col min="1539" max="1539" width="12.42578125" style="525" customWidth="1"/>
    <col min="1540" max="1540" width="14.140625" style="525" customWidth="1"/>
    <col min="1541" max="1542" width="17.42578125" style="525" customWidth="1"/>
    <col min="1543" max="1792" width="9.140625" style="525"/>
    <col min="1793" max="1793" width="31.28515625" style="525" customWidth="1"/>
    <col min="1794" max="1794" width="12.28515625" style="525" customWidth="1"/>
    <col min="1795" max="1795" width="12.42578125" style="525" customWidth="1"/>
    <col min="1796" max="1796" width="14.140625" style="525" customWidth="1"/>
    <col min="1797" max="1798" width="17.42578125" style="525" customWidth="1"/>
    <col min="1799" max="2048" width="9.140625" style="525"/>
    <col min="2049" max="2049" width="31.28515625" style="525" customWidth="1"/>
    <col min="2050" max="2050" width="12.28515625" style="525" customWidth="1"/>
    <col min="2051" max="2051" width="12.42578125" style="525" customWidth="1"/>
    <col min="2052" max="2052" width="14.140625" style="525" customWidth="1"/>
    <col min="2053" max="2054" width="17.42578125" style="525" customWidth="1"/>
    <col min="2055" max="2304" width="9.140625" style="525"/>
    <col min="2305" max="2305" width="31.28515625" style="525" customWidth="1"/>
    <col min="2306" max="2306" width="12.28515625" style="525" customWidth="1"/>
    <col min="2307" max="2307" width="12.42578125" style="525" customWidth="1"/>
    <col min="2308" max="2308" width="14.140625" style="525" customWidth="1"/>
    <col min="2309" max="2310" width="17.42578125" style="525" customWidth="1"/>
    <col min="2311" max="2560" width="9.140625" style="525"/>
    <col min="2561" max="2561" width="31.28515625" style="525" customWidth="1"/>
    <col min="2562" max="2562" width="12.28515625" style="525" customWidth="1"/>
    <col min="2563" max="2563" width="12.42578125" style="525" customWidth="1"/>
    <col min="2564" max="2564" width="14.140625" style="525" customWidth="1"/>
    <col min="2565" max="2566" width="17.42578125" style="525" customWidth="1"/>
    <col min="2567" max="2816" width="9.140625" style="525"/>
    <col min="2817" max="2817" width="31.28515625" style="525" customWidth="1"/>
    <col min="2818" max="2818" width="12.28515625" style="525" customWidth="1"/>
    <col min="2819" max="2819" width="12.42578125" style="525" customWidth="1"/>
    <col min="2820" max="2820" width="14.140625" style="525" customWidth="1"/>
    <col min="2821" max="2822" width="17.42578125" style="525" customWidth="1"/>
    <col min="2823" max="3072" width="9.140625" style="525"/>
    <col min="3073" max="3073" width="31.28515625" style="525" customWidth="1"/>
    <col min="3074" max="3074" width="12.28515625" style="525" customWidth="1"/>
    <col min="3075" max="3075" width="12.42578125" style="525" customWidth="1"/>
    <col min="3076" max="3076" width="14.140625" style="525" customWidth="1"/>
    <col min="3077" max="3078" width="17.42578125" style="525" customWidth="1"/>
    <col min="3079" max="3328" width="9.140625" style="525"/>
    <col min="3329" max="3329" width="31.28515625" style="525" customWidth="1"/>
    <col min="3330" max="3330" width="12.28515625" style="525" customWidth="1"/>
    <col min="3331" max="3331" width="12.42578125" style="525" customWidth="1"/>
    <col min="3332" max="3332" width="14.140625" style="525" customWidth="1"/>
    <col min="3333" max="3334" width="17.42578125" style="525" customWidth="1"/>
    <col min="3335" max="3584" width="9.140625" style="525"/>
    <col min="3585" max="3585" width="31.28515625" style="525" customWidth="1"/>
    <col min="3586" max="3586" width="12.28515625" style="525" customWidth="1"/>
    <col min="3587" max="3587" width="12.42578125" style="525" customWidth="1"/>
    <col min="3588" max="3588" width="14.140625" style="525" customWidth="1"/>
    <col min="3589" max="3590" width="17.42578125" style="525" customWidth="1"/>
    <col min="3591" max="3840" width="9.140625" style="525"/>
    <col min="3841" max="3841" width="31.28515625" style="525" customWidth="1"/>
    <col min="3842" max="3842" width="12.28515625" style="525" customWidth="1"/>
    <col min="3843" max="3843" width="12.42578125" style="525" customWidth="1"/>
    <col min="3844" max="3844" width="14.140625" style="525" customWidth="1"/>
    <col min="3845" max="3846" width="17.42578125" style="525" customWidth="1"/>
    <col min="3847" max="4096" width="9.140625" style="525"/>
    <col min="4097" max="4097" width="31.28515625" style="525" customWidth="1"/>
    <col min="4098" max="4098" width="12.28515625" style="525" customWidth="1"/>
    <col min="4099" max="4099" width="12.42578125" style="525" customWidth="1"/>
    <col min="4100" max="4100" width="14.140625" style="525" customWidth="1"/>
    <col min="4101" max="4102" width="17.42578125" style="525" customWidth="1"/>
    <col min="4103" max="4352" width="9.140625" style="525"/>
    <col min="4353" max="4353" width="31.28515625" style="525" customWidth="1"/>
    <col min="4354" max="4354" width="12.28515625" style="525" customWidth="1"/>
    <col min="4355" max="4355" width="12.42578125" style="525" customWidth="1"/>
    <col min="4356" max="4356" width="14.140625" style="525" customWidth="1"/>
    <col min="4357" max="4358" width="17.42578125" style="525" customWidth="1"/>
    <col min="4359" max="4608" width="9.140625" style="525"/>
    <col min="4609" max="4609" width="31.28515625" style="525" customWidth="1"/>
    <col min="4610" max="4610" width="12.28515625" style="525" customWidth="1"/>
    <col min="4611" max="4611" width="12.42578125" style="525" customWidth="1"/>
    <col min="4612" max="4612" width="14.140625" style="525" customWidth="1"/>
    <col min="4613" max="4614" width="17.42578125" style="525" customWidth="1"/>
    <col min="4615" max="4864" width="9.140625" style="525"/>
    <col min="4865" max="4865" width="31.28515625" style="525" customWidth="1"/>
    <col min="4866" max="4866" width="12.28515625" style="525" customWidth="1"/>
    <col min="4867" max="4867" width="12.42578125" style="525" customWidth="1"/>
    <col min="4868" max="4868" width="14.140625" style="525" customWidth="1"/>
    <col min="4869" max="4870" width="17.42578125" style="525" customWidth="1"/>
    <col min="4871" max="5120" width="9.140625" style="525"/>
    <col min="5121" max="5121" width="31.28515625" style="525" customWidth="1"/>
    <col min="5122" max="5122" width="12.28515625" style="525" customWidth="1"/>
    <col min="5123" max="5123" width="12.42578125" style="525" customWidth="1"/>
    <col min="5124" max="5124" width="14.140625" style="525" customWidth="1"/>
    <col min="5125" max="5126" width="17.42578125" style="525" customWidth="1"/>
    <col min="5127" max="5376" width="9.140625" style="525"/>
    <col min="5377" max="5377" width="31.28515625" style="525" customWidth="1"/>
    <col min="5378" max="5378" width="12.28515625" style="525" customWidth="1"/>
    <col min="5379" max="5379" width="12.42578125" style="525" customWidth="1"/>
    <col min="5380" max="5380" width="14.140625" style="525" customWidth="1"/>
    <col min="5381" max="5382" width="17.42578125" style="525" customWidth="1"/>
    <col min="5383" max="5632" width="9.140625" style="525"/>
    <col min="5633" max="5633" width="31.28515625" style="525" customWidth="1"/>
    <col min="5634" max="5634" width="12.28515625" style="525" customWidth="1"/>
    <col min="5635" max="5635" width="12.42578125" style="525" customWidth="1"/>
    <col min="5636" max="5636" width="14.140625" style="525" customWidth="1"/>
    <col min="5637" max="5638" width="17.42578125" style="525" customWidth="1"/>
    <col min="5639" max="5888" width="9.140625" style="525"/>
    <col min="5889" max="5889" width="31.28515625" style="525" customWidth="1"/>
    <col min="5890" max="5890" width="12.28515625" style="525" customWidth="1"/>
    <col min="5891" max="5891" width="12.42578125" style="525" customWidth="1"/>
    <col min="5892" max="5892" width="14.140625" style="525" customWidth="1"/>
    <col min="5893" max="5894" width="17.42578125" style="525" customWidth="1"/>
    <col min="5895" max="6144" width="9.140625" style="525"/>
    <col min="6145" max="6145" width="31.28515625" style="525" customWidth="1"/>
    <col min="6146" max="6146" width="12.28515625" style="525" customWidth="1"/>
    <col min="6147" max="6147" width="12.42578125" style="525" customWidth="1"/>
    <col min="6148" max="6148" width="14.140625" style="525" customWidth="1"/>
    <col min="6149" max="6150" width="17.42578125" style="525" customWidth="1"/>
    <col min="6151" max="6400" width="9.140625" style="525"/>
    <col min="6401" max="6401" width="31.28515625" style="525" customWidth="1"/>
    <col min="6402" max="6402" width="12.28515625" style="525" customWidth="1"/>
    <col min="6403" max="6403" width="12.42578125" style="525" customWidth="1"/>
    <col min="6404" max="6404" width="14.140625" style="525" customWidth="1"/>
    <col min="6405" max="6406" width="17.42578125" style="525" customWidth="1"/>
    <col min="6407" max="6656" width="9.140625" style="525"/>
    <col min="6657" max="6657" width="31.28515625" style="525" customWidth="1"/>
    <col min="6658" max="6658" width="12.28515625" style="525" customWidth="1"/>
    <col min="6659" max="6659" width="12.42578125" style="525" customWidth="1"/>
    <col min="6660" max="6660" width="14.140625" style="525" customWidth="1"/>
    <col min="6661" max="6662" width="17.42578125" style="525" customWidth="1"/>
    <col min="6663" max="6912" width="9.140625" style="525"/>
    <col min="6913" max="6913" width="31.28515625" style="525" customWidth="1"/>
    <col min="6914" max="6914" width="12.28515625" style="525" customWidth="1"/>
    <col min="6915" max="6915" width="12.42578125" style="525" customWidth="1"/>
    <col min="6916" max="6916" width="14.140625" style="525" customWidth="1"/>
    <col min="6917" max="6918" width="17.42578125" style="525" customWidth="1"/>
    <col min="6919" max="7168" width="9.140625" style="525"/>
    <col min="7169" max="7169" width="31.28515625" style="525" customWidth="1"/>
    <col min="7170" max="7170" width="12.28515625" style="525" customWidth="1"/>
    <col min="7171" max="7171" width="12.42578125" style="525" customWidth="1"/>
    <col min="7172" max="7172" width="14.140625" style="525" customWidth="1"/>
    <col min="7173" max="7174" width="17.42578125" style="525" customWidth="1"/>
    <col min="7175" max="7424" width="9.140625" style="525"/>
    <col min="7425" max="7425" width="31.28515625" style="525" customWidth="1"/>
    <col min="7426" max="7426" width="12.28515625" style="525" customWidth="1"/>
    <col min="7427" max="7427" width="12.42578125" style="525" customWidth="1"/>
    <col min="7428" max="7428" width="14.140625" style="525" customWidth="1"/>
    <col min="7429" max="7430" width="17.42578125" style="525" customWidth="1"/>
    <col min="7431" max="7680" width="9.140625" style="525"/>
    <col min="7681" max="7681" width="31.28515625" style="525" customWidth="1"/>
    <col min="7682" max="7682" width="12.28515625" style="525" customWidth="1"/>
    <col min="7683" max="7683" width="12.42578125" style="525" customWidth="1"/>
    <col min="7684" max="7684" width="14.140625" style="525" customWidth="1"/>
    <col min="7685" max="7686" width="17.42578125" style="525" customWidth="1"/>
    <col min="7687" max="7936" width="9.140625" style="525"/>
    <col min="7937" max="7937" width="31.28515625" style="525" customWidth="1"/>
    <col min="7938" max="7938" width="12.28515625" style="525" customWidth="1"/>
    <col min="7939" max="7939" width="12.42578125" style="525" customWidth="1"/>
    <col min="7940" max="7940" width="14.140625" style="525" customWidth="1"/>
    <col min="7941" max="7942" width="17.42578125" style="525" customWidth="1"/>
    <col min="7943" max="8192" width="9.140625" style="525"/>
    <col min="8193" max="8193" width="31.28515625" style="525" customWidth="1"/>
    <col min="8194" max="8194" width="12.28515625" style="525" customWidth="1"/>
    <col min="8195" max="8195" width="12.42578125" style="525" customWidth="1"/>
    <col min="8196" max="8196" width="14.140625" style="525" customWidth="1"/>
    <col min="8197" max="8198" width="17.42578125" style="525" customWidth="1"/>
    <col min="8199" max="8448" width="9.140625" style="525"/>
    <col min="8449" max="8449" width="31.28515625" style="525" customWidth="1"/>
    <col min="8450" max="8450" width="12.28515625" style="525" customWidth="1"/>
    <col min="8451" max="8451" width="12.42578125" style="525" customWidth="1"/>
    <col min="8452" max="8452" width="14.140625" style="525" customWidth="1"/>
    <col min="8453" max="8454" width="17.42578125" style="525" customWidth="1"/>
    <col min="8455" max="8704" width="9.140625" style="525"/>
    <col min="8705" max="8705" width="31.28515625" style="525" customWidth="1"/>
    <col min="8706" max="8706" width="12.28515625" style="525" customWidth="1"/>
    <col min="8707" max="8707" width="12.42578125" style="525" customWidth="1"/>
    <col min="8708" max="8708" width="14.140625" style="525" customWidth="1"/>
    <col min="8709" max="8710" width="17.42578125" style="525" customWidth="1"/>
    <col min="8711" max="8960" width="9.140625" style="525"/>
    <col min="8961" max="8961" width="31.28515625" style="525" customWidth="1"/>
    <col min="8962" max="8962" width="12.28515625" style="525" customWidth="1"/>
    <col min="8963" max="8963" width="12.42578125" style="525" customWidth="1"/>
    <col min="8964" max="8964" width="14.140625" style="525" customWidth="1"/>
    <col min="8965" max="8966" width="17.42578125" style="525" customWidth="1"/>
    <col min="8967" max="9216" width="9.140625" style="525"/>
    <col min="9217" max="9217" width="31.28515625" style="525" customWidth="1"/>
    <col min="9218" max="9218" width="12.28515625" style="525" customWidth="1"/>
    <col min="9219" max="9219" width="12.42578125" style="525" customWidth="1"/>
    <col min="9220" max="9220" width="14.140625" style="525" customWidth="1"/>
    <col min="9221" max="9222" width="17.42578125" style="525" customWidth="1"/>
    <col min="9223" max="9472" width="9.140625" style="525"/>
    <col min="9473" max="9473" width="31.28515625" style="525" customWidth="1"/>
    <col min="9474" max="9474" width="12.28515625" style="525" customWidth="1"/>
    <col min="9475" max="9475" width="12.42578125" style="525" customWidth="1"/>
    <col min="9476" max="9476" width="14.140625" style="525" customWidth="1"/>
    <col min="9477" max="9478" width="17.42578125" style="525" customWidth="1"/>
    <col min="9479" max="9728" width="9.140625" style="525"/>
    <col min="9729" max="9729" width="31.28515625" style="525" customWidth="1"/>
    <col min="9730" max="9730" width="12.28515625" style="525" customWidth="1"/>
    <col min="9731" max="9731" width="12.42578125" style="525" customWidth="1"/>
    <col min="9732" max="9732" width="14.140625" style="525" customWidth="1"/>
    <col min="9733" max="9734" width="17.42578125" style="525" customWidth="1"/>
    <col min="9735" max="9984" width="9.140625" style="525"/>
    <col min="9985" max="9985" width="31.28515625" style="525" customWidth="1"/>
    <col min="9986" max="9986" width="12.28515625" style="525" customWidth="1"/>
    <col min="9987" max="9987" width="12.42578125" style="525" customWidth="1"/>
    <col min="9988" max="9988" width="14.140625" style="525" customWidth="1"/>
    <col min="9989" max="9990" width="17.42578125" style="525" customWidth="1"/>
    <col min="9991" max="10240" width="9.140625" style="525"/>
    <col min="10241" max="10241" width="31.28515625" style="525" customWidth="1"/>
    <col min="10242" max="10242" width="12.28515625" style="525" customWidth="1"/>
    <col min="10243" max="10243" width="12.42578125" style="525" customWidth="1"/>
    <col min="10244" max="10244" width="14.140625" style="525" customWidth="1"/>
    <col min="10245" max="10246" width="17.42578125" style="525" customWidth="1"/>
    <col min="10247" max="10496" width="9.140625" style="525"/>
    <col min="10497" max="10497" width="31.28515625" style="525" customWidth="1"/>
    <col min="10498" max="10498" width="12.28515625" style="525" customWidth="1"/>
    <col min="10499" max="10499" width="12.42578125" style="525" customWidth="1"/>
    <col min="10500" max="10500" width="14.140625" style="525" customWidth="1"/>
    <col min="10501" max="10502" width="17.42578125" style="525" customWidth="1"/>
    <col min="10503" max="10752" width="9.140625" style="525"/>
    <col min="10753" max="10753" width="31.28515625" style="525" customWidth="1"/>
    <col min="10754" max="10754" width="12.28515625" style="525" customWidth="1"/>
    <col min="10755" max="10755" width="12.42578125" style="525" customWidth="1"/>
    <col min="10756" max="10756" width="14.140625" style="525" customWidth="1"/>
    <col min="10757" max="10758" width="17.42578125" style="525" customWidth="1"/>
    <col min="10759" max="11008" width="9.140625" style="525"/>
    <col min="11009" max="11009" width="31.28515625" style="525" customWidth="1"/>
    <col min="11010" max="11010" width="12.28515625" style="525" customWidth="1"/>
    <col min="11011" max="11011" width="12.42578125" style="525" customWidth="1"/>
    <col min="11012" max="11012" width="14.140625" style="525" customWidth="1"/>
    <col min="11013" max="11014" width="17.42578125" style="525" customWidth="1"/>
    <col min="11015" max="11264" width="9.140625" style="525"/>
    <col min="11265" max="11265" width="31.28515625" style="525" customWidth="1"/>
    <col min="11266" max="11266" width="12.28515625" style="525" customWidth="1"/>
    <col min="11267" max="11267" width="12.42578125" style="525" customWidth="1"/>
    <col min="11268" max="11268" width="14.140625" style="525" customWidth="1"/>
    <col min="11269" max="11270" width="17.42578125" style="525" customWidth="1"/>
    <col min="11271" max="11520" width="9.140625" style="525"/>
    <col min="11521" max="11521" width="31.28515625" style="525" customWidth="1"/>
    <col min="11522" max="11522" width="12.28515625" style="525" customWidth="1"/>
    <col min="11523" max="11523" width="12.42578125" style="525" customWidth="1"/>
    <col min="11524" max="11524" width="14.140625" style="525" customWidth="1"/>
    <col min="11525" max="11526" width="17.42578125" style="525" customWidth="1"/>
    <col min="11527" max="11776" width="9.140625" style="525"/>
    <col min="11777" max="11777" width="31.28515625" style="525" customWidth="1"/>
    <col min="11778" max="11778" width="12.28515625" style="525" customWidth="1"/>
    <col min="11779" max="11779" width="12.42578125" style="525" customWidth="1"/>
    <col min="11780" max="11780" width="14.140625" style="525" customWidth="1"/>
    <col min="11781" max="11782" width="17.42578125" style="525" customWidth="1"/>
    <col min="11783" max="12032" width="9.140625" style="525"/>
    <col min="12033" max="12033" width="31.28515625" style="525" customWidth="1"/>
    <col min="12034" max="12034" width="12.28515625" style="525" customWidth="1"/>
    <col min="12035" max="12035" width="12.42578125" style="525" customWidth="1"/>
    <col min="12036" max="12036" width="14.140625" style="525" customWidth="1"/>
    <col min="12037" max="12038" width="17.42578125" style="525" customWidth="1"/>
    <col min="12039" max="12288" width="9.140625" style="525"/>
    <col min="12289" max="12289" width="31.28515625" style="525" customWidth="1"/>
    <col min="12290" max="12290" width="12.28515625" style="525" customWidth="1"/>
    <col min="12291" max="12291" width="12.42578125" style="525" customWidth="1"/>
    <col min="12292" max="12292" width="14.140625" style="525" customWidth="1"/>
    <col min="12293" max="12294" width="17.42578125" style="525" customWidth="1"/>
    <col min="12295" max="12544" width="9.140625" style="525"/>
    <col min="12545" max="12545" width="31.28515625" style="525" customWidth="1"/>
    <col min="12546" max="12546" width="12.28515625" style="525" customWidth="1"/>
    <col min="12547" max="12547" width="12.42578125" style="525" customWidth="1"/>
    <col min="12548" max="12548" width="14.140625" style="525" customWidth="1"/>
    <col min="12549" max="12550" width="17.42578125" style="525" customWidth="1"/>
    <col min="12551" max="12800" width="9.140625" style="525"/>
    <col min="12801" max="12801" width="31.28515625" style="525" customWidth="1"/>
    <col min="12802" max="12802" width="12.28515625" style="525" customWidth="1"/>
    <col min="12803" max="12803" width="12.42578125" style="525" customWidth="1"/>
    <col min="12804" max="12804" width="14.140625" style="525" customWidth="1"/>
    <col min="12805" max="12806" width="17.42578125" style="525" customWidth="1"/>
    <col min="12807" max="13056" width="9.140625" style="525"/>
    <col min="13057" max="13057" width="31.28515625" style="525" customWidth="1"/>
    <col min="13058" max="13058" width="12.28515625" style="525" customWidth="1"/>
    <col min="13059" max="13059" width="12.42578125" style="525" customWidth="1"/>
    <col min="13060" max="13060" width="14.140625" style="525" customWidth="1"/>
    <col min="13061" max="13062" width="17.42578125" style="525" customWidth="1"/>
    <col min="13063" max="13312" width="9.140625" style="525"/>
    <col min="13313" max="13313" width="31.28515625" style="525" customWidth="1"/>
    <col min="13314" max="13314" width="12.28515625" style="525" customWidth="1"/>
    <col min="13315" max="13315" width="12.42578125" style="525" customWidth="1"/>
    <col min="13316" max="13316" width="14.140625" style="525" customWidth="1"/>
    <col min="13317" max="13318" width="17.42578125" style="525" customWidth="1"/>
    <col min="13319" max="13568" width="9.140625" style="525"/>
    <col min="13569" max="13569" width="31.28515625" style="525" customWidth="1"/>
    <col min="13570" max="13570" width="12.28515625" style="525" customWidth="1"/>
    <col min="13571" max="13571" width="12.42578125" style="525" customWidth="1"/>
    <col min="13572" max="13572" width="14.140625" style="525" customWidth="1"/>
    <col min="13573" max="13574" width="17.42578125" style="525" customWidth="1"/>
    <col min="13575" max="13824" width="9.140625" style="525"/>
    <col min="13825" max="13825" width="31.28515625" style="525" customWidth="1"/>
    <col min="13826" max="13826" width="12.28515625" style="525" customWidth="1"/>
    <col min="13827" max="13827" width="12.42578125" style="525" customWidth="1"/>
    <col min="13828" max="13828" width="14.140625" style="525" customWidth="1"/>
    <col min="13829" max="13830" width="17.42578125" style="525" customWidth="1"/>
    <col min="13831" max="14080" width="9.140625" style="525"/>
    <col min="14081" max="14081" width="31.28515625" style="525" customWidth="1"/>
    <col min="14082" max="14082" width="12.28515625" style="525" customWidth="1"/>
    <col min="14083" max="14083" width="12.42578125" style="525" customWidth="1"/>
    <col min="14084" max="14084" width="14.140625" style="525" customWidth="1"/>
    <col min="14085" max="14086" width="17.42578125" style="525" customWidth="1"/>
    <col min="14087" max="14336" width="9.140625" style="525"/>
    <col min="14337" max="14337" width="31.28515625" style="525" customWidth="1"/>
    <col min="14338" max="14338" width="12.28515625" style="525" customWidth="1"/>
    <col min="14339" max="14339" width="12.42578125" style="525" customWidth="1"/>
    <col min="14340" max="14340" width="14.140625" style="525" customWidth="1"/>
    <col min="14341" max="14342" width="17.42578125" style="525" customWidth="1"/>
    <col min="14343" max="14592" width="9.140625" style="525"/>
    <col min="14593" max="14593" width="31.28515625" style="525" customWidth="1"/>
    <col min="14594" max="14594" width="12.28515625" style="525" customWidth="1"/>
    <col min="14595" max="14595" width="12.42578125" style="525" customWidth="1"/>
    <col min="14596" max="14596" width="14.140625" style="525" customWidth="1"/>
    <col min="14597" max="14598" width="17.42578125" style="525" customWidth="1"/>
    <col min="14599" max="14848" width="9.140625" style="525"/>
    <col min="14849" max="14849" width="31.28515625" style="525" customWidth="1"/>
    <col min="14850" max="14850" width="12.28515625" style="525" customWidth="1"/>
    <col min="14851" max="14851" width="12.42578125" style="525" customWidth="1"/>
    <col min="14852" max="14852" width="14.140625" style="525" customWidth="1"/>
    <col min="14853" max="14854" width="17.42578125" style="525" customWidth="1"/>
    <col min="14855" max="15104" width="9.140625" style="525"/>
    <col min="15105" max="15105" width="31.28515625" style="525" customWidth="1"/>
    <col min="15106" max="15106" width="12.28515625" style="525" customWidth="1"/>
    <col min="15107" max="15107" width="12.42578125" style="525" customWidth="1"/>
    <col min="15108" max="15108" width="14.140625" style="525" customWidth="1"/>
    <col min="15109" max="15110" width="17.42578125" style="525" customWidth="1"/>
    <col min="15111" max="15360" width="9.140625" style="525"/>
    <col min="15361" max="15361" width="31.28515625" style="525" customWidth="1"/>
    <col min="15362" max="15362" width="12.28515625" style="525" customWidth="1"/>
    <col min="15363" max="15363" width="12.42578125" style="525" customWidth="1"/>
    <col min="15364" max="15364" width="14.140625" style="525" customWidth="1"/>
    <col min="15365" max="15366" width="17.42578125" style="525" customWidth="1"/>
    <col min="15367" max="15616" width="9.140625" style="525"/>
    <col min="15617" max="15617" width="31.28515625" style="525" customWidth="1"/>
    <col min="15618" max="15618" width="12.28515625" style="525" customWidth="1"/>
    <col min="15619" max="15619" width="12.42578125" style="525" customWidth="1"/>
    <col min="15620" max="15620" width="14.140625" style="525" customWidth="1"/>
    <col min="15621" max="15622" width="17.42578125" style="525" customWidth="1"/>
    <col min="15623" max="15872" width="9.140625" style="525"/>
    <col min="15873" max="15873" width="31.28515625" style="525" customWidth="1"/>
    <col min="15874" max="15874" width="12.28515625" style="525" customWidth="1"/>
    <col min="15875" max="15875" width="12.42578125" style="525" customWidth="1"/>
    <col min="15876" max="15876" width="14.140625" style="525" customWidth="1"/>
    <col min="15877" max="15878" width="17.42578125" style="525" customWidth="1"/>
    <col min="15879" max="16128" width="9.140625" style="525"/>
    <col min="16129" max="16129" width="31.28515625" style="525" customWidth="1"/>
    <col min="16130" max="16130" width="12.28515625" style="525" customWidth="1"/>
    <col min="16131" max="16131" width="12.42578125" style="525" customWidth="1"/>
    <col min="16132" max="16132" width="14.140625" style="525" customWidth="1"/>
    <col min="16133" max="16134" width="17.42578125" style="525" customWidth="1"/>
    <col min="16135" max="16384" width="9.140625" style="525"/>
  </cols>
  <sheetData>
    <row r="1" spans="1:256">
      <c r="C1" s="525" t="s">
        <v>2340</v>
      </c>
      <c r="G1" s="1388" t="s">
        <v>1020</v>
      </c>
    </row>
    <row r="7" spans="1:256">
      <c r="A7" s="2376" t="s">
        <v>1296</v>
      </c>
      <c r="B7" s="2376"/>
      <c r="C7" s="2376"/>
      <c r="D7" s="2376"/>
      <c r="E7" s="2376"/>
    </row>
    <row r="8" spans="1:256">
      <c r="A8" s="2377" t="s">
        <v>1295</v>
      </c>
      <c r="B8" s="2377"/>
      <c r="C8" s="2377"/>
      <c r="D8" s="2377"/>
      <c r="E8" s="2377"/>
    </row>
    <row r="9" spans="1:256" ht="17.25" thickBot="1">
      <c r="A9" s="807"/>
      <c r="B9" s="802"/>
      <c r="C9" s="801"/>
      <c r="D9" s="800"/>
      <c r="E9" s="1616" t="s">
        <v>1263</v>
      </c>
    </row>
    <row r="10" spans="1:256" ht="17.25" thickTop="1">
      <c r="A10" s="838" t="s">
        <v>1294</v>
      </c>
      <c r="B10" s="837" t="s">
        <v>2</v>
      </c>
      <c r="C10" s="836" t="s">
        <v>1293</v>
      </c>
      <c r="D10" s="2378" t="s">
        <v>1292</v>
      </c>
      <c r="E10" s="2379"/>
      <c r="F10" s="805"/>
      <c r="G10" s="805"/>
      <c r="H10" s="805"/>
      <c r="I10" s="805"/>
      <c r="J10" s="805"/>
      <c r="K10" s="805"/>
      <c r="L10" s="805"/>
      <c r="M10" s="805"/>
      <c r="N10" s="805"/>
      <c r="O10" s="805"/>
      <c r="P10" s="805"/>
      <c r="Q10" s="805"/>
      <c r="R10" s="805"/>
      <c r="S10" s="805"/>
      <c r="T10" s="805"/>
      <c r="U10" s="805"/>
      <c r="V10" s="805"/>
      <c r="W10" s="805"/>
      <c r="X10" s="805"/>
      <c r="Y10" s="805"/>
      <c r="Z10" s="805"/>
      <c r="AA10" s="805"/>
      <c r="AB10" s="805"/>
      <c r="AC10" s="805"/>
      <c r="AD10" s="805"/>
      <c r="AE10" s="805"/>
      <c r="AF10" s="805"/>
      <c r="AG10" s="805"/>
      <c r="AH10" s="805"/>
      <c r="AI10" s="805"/>
      <c r="AJ10" s="805"/>
      <c r="AK10" s="805"/>
      <c r="AL10" s="805"/>
      <c r="AM10" s="805"/>
      <c r="AN10" s="805"/>
      <c r="AO10" s="805"/>
      <c r="AP10" s="805"/>
      <c r="AQ10" s="805"/>
      <c r="AR10" s="805"/>
      <c r="AS10" s="805"/>
      <c r="AT10" s="805"/>
      <c r="AU10" s="805"/>
      <c r="AV10" s="805"/>
      <c r="AW10" s="805"/>
      <c r="AX10" s="805"/>
      <c r="AY10" s="805"/>
      <c r="AZ10" s="805"/>
      <c r="BA10" s="805"/>
      <c r="BB10" s="805"/>
      <c r="BC10" s="805"/>
      <c r="BD10" s="805"/>
      <c r="BE10" s="805"/>
      <c r="BF10" s="805"/>
      <c r="BG10" s="805"/>
      <c r="BH10" s="805"/>
      <c r="BI10" s="805"/>
      <c r="BJ10" s="805"/>
      <c r="BK10" s="805"/>
      <c r="BL10" s="805"/>
      <c r="BM10" s="805"/>
      <c r="BN10" s="805"/>
      <c r="BO10" s="805"/>
      <c r="BP10" s="805"/>
      <c r="BQ10" s="805"/>
      <c r="BR10" s="805"/>
      <c r="BS10" s="805"/>
      <c r="BT10" s="805"/>
      <c r="BU10" s="805"/>
      <c r="BV10" s="805"/>
      <c r="BW10" s="805"/>
      <c r="BX10" s="805"/>
      <c r="BY10" s="805"/>
      <c r="BZ10" s="805"/>
      <c r="CA10" s="805"/>
      <c r="CB10" s="805"/>
      <c r="CC10" s="805"/>
      <c r="CD10" s="805"/>
      <c r="CE10" s="805"/>
      <c r="CF10" s="805"/>
      <c r="CG10" s="805"/>
      <c r="CH10" s="805"/>
      <c r="CI10" s="805"/>
      <c r="CJ10" s="805"/>
      <c r="CK10" s="805"/>
      <c r="CL10" s="805"/>
      <c r="CM10" s="805"/>
      <c r="CN10" s="805"/>
      <c r="CO10" s="805"/>
      <c r="CP10" s="805"/>
      <c r="CQ10" s="805"/>
      <c r="CR10" s="805"/>
      <c r="CS10" s="805"/>
      <c r="CT10" s="805"/>
      <c r="CU10" s="805"/>
      <c r="CV10" s="805"/>
      <c r="CW10" s="805"/>
      <c r="CX10" s="805"/>
      <c r="CY10" s="805"/>
      <c r="CZ10" s="805"/>
      <c r="DA10" s="805"/>
      <c r="DB10" s="805"/>
      <c r="DC10" s="805"/>
      <c r="DD10" s="805"/>
      <c r="DE10" s="805"/>
      <c r="DF10" s="805"/>
      <c r="DG10" s="805"/>
      <c r="DH10" s="805"/>
      <c r="DI10" s="805"/>
      <c r="DJ10" s="805"/>
      <c r="DK10" s="805"/>
      <c r="DL10" s="805"/>
      <c r="DM10" s="805"/>
      <c r="DN10" s="805"/>
      <c r="DO10" s="805"/>
      <c r="DP10" s="805"/>
      <c r="DQ10" s="805"/>
      <c r="DR10" s="805"/>
      <c r="DS10" s="805"/>
      <c r="DT10" s="805"/>
      <c r="DU10" s="805"/>
      <c r="DV10" s="805"/>
      <c r="DW10" s="805"/>
      <c r="DX10" s="805"/>
      <c r="DY10" s="805"/>
      <c r="DZ10" s="805"/>
      <c r="EA10" s="805"/>
      <c r="EB10" s="805"/>
      <c r="EC10" s="805"/>
      <c r="ED10" s="805"/>
      <c r="EE10" s="805"/>
      <c r="EF10" s="805"/>
      <c r="EG10" s="805"/>
      <c r="EH10" s="805"/>
      <c r="EI10" s="805"/>
      <c r="EJ10" s="805"/>
      <c r="EK10" s="805"/>
      <c r="EL10" s="805"/>
      <c r="EM10" s="805"/>
      <c r="EN10" s="805"/>
      <c r="EO10" s="805"/>
      <c r="EP10" s="805"/>
      <c r="EQ10" s="805"/>
      <c r="ER10" s="805"/>
      <c r="ES10" s="805"/>
      <c r="ET10" s="805"/>
      <c r="EU10" s="805"/>
      <c r="EV10" s="805"/>
      <c r="EW10" s="805"/>
      <c r="EX10" s="805"/>
      <c r="EY10" s="805"/>
      <c r="EZ10" s="805"/>
      <c r="FA10" s="805"/>
      <c r="FB10" s="805"/>
      <c r="FC10" s="805"/>
      <c r="FD10" s="805"/>
      <c r="FE10" s="805"/>
      <c r="FF10" s="805"/>
      <c r="FG10" s="805"/>
      <c r="FH10" s="805"/>
      <c r="FI10" s="805"/>
      <c r="FJ10" s="805"/>
      <c r="FK10" s="805"/>
      <c r="FL10" s="805"/>
      <c r="FM10" s="805"/>
      <c r="FN10" s="805"/>
      <c r="FO10" s="805"/>
      <c r="FP10" s="805"/>
      <c r="FQ10" s="805"/>
      <c r="FR10" s="805"/>
      <c r="FS10" s="805"/>
      <c r="FT10" s="805"/>
      <c r="FU10" s="805"/>
      <c r="FV10" s="805"/>
      <c r="FW10" s="805"/>
      <c r="FX10" s="805"/>
      <c r="FY10" s="805"/>
      <c r="FZ10" s="805"/>
      <c r="GA10" s="805"/>
      <c r="GB10" s="805"/>
      <c r="GC10" s="805"/>
      <c r="GD10" s="805"/>
      <c r="GE10" s="805"/>
      <c r="GF10" s="805"/>
      <c r="GG10" s="805"/>
      <c r="GH10" s="805"/>
      <c r="GI10" s="805"/>
      <c r="GJ10" s="805"/>
      <c r="GK10" s="805"/>
      <c r="GL10" s="805"/>
      <c r="GM10" s="805"/>
      <c r="GN10" s="805"/>
      <c r="GO10" s="805"/>
      <c r="GP10" s="805"/>
      <c r="GQ10" s="805"/>
      <c r="GR10" s="805"/>
      <c r="GS10" s="805"/>
      <c r="GT10" s="805"/>
      <c r="GU10" s="805"/>
      <c r="GV10" s="805"/>
      <c r="GW10" s="805"/>
      <c r="GX10" s="805"/>
      <c r="GY10" s="805"/>
      <c r="GZ10" s="805"/>
      <c r="HA10" s="805"/>
      <c r="HB10" s="805"/>
      <c r="HC10" s="805"/>
      <c r="HD10" s="805"/>
      <c r="HE10" s="805"/>
      <c r="HF10" s="805"/>
      <c r="HG10" s="805"/>
      <c r="HH10" s="805"/>
      <c r="HI10" s="805"/>
      <c r="HJ10" s="805"/>
      <c r="HK10" s="805"/>
      <c r="HL10" s="805"/>
      <c r="HM10" s="805"/>
      <c r="HN10" s="805"/>
      <c r="HO10" s="805"/>
      <c r="HP10" s="805"/>
      <c r="HQ10" s="805"/>
      <c r="HR10" s="805"/>
      <c r="HS10" s="805"/>
      <c r="HT10" s="805"/>
      <c r="HU10" s="805"/>
      <c r="HV10" s="805"/>
      <c r="HW10" s="805"/>
      <c r="HX10" s="805"/>
      <c r="HY10" s="805"/>
      <c r="HZ10" s="805"/>
      <c r="IA10" s="805"/>
      <c r="IB10" s="805"/>
      <c r="IC10" s="805"/>
      <c r="ID10" s="805"/>
      <c r="IE10" s="805"/>
      <c r="IF10" s="805"/>
      <c r="IG10" s="805"/>
      <c r="IH10" s="805"/>
      <c r="II10" s="805"/>
      <c r="IJ10" s="805"/>
      <c r="IK10" s="805"/>
      <c r="IL10" s="805"/>
      <c r="IM10" s="805"/>
      <c r="IN10" s="805"/>
      <c r="IO10" s="805"/>
      <c r="IP10" s="805"/>
      <c r="IQ10" s="805"/>
      <c r="IR10" s="805"/>
      <c r="IS10" s="805"/>
      <c r="IT10" s="805"/>
      <c r="IU10" s="805"/>
      <c r="IV10" s="805"/>
    </row>
    <row r="11" spans="1:256" ht="17.25">
      <c r="A11" s="835"/>
      <c r="B11" s="834" t="s">
        <v>1291</v>
      </c>
      <c r="C11" s="833" t="s">
        <v>1290</v>
      </c>
      <c r="D11" s="832" t="s">
        <v>1</v>
      </c>
      <c r="E11" s="831" t="s">
        <v>4</v>
      </c>
      <c r="F11" s="805"/>
      <c r="G11" s="805"/>
      <c r="H11" s="805"/>
      <c r="I11" s="805"/>
      <c r="J11" s="805"/>
      <c r="K11" s="805"/>
      <c r="L11" s="805"/>
      <c r="M11" s="805"/>
      <c r="N11" s="805"/>
      <c r="O11" s="805"/>
      <c r="P11" s="805"/>
      <c r="Q11" s="805"/>
      <c r="R11" s="805"/>
      <c r="S11" s="805"/>
      <c r="T11" s="805"/>
      <c r="U11" s="805"/>
      <c r="V11" s="805"/>
      <c r="W11" s="805"/>
      <c r="X11" s="805"/>
      <c r="Y11" s="805"/>
      <c r="Z11" s="805"/>
      <c r="AA11" s="805"/>
      <c r="AB11" s="805"/>
      <c r="AC11" s="805"/>
      <c r="AD11" s="805"/>
      <c r="AE11" s="805"/>
      <c r="AF11" s="805"/>
      <c r="AG11" s="805"/>
      <c r="AH11" s="805"/>
      <c r="AI11" s="805"/>
      <c r="AJ11" s="805"/>
      <c r="AK11" s="805"/>
      <c r="AL11" s="805"/>
      <c r="AM11" s="805"/>
      <c r="AN11" s="805"/>
      <c r="AO11" s="805"/>
      <c r="AP11" s="805"/>
      <c r="AQ11" s="805"/>
      <c r="AR11" s="805"/>
      <c r="AS11" s="805"/>
      <c r="AT11" s="805"/>
      <c r="AU11" s="805"/>
      <c r="AV11" s="805"/>
      <c r="AW11" s="805"/>
      <c r="AX11" s="805"/>
      <c r="AY11" s="805"/>
      <c r="AZ11" s="805"/>
      <c r="BA11" s="805"/>
      <c r="BB11" s="805"/>
      <c r="BC11" s="805"/>
      <c r="BD11" s="805"/>
      <c r="BE11" s="805"/>
      <c r="BF11" s="805"/>
      <c r="BG11" s="805"/>
      <c r="BH11" s="805"/>
      <c r="BI11" s="805"/>
      <c r="BJ11" s="805"/>
      <c r="BK11" s="805"/>
      <c r="BL11" s="805"/>
      <c r="BM11" s="805"/>
      <c r="BN11" s="805"/>
      <c r="BO11" s="805"/>
      <c r="BP11" s="805"/>
      <c r="BQ11" s="805"/>
      <c r="BR11" s="805"/>
      <c r="BS11" s="805"/>
      <c r="BT11" s="805"/>
      <c r="BU11" s="805"/>
      <c r="BV11" s="805"/>
      <c r="BW11" s="805"/>
      <c r="BX11" s="805"/>
      <c r="BY11" s="805"/>
      <c r="BZ11" s="805"/>
      <c r="CA11" s="805"/>
      <c r="CB11" s="805"/>
      <c r="CC11" s="805"/>
      <c r="CD11" s="805"/>
      <c r="CE11" s="805"/>
      <c r="CF11" s="805"/>
      <c r="CG11" s="805"/>
      <c r="CH11" s="805"/>
      <c r="CI11" s="805"/>
      <c r="CJ11" s="805"/>
      <c r="CK11" s="805"/>
      <c r="CL11" s="805"/>
      <c r="CM11" s="805"/>
      <c r="CN11" s="805"/>
      <c r="CO11" s="805"/>
      <c r="CP11" s="805"/>
      <c r="CQ11" s="805"/>
      <c r="CR11" s="805"/>
      <c r="CS11" s="805"/>
      <c r="CT11" s="805"/>
      <c r="CU11" s="805"/>
      <c r="CV11" s="805"/>
      <c r="CW11" s="805"/>
      <c r="CX11" s="805"/>
      <c r="CY11" s="805"/>
      <c r="CZ11" s="805"/>
      <c r="DA11" s="805"/>
      <c r="DB11" s="805"/>
      <c r="DC11" s="805"/>
      <c r="DD11" s="805"/>
      <c r="DE11" s="805"/>
      <c r="DF11" s="805"/>
      <c r="DG11" s="805"/>
      <c r="DH11" s="805"/>
      <c r="DI11" s="805"/>
      <c r="DJ11" s="805"/>
      <c r="DK11" s="805"/>
      <c r="DL11" s="805"/>
      <c r="DM11" s="805"/>
      <c r="DN11" s="805"/>
      <c r="DO11" s="805"/>
      <c r="DP11" s="805"/>
      <c r="DQ11" s="805"/>
      <c r="DR11" s="805"/>
      <c r="DS11" s="805"/>
      <c r="DT11" s="805"/>
      <c r="DU11" s="805"/>
      <c r="DV11" s="805"/>
      <c r="DW11" s="805"/>
      <c r="DX11" s="805"/>
      <c r="DY11" s="805"/>
      <c r="DZ11" s="805"/>
      <c r="EA11" s="805"/>
      <c r="EB11" s="805"/>
      <c r="EC11" s="805"/>
      <c r="ED11" s="805"/>
      <c r="EE11" s="805"/>
      <c r="EF11" s="805"/>
      <c r="EG11" s="805"/>
      <c r="EH11" s="805"/>
      <c r="EI11" s="805"/>
      <c r="EJ11" s="805"/>
      <c r="EK11" s="805"/>
      <c r="EL11" s="805"/>
      <c r="EM11" s="805"/>
      <c r="EN11" s="805"/>
      <c r="EO11" s="805"/>
      <c r="EP11" s="805"/>
      <c r="EQ11" s="805"/>
      <c r="ER11" s="805"/>
      <c r="ES11" s="805"/>
      <c r="ET11" s="805"/>
      <c r="EU11" s="805"/>
      <c r="EV11" s="805"/>
      <c r="EW11" s="805"/>
      <c r="EX11" s="805"/>
      <c r="EY11" s="805"/>
      <c r="EZ11" s="805"/>
      <c r="FA11" s="805"/>
      <c r="FB11" s="805"/>
      <c r="FC11" s="805"/>
      <c r="FD11" s="805"/>
      <c r="FE11" s="805"/>
      <c r="FF11" s="805"/>
      <c r="FG11" s="805"/>
      <c r="FH11" s="805"/>
      <c r="FI11" s="805"/>
      <c r="FJ11" s="805"/>
      <c r="FK11" s="805"/>
      <c r="FL11" s="805"/>
      <c r="FM11" s="805"/>
      <c r="FN11" s="805"/>
      <c r="FO11" s="805"/>
      <c r="FP11" s="805"/>
      <c r="FQ11" s="805"/>
      <c r="FR11" s="805"/>
      <c r="FS11" s="805"/>
      <c r="FT11" s="805"/>
      <c r="FU11" s="805"/>
      <c r="FV11" s="805"/>
      <c r="FW11" s="805"/>
      <c r="FX11" s="805"/>
      <c r="FY11" s="805"/>
      <c r="FZ11" s="805"/>
      <c r="GA11" s="805"/>
      <c r="GB11" s="805"/>
      <c r="GC11" s="805"/>
      <c r="GD11" s="805"/>
      <c r="GE11" s="805"/>
      <c r="GF11" s="805"/>
      <c r="GG11" s="805"/>
      <c r="GH11" s="805"/>
      <c r="GI11" s="805"/>
      <c r="GJ11" s="805"/>
      <c r="GK11" s="805"/>
      <c r="GL11" s="805"/>
      <c r="GM11" s="805"/>
      <c r="GN11" s="805"/>
      <c r="GO11" s="805"/>
      <c r="GP11" s="805"/>
      <c r="GQ11" s="805"/>
      <c r="GR11" s="805"/>
      <c r="GS11" s="805"/>
      <c r="GT11" s="805"/>
      <c r="GU11" s="805"/>
      <c r="GV11" s="805"/>
      <c r="GW11" s="805"/>
      <c r="GX11" s="805"/>
      <c r="GY11" s="805"/>
      <c r="GZ11" s="805"/>
      <c r="HA11" s="805"/>
      <c r="HB11" s="805"/>
      <c r="HC11" s="805"/>
      <c r="HD11" s="805"/>
      <c r="HE11" s="805"/>
      <c r="HF11" s="805"/>
      <c r="HG11" s="805"/>
      <c r="HH11" s="805"/>
      <c r="HI11" s="805"/>
      <c r="HJ11" s="805"/>
      <c r="HK11" s="805"/>
      <c r="HL11" s="805"/>
      <c r="HM11" s="805"/>
      <c r="HN11" s="805"/>
      <c r="HO11" s="805"/>
      <c r="HP11" s="805"/>
      <c r="HQ11" s="805"/>
      <c r="HR11" s="805"/>
      <c r="HS11" s="805"/>
      <c r="HT11" s="805"/>
      <c r="HU11" s="805"/>
      <c r="HV11" s="805"/>
      <c r="HW11" s="805"/>
      <c r="HX11" s="805"/>
      <c r="HY11" s="805"/>
      <c r="HZ11" s="805"/>
      <c r="IA11" s="805"/>
      <c r="IB11" s="805"/>
      <c r="IC11" s="805"/>
      <c r="ID11" s="805"/>
      <c r="IE11" s="805"/>
      <c r="IF11" s="805"/>
      <c r="IG11" s="805"/>
      <c r="IH11" s="805"/>
      <c r="II11" s="805"/>
      <c r="IJ11" s="805"/>
      <c r="IK11" s="805"/>
      <c r="IL11" s="805"/>
      <c r="IM11" s="805"/>
      <c r="IN11" s="805"/>
      <c r="IO11" s="805"/>
      <c r="IP11" s="805"/>
      <c r="IQ11" s="805"/>
      <c r="IR11" s="805"/>
      <c r="IS11" s="805"/>
      <c r="IT11" s="805"/>
      <c r="IU11" s="805"/>
      <c r="IV11" s="805"/>
    </row>
    <row r="12" spans="1:256" ht="17.25">
      <c r="A12" s="1617" t="s">
        <v>1289</v>
      </c>
      <c r="B12" s="2286"/>
      <c r="C12" s="2287"/>
      <c r="D12" s="2288"/>
      <c r="E12" s="1628">
        <f>E23+E24</f>
        <v>25918333.333333332</v>
      </c>
    </row>
    <row r="13" spans="1:256">
      <c r="A13" s="822" t="s">
        <v>1288</v>
      </c>
      <c r="B13" s="818" t="s">
        <v>1287</v>
      </c>
      <c r="C13" s="549">
        <v>120</v>
      </c>
      <c r="D13" s="821">
        <v>60000</v>
      </c>
      <c r="E13" s="820">
        <f>D13*C13</f>
        <v>7200000</v>
      </c>
    </row>
    <row r="14" spans="1:256">
      <c r="A14" s="822" t="s">
        <v>1286</v>
      </c>
      <c r="B14" s="818" t="s">
        <v>228</v>
      </c>
      <c r="C14" s="549">
        <v>450000</v>
      </c>
      <c r="D14" s="821">
        <v>5</v>
      </c>
      <c r="E14" s="820">
        <f>D14*C14</f>
        <v>2250000</v>
      </c>
    </row>
    <row r="15" spans="1:256">
      <c r="A15" s="822" t="s">
        <v>1285</v>
      </c>
      <c r="B15" s="818" t="s">
        <v>11</v>
      </c>
      <c r="C15" s="549"/>
      <c r="D15" s="816"/>
      <c r="E15" s="820">
        <f>SUM(E16:E19)</f>
        <v>2335000</v>
      </c>
    </row>
    <row r="16" spans="1:256">
      <c r="A16" s="826" t="s">
        <v>1284</v>
      </c>
      <c r="B16" s="818" t="s">
        <v>11</v>
      </c>
      <c r="C16" s="778">
        <v>10000</v>
      </c>
      <c r="D16" s="825">
        <v>54</v>
      </c>
      <c r="E16" s="824">
        <f t="shared" ref="E16:E22" si="0">D16*C16</f>
        <v>540000</v>
      </c>
    </row>
    <row r="17" spans="1:256">
      <c r="A17" s="826" t="s">
        <v>1283</v>
      </c>
      <c r="B17" s="818" t="s">
        <v>11</v>
      </c>
      <c r="C17" s="778">
        <v>3000</v>
      </c>
      <c r="D17" s="825">
        <v>100</v>
      </c>
      <c r="E17" s="824">
        <f t="shared" si="0"/>
        <v>300000</v>
      </c>
    </row>
    <row r="18" spans="1:256">
      <c r="A18" s="826" t="s">
        <v>1282</v>
      </c>
      <c r="B18" s="818" t="s">
        <v>11</v>
      </c>
      <c r="C18" s="778">
        <v>15000</v>
      </c>
      <c r="D18" s="825">
        <v>33</v>
      </c>
      <c r="E18" s="824">
        <f t="shared" si="0"/>
        <v>495000</v>
      </c>
    </row>
    <row r="19" spans="1:256">
      <c r="A19" s="826" t="s">
        <v>1281</v>
      </c>
      <c r="B19" s="818" t="s">
        <v>11</v>
      </c>
      <c r="C19" s="778">
        <v>10000</v>
      </c>
      <c r="D19" s="825">
        <v>100</v>
      </c>
      <c r="E19" s="824">
        <f t="shared" si="0"/>
        <v>1000000</v>
      </c>
    </row>
    <row r="20" spans="1:256">
      <c r="A20" s="822" t="s">
        <v>1280</v>
      </c>
      <c r="B20" s="818" t="s">
        <v>11</v>
      </c>
      <c r="C20" s="549">
        <v>1000</v>
      </c>
      <c r="D20" s="821">
        <v>100</v>
      </c>
      <c r="E20" s="820">
        <f t="shared" si="0"/>
        <v>100000</v>
      </c>
    </row>
    <row r="21" spans="1:256">
      <c r="A21" s="822" t="s">
        <v>1279</v>
      </c>
      <c r="B21" s="818" t="s">
        <v>513</v>
      </c>
      <c r="C21" s="549">
        <v>200000</v>
      </c>
      <c r="D21" s="821">
        <v>30</v>
      </c>
      <c r="E21" s="820">
        <f t="shared" si="0"/>
        <v>6000000</v>
      </c>
    </row>
    <row r="22" spans="1:256">
      <c r="A22" s="822" t="s">
        <v>1278</v>
      </c>
      <c r="B22" s="818" t="s">
        <v>511</v>
      </c>
      <c r="C22" s="549">
        <v>250000</v>
      </c>
      <c r="D22" s="821">
        <v>30</v>
      </c>
      <c r="E22" s="820">
        <f t="shared" si="0"/>
        <v>7500000</v>
      </c>
    </row>
    <row r="23" spans="1:256" ht="17.25">
      <c r="A23" s="1617" t="s">
        <v>1277</v>
      </c>
      <c r="B23" s="2289"/>
      <c r="C23" s="774"/>
      <c r="D23" s="1632"/>
      <c r="E23" s="1633">
        <f>SUM(E13:E15)+SUM(E20:E22)</f>
        <v>25385000</v>
      </c>
      <c r="F23" s="540"/>
      <c r="G23" s="540"/>
      <c r="H23" s="540"/>
      <c r="I23" s="540"/>
      <c r="J23" s="540"/>
      <c r="K23" s="540"/>
      <c r="L23" s="540"/>
      <c r="M23" s="540"/>
      <c r="N23" s="540"/>
      <c r="O23" s="540"/>
      <c r="P23" s="540"/>
      <c r="Q23" s="540"/>
      <c r="R23" s="540"/>
      <c r="S23" s="540"/>
      <c r="T23" s="540"/>
      <c r="U23" s="540"/>
      <c r="V23" s="540"/>
      <c r="W23" s="540"/>
      <c r="X23" s="540"/>
      <c r="Y23" s="540"/>
      <c r="Z23" s="540"/>
      <c r="AA23" s="540"/>
      <c r="AB23" s="540"/>
      <c r="AC23" s="540"/>
      <c r="AD23" s="540"/>
      <c r="AE23" s="540"/>
      <c r="AF23" s="540"/>
      <c r="AG23" s="540"/>
      <c r="AH23" s="540"/>
      <c r="AI23" s="540"/>
      <c r="AJ23" s="540"/>
      <c r="AK23" s="540"/>
      <c r="AL23" s="540"/>
      <c r="AM23" s="540"/>
      <c r="AN23" s="540"/>
      <c r="AO23" s="540"/>
      <c r="AP23" s="540"/>
      <c r="AQ23" s="540"/>
      <c r="AR23" s="540"/>
      <c r="AS23" s="540"/>
      <c r="AT23" s="540"/>
      <c r="AU23" s="540"/>
      <c r="AV23" s="540"/>
      <c r="AW23" s="540"/>
      <c r="AX23" s="540"/>
      <c r="AY23" s="540"/>
      <c r="AZ23" s="540"/>
      <c r="BA23" s="540"/>
      <c r="BB23" s="540"/>
      <c r="BC23" s="540"/>
      <c r="BD23" s="540"/>
      <c r="BE23" s="540"/>
      <c r="BF23" s="540"/>
      <c r="BG23" s="540"/>
      <c r="BH23" s="540"/>
      <c r="BI23" s="540"/>
      <c r="BJ23" s="540"/>
      <c r="BK23" s="540"/>
      <c r="BL23" s="540"/>
      <c r="BM23" s="540"/>
      <c r="BN23" s="540"/>
      <c r="BO23" s="540"/>
      <c r="BP23" s="540"/>
      <c r="BQ23" s="540"/>
      <c r="BR23" s="540"/>
      <c r="BS23" s="540"/>
      <c r="BT23" s="540"/>
      <c r="BU23" s="540"/>
      <c r="BV23" s="540"/>
      <c r="BW23" s="540"/>
      <c r="BX23" s="540"/>
      <c r="BY23" s="540"/>
      <c r="BZ23" s="540"/>
      <c r="CA23" s="540"/>
      <c r="CB23" s="540"/>
      <c r="CC23" s="540"/>
      <c r="CD23" s="540"/>
      <c r="CE23" s="540"/>
      <c r="CF23" s="540"/>
      <c r="CG23" s="540"/>
      <c r="CH23" s="540"/>
      <c r="CI23" s="540"/>
      <c r="CJ23" s="540"/>
      <c r="CK23" s="540"/>
      <c r="CL23" s="540"/>
      <c r="CM23" s="540"/>
      <c r="CN23" s="540"/>
      <c r="CO23" s="540"/>
      <c r="CP23" s="540"/>
      <c r="CQ23" s="540"/>
      <c r="CR23" s="540"/>
      <c r="CS23" s="540"/>
      <c r="CT23" s="540"/>
      <c r="CU23" s="540"/>
      <c r="CV23" s="540"/>
      <c r="CW23" s="540"/>
      <c r="CX23" s="540"/>
      <c r="CY23" s="540"/>
      <c r="CZ23" s="540"/>
      <c r="DA23" s="540"/>
      <c r="DB23" s="540"/>
      <c r="DC23" s="540"/>
      <c r="DD23" s="540"/>
      <c r="DE23" s="540"/>
      <c r="DF23" s="540"/>
      <c r="DG23" s="540"/>
      <c r="DH23" s="540"/>
      <c r="DI23" s="540"/>
      <c r="DJ23" s="540"/>
      <c r="DK23" s="540"/>
      <c r="DL23" s="540"/>
      <c r="DM23" s="540"/>
      <c r="DN23" s="540"/>
      <c r="DO23" s="540"/>
      <c r="DP23" s="540"/>
      <c r="DQ23" s="540"/>
      <c r="DR23" s="540"/>
      <c r="DS23" s="540"/>
      <c r="DT23" s="540"/>
      <c r="DU23" s="540"/>
      <c r="DV23" s="540"/>
      <c r="DW23" s="540"/>
      <c r="DX23" s="540"/>
      <c r="DY23" s="540"/>
      <c r="DZ23" s="540"/>
      <c r="EA23" s="540"/>
      <c r="EB23" s="540"/>
      <c r="EC23" s="540"/>
      <c r="ED23" s="540"/>
      <c r="EE23" s="540"/>
      <c r="EF23" s="540"/>
      <c r="EG23" s="540"/>
      <c r="EH23" s="540"/>
      <c r="EI23" s="540"/>
      <c r="EJ23" s="540"/>
      <c r="EK23" s="540"/>
      <c r="EL23" s="540"/>
      <c r="EM23" s="540"/>
      <c r="EN23" s="540"/>
      <c r="EO23" s="540"/>
      <c r="EP23" s="540"/>
      <c r="EQ23" s="540"/>
      <c r="ER23" s="540"/>
      <c r="ES23" s="540"/>
      <c r="ET23" s="540"/>
      <c r="EU23" s="540"/>
      <c r="EV23" s="540"/>
      <c r="EW23" s="540"/>
      <c r="EX23" s="540"/>
      <c r="EY23" s="540"/>
      <c r="EZ23" s="540"/>
      <c r="FA23" s="540"/>
      <c r="FB23" s="540"/>
      <c r="FC23" s="540"/>
      <c r="FD23" s="540"/>
      <c r="FE23" s="540"/>
      <c r="FF23" s="540"/>
      <c r="FG23" s="540"/>
      <c r="FH23" s="540"/>
      <c r="FI23" s="540"/>
      <c r="FJ23" s="540"/>
      <c r="FK23" s="540"/>
      <c r="FL23" s="540"/>
      <c r="FM23" s="540"/>
      <c r="FN23" s="540"/>
      <c r="FO23" s="540"/>
      <c r="FP23" s="540"/>
      <c r="FQ23" s="540"/>
      <c r="FR23" s="540"/>
      <c r="FS23" s="540"/>
      <c r="FT23" s="540"/>
      <c r="FU23" s="540"/>
      <c r="FV23" s="540"/>
      <c r="FW23" s="540"/>
      <c r="FX23" s="540"/>
      <c r="FY23" s="540"/>
      <c r="FZ23" s="540"/>
      <c r="GA23" s="540"/>
      <c r="GB23" s="540"/>
      <c r="GC23" s="540"/>
      <c r="GD23" s="540"/>
      <c r="GE23" s="540"/>
      <c r="GF23" s="540"/>
      <c r="GG23" s="540"/>
      <c r="GH23" s="540"/>
      <c r="GI23" s="540"/>
      <c r="GJ23" s="540"/>
      <c r="GK23" s="540"/>
      <c r="GL23" s="540"/>
      <c r="GM23" s="540"/>
      <c r="GN23" s="540"/>
      <c r="GO23" s="540"/>
      <c r="GP23" s="540"/>
      <c r="GQ23" s="540"/>
      <c r="GR23" s="540"/>
      <c r="GS23" s="540"/>
      <c r="GT23" s="540"/>
      <c r="GU23" s="540"/>
      <c r="GV23" s="540"/>
      <c r="GW23" s="540"/>
      <c r="GX23" s="540"/>
      <c r="GY23" s="540"/>
      <c r="GZ23" s="540"/>
      <c r="HA23" s="540"/>
      <c r="HB23" s="540"/>
      <c r="HC23" s="540"/>
      <c r="HD23" s="540"/>
      <c r="HE23" s="540"/>
      <c r="HF23" s="540"/>
      <c r="HG23" s="540"/>
      <c r="HH23" s="540"/>
      <c r="HI23" s="540"/>
      <c r="HJ23" s="540"/>
      <c r="HK23" s="540"/>
      <c r="HL23" s="540"/>
      <c r="HM23" s="540"/>
      <c r="HN23" s="540"/>
      <c r="HO23" s="540"/>
      <c r="HP23" s="540"/>
      <c r="HQ23" s="540"/>
      <c r="HR23" s="540"/>
      <c r="HS23" s="540"/>
      <c r="HT23" s="540"/>
      <c r="HU23" s="540"/>
      <c r="HV23" s="540"/>
      <c r="HW23" s="540"/>
      <c r="HX23" s="540"/>
      <c r="HY23" s="540"/>
      <c r="HZ23" s="540"/>
      <c r="IA23" s="540"/>
      <c r="IB23" s="540"/>
      <c r="IC23" s="540"/>
      <c r="ID23" s="540"/>
      <c r="IE23" s="540"/>
      <c r="IF23" s="540"/>
      <c r="IG23" s="540"/>
      <c r="IH23" s="540"/>
      <c r="II23" s="540"/>
      <c r="IJ23" s="540"/>
      <c r="IK23" s="540"/>
      <c r="IL23" s="540"/>
      <c r="IM23" s="540"/>
      <c r="IN23" s="540"/>
      <c r="IO23" s="540"/>
      <c r="IP23" s="540"/>
      <c r="IQ23" s="540"/>
      <c r="IR23" s="540"/>
      <c r="IS23" s="540"/>
      <c r="IT23" s="540"/>
      <c r="IU23" s="540"/>
      <c r="IV23" s="540"/>
    </row>
    <row r="24" spans="1:256">
      <c r="A24" s="822" t="s">
        <v>1276</v>
      </c>
      <c r="B24" s="818" t="s">
        <v>1270</v>
      </c>
      <c r="C24" s="549"/>
      <c r="D24" s="821"/>
      <c r="E24" s="820">
        <f>20000000*8%*4/12</f>
        <v>533333.33333333337</v>
      </c>
    </row>
    <row r="25" spans="1:256" ht="17.25">
      <c r="A25" s="1617" t="s">
        <v>1275</v>
      </c>
      <c r="B25" s="2289"/>
      <c r="C25" s="774"/>
      <c r="D25" s="1632"/>
      <c r="E25" s="1633">
        <f>SUM(E27:E27)</f>
        <v>48600000</v>
      </c>
    </row>
    <row r="26" spans="1:256">
      <c r="A26" s="822" t="s">
        <v>1274</v>
      </c>
      <c r="B26" s="818" t="s">
        <v>1273</v>
      </c>
      <c r="C26" s="549"/>
      <c r="D26" s="821">
        <v>54000</v>
      </c>
      <c r="E26" s="820"/>
    </row>
    <row r="27" spans="1:256">
      <c r="A27" s="822" t="s">
        <v>1272</v>
      </c>
      <c r="B27" s="818" t="s">
        <v>1270</v>
      </c>
      <c r="C27" s="549">
        <v>900</v>
      </c>
      <c r="D27" s="821">
        <f>D26</f>
        <v>54000</v>
      </c>
      <c r="E27" s="820">
        <f>C27*D26</f>
        <v>48600000</v>
      </c>
    </row>
    <row r="28" spans="1:256">
      <c r="A28" s="1617" t="s">
        <v>1271</v>
      </c>
      <c r="B28" s="818" t="s">
        <v>1270</v>
      </c>
      <c r="C28" s="1635"/>
      <c r="D28" s="1632"/>
      <c r="E28" s="1633">
        <f>E25-E12</f>
        <v>22681666.666666668</v>
      </c>
    </row>
    <row r="29" spans="1:256" ht="17.25" thickBot="1">
      <c r="A29" s="1623" t="s">
        <v>1269</v>
      </c>
      <c r="B29" s="813" t="s">
        <v>90</v>
      </c>
      <c r="C29" s="812"/>
      <c r="D29" s="811"/>
      <c r="E29" s="1636">
        <f>E28/E25</f>
        <v>0.46670096021947877</v>
      </c>
    </row>
    <row r="30" spans="1:256" ht="17.25" thickTop="1">
      <c r="A30" s="807"/>
      <c r="B30" s="809"/>
      <c r="C30" s="808"/>
      <c r="D30" s="807"/>
      <c r="E30" s="806"/>
    </row>
    <row r="31" spans="1:256" ht="17.25">
      <c r="A31" s="1625" t="s">
        <v>1268</v>
      </c>
      <c r="E31" s="804"/>
    </row>
    <row r="32" spans="1:256">
      <c r="A32" s="800" t="s">
        <v>1267</v>
      </c>
      <c r="B32" s="802"/>
      <c r="C32" s="801"/>
      <c r="D32" s="800"/>
      <c r="E32" s="800"/>
    </row>
    <row r="33" spans="1:5">
      <c r="A33" s="800" t="s">
        <v>1266</v>
      </c>
      <c r="B33" s="802"/>
      <c r="C33" s="801"/>
      <c r="D33" s="800"/>
      <c r="E33" s="800"/>
    </row>
    <row r="34" spans="1:5">
      <c r="A34" s="800" t="s">
        <v>1265</v>
      </c>
      <c r="B34" s="802"/>
      <c r="C34" s="801"/>
      <c r="D34" s="800"/>
      <c r="E34" s="800"/>
    </row>
    <row r="35" spans="1:5">
      <c r="A35" s="800"/>
      <c r="B35" s="802"/>
      <c r="C35" s="801"/>
      <c r="D35" s="800"/>
      <c r="E35" s="800"/>
    </row>
    <row r="36" spans="1:5">
      <c r="A36" s="1637"/>
      <c r="B36" s="802"/>
      <c r="C36" s="801"/>
      <c r="D36" s="800"/>
      <c r="E36" s="800"/>
    </row>
    <row r="37" spans="1:5">
      <c r="A37" s="800"/>
      <c r="B37" s="802"/>
      <c r="C37" s="801"/>
      <c r="D37" s="800"/>
      <c r="E37" s="800"/>
    </row>
    <row r="38" spans="1:5">
      <c r="A38" s="800"/>
      <c r="B38" s="802"/>
      <c r="C38" s="801"/>
      <c r="D38" s="800"/>
      <c r="E38" s="800"/>
    </row>
    <row r="39" spans="1:5">
      <c r="A39" s="800"/>
      <c r="B39" s="802"/>
      <c r="C39" s="801"/>
      <c r="D39" s="800"/>
      <c r="E39" s="800"/>
    </row>
  </sheetData>
  <mergeCells count="3">
    <mergeCell ref="A7:E7"/>
    <mergeCell ref="A8:E8"/>
    <mergeCell ref="D10:E10"/>
  </mergeCells>
  <pageMargins left="1" right="0.5" top="0.75" bottom="0.75" header="0.5" footer="0.5"/>
  <pageSetup paperSize="9" orientation="portrait" r:id="rId1"/>
  <headerFooter>
    <oddFooter>&amp;CTrang</oddFooter>
  </headerFooter>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IV39"/>
  <sheetViews>
    <sheetView workbookViewId="0">
      <selection activeCell="B6" sqref="B6"/>
    </sheetView>
  </sheetViews>
  <sheetFormatPr defaultRowHeight="16.5"/>
  <cols>
    <col min="1" max="1" width="31.28515625" style="525" customWidth="1"/>
    <col min="2" max="2" width="12.28515625" style="525" customWidth="1"/>
    <col min="3" max="3" width="12.42578125" style="525" customWidth="1"/>
    <col min="4" max="4" width="14.140625" style="525" customWidth="1"/>
    <col min="5" max="6" width="17.42578125" style="525" customWidth="1"/>
    <col min="7" max="256" width="9.140625" style="525"/>
    <col min="257" max="257" width="31.28515625" style="525" customWidth="1"/>
    <col min="258" max="258" width="12.28515625" style="525" customWidth="1"/>
    <col min="259" max="259" width="12.42578125" style="525" customWidth="1"/>
    <col min="260" max="260" width="14.140625" style="525" customWidth="1"/>
    <col min="261" max="262" width="17.42578125" style="525" customWidth="1"/>
    <col min="263" max="512" width="9.140625" style="525"/>
    <col min="513" max="513" width="31.28515625" style="525" customWidth="1"/>
    <col min="514" max="514" width="12.28515625" style="525" customWidth="1"/>
    <col min="515" max="515" width="12.42578125" style="525" customWidth="1"/>
    <col min="516" max="516" width="14.140625" style="525" customWidth="1"/>
    <col min="517" max="518" width="17.42578125" style="525" customWidth="1"/>
    <col min="519" max="768" width="9.140625" style="525"/>
    <col min="769" max="769" width="31.28515625" style="525" customWidth="1"/>
    <col min="770" max="770" width="12.28515625" style="525" customWidth="1"/>
    <col min="771" max="771" width="12.42578125" style="525" customWidth="1"/>
    <col min="772" max="772" width="14.140625" style="525" customWidth="1"/>
    <col min="773" max="774" width="17.42578125" style="525" customWidth="1"/>
    <col min="775" max="1024" width="9.140625" style="525"/>
    <col min="1025" max="1025" width="31.28515625" style="525" customWidth="1"/>
    <col min="1026" max="1026" width="12.28515625" style="525" customWidth="1"/>
    <col min="1027" max="1027" width="12.42578125" style="525" customWidth="1"/>
    <col min="1028" max="1028" width="14.140625" style="525" customWidth="1"/>
    <col min="1029" max="1030" width="17.42578125" style="525" customWidth="1"/>
    <col min="1031" max="1280" width="9.140625" style="525"/>
    <col min="1281" max="1281" width="31.28515625" style="525" customWidth="1"/>
    <col min="1282" max="1282" width="12.28515625" style="525" customWidth="1"/>
    <col min="1283" max="1283" width="12.42578125" style="525" customWidth="1"/>
    <col min="1284" max="1284" width="14.140625" style="525" customWidth="1"/>
    <col min="1285" max="1286" width="17.42578125" style="525" customWidth="1"/>
    <col min="1287" max="1536" width="9.140625" style="525"/>
    <col min="1537" max="1537" width="31.28515625" style="525" customWidth="1"/>
    <col min="1538" max="1538" width="12.28515625" style="525" customWidth="1"/>
    <col min="1539" max="1539" width="12.42578125" style="525" customWidth="1"/>
    <col min="1540" max="1540" width="14.140625" style="525" customWidth="1"/>
    <col min="1541" max="1542" width="17.42578125" style="525" customWidth="1"/>
    <col min="1543" max="1792" width="9.140625" style="525"/>
    <col min="1793" max="1793" width="31.28515625" style="525" customWidth="1"/>
    <col min="1794" max="1794" width="12.28515625" style="525" customWidth="1"/>
    <col min="1795" max="1795" width="12.42578125" style="525" customWidth="1"/>
    <col min="1796" max="1796" width="14.140625" style="525" customWidth="1"/>
    <col min="1797" max="1798" width="17.42578125" style="525" customWidth="1"/>
    <col min="1799" max="2048" width="9.140625" style="525"/>
    <col min="2049" max="2049" width="31.28515625" style="525" customWidth="1"/>
    <col min="2050" max="2050" width="12.28515625" style="525" customWidth="1"/>
    <col min="2051" max="2051" width="12.42578125" style="525" customWidth="1"/>
    <col min="2052" max="2052" width="14.140625" style="525" customWidth="1"/>
    <col min="2053" max="2054" width="17.42578125" style="525" customWidth="1"/>
    <col min="2055" max="2304" width="9.140625" style="525"/>
    <col min="2305" max="2305" width="31.28515625" style="525" customWidth="1"/>
    <col min="2306" max="2306" width="12.28515625" style="525" customWidth="1"/>
    <col min="2307" max="2307" width="12.42578125" style="525" customWidth="1"/>
    <col min="2308" max="2308" width="14.140625" style="525" customWidth="1"/>
    <col min="2309" max="2310" width="17.42578125" style="525" customWidth="1"/>
    <col min="2311" max="2560" width="9.140625" style="525"/>
    <col min="2561" max="2561" width="31.28515625" style="525" customWidth="1"/>
    <col min="2562" max="2562" width="12.28515625" style="525" customWidth="1"/>
    <col min="2563" max="2563" width="12.42578125" style="525" customWidth="1"/>
    <col min="2564" max="2564" width="14.140625" style="525" customWidth="1"/>
    <col min="2565" max="2566" width="17.42578125" style="525" customWidth="1"/>
    <col min="2567" max="2816" width="9.140625" style="525"/>
    <col min="2817" max="2817" width="31.28515625" style="525" customWidth="1"/>
    <col min="2818" max="2818" width="12.28515625" style="525" customWidth="1"/>
    <col min="2819" max="2819" width="12.42578125" style="525" customWidth="1"/>
    <col min="2820" max="2820" width="14.140625" style="525" customWidth="1"/>
    <col min="2821" max="2822" width="17.42578125" style="525" customWidth="1"/>
    <col min="2823" max="3072" width="9.140625" style="525"/>
    <col min="3073" max="3073" width="31.28515625" style="525" customWidth="1"/>
    <col min="3074" max="3074" width="12.28515625" style="525" customWidth="1"/>
    <col min="3075" max="3075" width="12.42578125" style="525" customWidth="1"/>
    <col min="3076" max="3076" width="14.140625" style="525" customWidth="1"/>
    <col min="3077" max="3078" width="17.42578125" style="525" customWidth="1"/>
    <col min="3079" max="3328" width="9.140625" style="525"/>
    <col min="3329" max="3329" width="31.28515625" style="525" customWidth="1"/>
    <col min="3330" max="3330" width="12.28515625" style="525" customWidth="1"/>
    <col min="3331" max="3331" width="12.42578125" style="525" customWidth="1"/>
    <col min="3332" max="3332" width="14.140625" style="525" customWidth="1"/>
    <col min="3333" max="3334" width="17.42578125" style="525" customWidth="1"/>
    <col min="3335" max="3584" width="9.140625" style="525"/>
    <col min="3585" max="3585" width="31.28515625" style="525" customWidth="1"/>
    <col min="3586" max="3586" width="12.28515625" style="525" customWidth="1"/>
    <col min="3587" max="3587" width="12.42578125" style="525" customWidth="1"/>
    <col min="3588" max="3588" width="14.140625" style="525" customWidth="1"/>
    <col min="3589" max="3590" width="17.42578125" style="525" customWidth="1"/>
    <col min="3591" max="3840" width="9.140625" style="525"/>
    <col min="3841" max="3841" width="31.28515625" style="525" customWidth="1"/>
    <col min="3842" max="3842" width="12.28515625" style="525" customWidth="1"/>
    <col min="3843" max="3843" width="12.42578125" style="525" customWidth="1"/>
    <col min="3844" max="3844" width="14.140625" style="525" customWidth="1"/>
    <col min="3845" max="3846" width="17.42578125" style="525" customWidth="1"/>
    <col min="3847" max="4096" width="9.140625" style="525"/>
    <col min="4097" max="4097" width="31.28515625" style="525" customWidth="1"/>
    <col min="4098" max="4098" width="12.28515625" style="525" customWidth="1"/>
    <col min="4099" max="4099" width="12.42578125" style="525" customWidth="1"/>
    <col min="4100" max="4100" width="14.140625" style="525" customWidth="1"/>
    <col min="4101" max="4102" width="17.42578125" style="525" customWidth="1"/>
    <col min="4103" max="4352" width="9.140625" style="525"/>
    <col min="4353" max="4353" width="31.28515625" style="525" customWidth="1"/>
    <col min="4354" max="4354" width="12.28515625" style="525" customWidth="1"/>
    <col min="4355" max="4355" width="12.42578125" style="525" customWidth="1"/>
    <col min="4356" max="4356" width="14.140625" style="525" customWidth="1"/>
    <col min="4357" max="4358" width="17.42578125" style="525" customWidth="1"/>
    <col min="4359" max="4608" width="9.140625" style="525"/>
    <col min="4609" max="4609" width="31.28515625" style="525" customWidth="1"/>
    <col min="4610" max="4610" width="12.28515625" style="525" customWidth="1"/>
    <col min="4611" max="4611" width="12.42578125" style="525" customWidth="1"/>
    <col min="4612" max="4612" width="14.140625" style="525" customWidth="1"/>
    <col min="4613" max="4614" width="17.42578125" style="525" customWidth="1"/>
    <col min="4615" max="4864" width="9.140625" style="525"/>
    <col min="4865" max="4865" width="31.28515625" style="525" customWidth="1"/>
    <col min="4866" max="4866" width="12.28515625" style="525" customWidth="1"/>
    <col min="4867" max="4867" width="12.42578125" style="525" customWidth="1"/>
    <col min="4868" max="4868" width="14.140625" style="525" customWidth="1"/>
    <col min="4869" max="4870" width="17.42578125" style="525" customWidth="1"/>
    <col min="4871" max="5120" width="9.140625" style="525"/>
    <col min="5121" max="5121" width="31.28515625" style="525" customWidth="1"/>
    <col min="5122" max="5122" width="12.28515625" style="525" customWidth="1"/>
    <col min="5123" max="5123" width="12.42578125" style="525" customWidth="1"/>
    <col min="5124" max="5124" width="14.140625" style="525" customWidth="1"/>
    <col min="5125" max="5126" width="17.42578125" style="525" customWidth="1"/>
    <col min="5127" max="5376" width="9.140625" style="525"/>
    <col min="5377" max="5377" width="31.28515625" style="525" customWidth="1"/>
    <col min="5378" max="5378" width="12.28515625" style="525" customWidth="1"/>
    <col min="5379" max="5379" width="12.42578125" style="525" customWidth="1"/>
    <col min="5380" max="5380" width="14.140625" style="525" customWidth="1"/>
    <col min="5381" max="5382" width="17.42578125" style="525" customWidth="1"/>
    <col min="5383" max="5632" width="9.140625" style="525"/>
    <col min="5633" max="5633" width="31.28515625" style="525" customWidth="1"/>
    <col min="5634" max="5634" width="12.28515625" style="525" customWidth="1"/>
    <col min="5635" max="5635" width="12.42578125" style="525" customWidth="1"/>
    <col min="5636" max="5636" width="14.140625" style="525" customWidth="1"/>
    <col min="5637" max="5638" width="17.42578125" style="525" customWidth="1"/>
    <col min="5639" max="5888" width="9.140625" style="525"/>
    <col min="5889" max="5889" width="31.28515625" style="525" customWidth="1"/>
    <col min="5890" max="5890" width="12.28515625" style="525" customWidth="1"/>
    <col min="5891" max="5891" width="12.42578125" style="525" customWidth="1"/>
    <col min="5892" max="5892" width="14.140625" style="525" customWidth="1"/>
    <col min="5893" max="5894" width="17.42578125" style="525" customWidth="1"/>
    <col min="5895" max="6144" width="9.140625" style="525"/>
    <col min="6145" max="6145" width="31.28515625" style="525" customWidth="1"/>
    <col min="6146" max="6146" width="12.28515625" style="525" customWidth="1"/>
    <col min="6147" max="6147" width="12.42578125" style="525" customWidth="1"/>
    <col min="6148" max="6148" width="14.140625" style="525" customWidth="1"/>
    <col min="6149" max="6150" width="17.42578125" style="525" customWidth="1"/>
    <col min="6151" max="6400" width="9.140625" style="525"/>
    <col min="6401" max="6401" width="31.28515625" style="525" customWidth="1"/>
    <col min="6402" max="6402" width="12.28515625" style="525" customWidth="1"/>
    <col min="6403" max="6403" width="12.42578125" style="525" customWidth="1"/>
    <col min="6404" max="6404" width="14.140625" style="525" customWidth="1"/>
    <col min="6405" max="6406" width="17.42578125" style="525" customWidth="1"/>
    <col min="6407" max="6656" width="9.140625" style="525"/>
    <col min="6657" max="6657" width="31.28515625" style="525" customWidth="1"/>
    <col min="6658" max="6658" width="12.28515625" style="525" customWidth="1"/>
    <col min="6659" max="6659" width="12.42578125" style="525" customWidth="1"/>
    <col min="6660" max="6660" width="14.140625" style="525" customWidth="1"/>
    <col min="6661" max="6662" width="17.42578125" style="525" customWidth="1"/>
    <col min="6663" max="6912" width="9.140625" style="525"/>
    <col min="6913" max="6913" width="31.28515625" style="525" customWidth="1"/>
    <col min="6914" max="6914" width="12.28515625" style="525" customWidth="1"/>
    <col min="6915" max="6915" width="12.42578125" style="525" customWidth="1"/>
    <col min="6916" max="6916" width="14.140625" style="525" customWidth="1"/>
    <col min="6917" max="6918" width="17.42578125" style="525" customWidth="1"/>
    <col min="6919" max="7168" width="9.140625" style="525"/>
    <col min="7169" max="7169" width="31.28515625" style="525" customWidth="1"/>
    <col min="7170" max="7170" width="12.28515625" style="525" customWidth="1"/>
    <col min="7171" max="7171" width="12.42578125" style="525" customWidth="1"/>
    <col min="7172" max="7172" width="14.140625" style="525" customWidth="1"/>
    <col min="7173" max="7174" width="17.42578125" style="525" customWidth="1"/>
    <col min="7175" max="7424" width="9.140625" style="525"/>
    <col min="7425" max="7425" width="31.28515625" style="525" customWidth="1"/>
    <col min="7426" max="7426" width="12.28515625" style="525" customWidth="1"/>
    <col min="7427" max="7427" width="12.42578125" style="525" customWidth="1"/>
    <col min="7428" max="7428" width="14.140625" style="525" customWidth="1"/>
    <col min="7429" max="7430" width="17.42578125" style="525" customWidth="1"/>
    <col min="7431" max="7680" width="9.140625" style="525"/>
    <col min="7681" max="7681" width="31.28515625" style="525" customWidth="1"/>
    <col min="7682" max="7682" width="12.28515625" style="525" customWidth="1"/>
    <col min="7683" max="7683" width="12.42578125" style="525" customWidth="1"/>
    <col min="7684" max="7684" width="14.140625" style="525" customWidth="1"/>
    <col min="7685" max="7686" width="17.42578125" style="525" customWidth="1"/>
    <col min="7687" max="7936" width="9.140625" style="525"/>
    <col min="7937" max="7937" width="31.28515625" style="525" customWidth="1"/>
    <col min="7938" max="7938" width="12.28515625" style="525" customWidth="1"/>
    <col min="7939" max="7939" width="12.42578125" style="525" customWidth="1"/>
    <col min="7940" max="7940" width="14.140625" style="525" customWidth="1"/>
    <col min="7941" max="7942" width="17.42578125" style="525" customWidth="1"/>
    <col min="7943" max="8192" width="9.140625" style="525"/>
    <col min="8193" max="8193" width="31.28515625" style="525" customWidth="1"/>
    <col min="8194" max="8194" width="12.28515625" style="525" customWidth="1"/>
    <col min="8195" max="8195" width="12.42578125" style="525" customWidth="1"/>
    <col min="8196" max="8196" width="14.140625" style="525" customWidth="1"/>
    <col min="8197" max="8198" width="17.42578125" style="525" customWidth="1"/>
    <col min="8199" max="8448" width="9.140625" style="525"/>
    <col min="8449" max="8449" width="31.28515625" style="525" customWidth="1"/>
    <col min="8450" max="8450" width="12.28515625" style="525" customWidth="1"/>
    <col min="8451" max="8451" width="12.42578125" style="525" customWidth="1"/>
    <col min="8452" max="8452" width="14.140625" style="525" customWidth="1"/>
    <col min="8453" max="8454" width="17.42578125" style="525" customWidth="1"/>
    <col min="8455" max="8704" width="9.140625" style="525"/>
    <col min="8705" max="8705" width="31.28515625" style="525" customWidth="1"/>
    <col min="8706" max="8706" width="12.28515625" style="525" customWidth="1"/>
    <col min="8707" max="8707" width="12.42578125" style="525" customWidth="1"/>
    <col min="8708" max="8708" width="14.140625" style="525" customWidth="1"/>
    <col min="8709" max="8710" width="17.42578125" style="525" customWidth="1"/>
    <col min="8711" max="8960" width="9.140625" style="525"/>
    <col min="8961" max="8961" width="31.28515625" style="525" customWidth="1"/>
    <col min="8962" max="8962" width="12.28515625" style="525" customWidth="1"/>
    <col min="8963" max="8963" width="12.42578125" style="525" customWidth="1"/>
    <col min="8964" max="8964" width="14.140625" style="525" customWidth="1"/>
    <col min="8965" max="8966" width="17.42578125" style="525" customWidth="1"/>
    <col min="8967" max="9216" width="9.140625" style="525"/>
    <col min="9217" max="9217" width="31.28515625" style="525" customWidth="1"/>
    <col min="9218" max="9218" width="12.28515625" style="525" customWidth="1"/>
    <col min="9219" max="9219" width="12.42578125" style="525" customWidth="1"/>
    <col min="9220" max="9220" width="14.140625" style="525" customWidth="1"/>
    <col min="9221" max="9222" width="17.42578125" style="525" customWidth="1"/>
    <col min="9223" max="9472" width="9.140625" style="525"/>
    <col min="9473" max="9473" width="31.28515625" style="525" customWidth="1"/>
    <col min="9474" max="9474" width="12.28515625" style="525" customWidth="1"/>
    <col min="9475" max="9475" width="12.42578125" style="525" customWidth="1"/>
    <col min="9476" max="9476" width="14.140625" style="525" customWidth="1"/>
    <col min="9477" max="9478" width="17.42578125" style="525" customWidth="1"/>
    <col min="9479" max="9728" width="9.140625" style="525"/>
    <col min="9729" max="9729" width="31.28515625" style="525" customWidth="1"/>
    <col min="9730" max="9730" width="12.28515625" style="525" customWidth="1"/>
    <col min="9731" max="9731" width="12.42578125" style="525" customWidth="1"/>
    <col min="9732" max="9732" width="14.140625" style="525" customWidth="1"/>
    <col min="9733" max="9734" width="17.42578125" style="525" customWidth="1"/>
    <col min="9735" max="9984" width="9.140625" style="525"/>
    <col min="9985" max="9985" width="31.28515625" style="525" customWidth="1"/>
    <col min="9986" max="9986" width="12.28515625" style="525" customWidth="1"/>
    <col min="9987" max="9987" width="12.42578125" style="525" customWidth="1"/>
    <col min="9988" max="9988" width="14.140625" style="525" customWidth="1"/>
    <col min="9989" max="9990" width="17.42578125" style="525" customWidth="1"/>
    <col min="9991" max="10240" width="9.140625" style="525"/>
    <col min="10241" max="10241" width="31.28515625" style="525" customWidth="1"/>
    <col min="10242" max="10242" width="12.28515625" style="525" customWidth="1"/>
    <col min="10243" max="10243" width="12.42578125" style="525" customWidth="1"/>
    <col min="10244" max="10244" width="14.140625" style="525" customWidth="1"/>
    <col min="10245" max="10246" width="17.42578125" style="525" customWidth="1"/>
    <col min="10247" max="10496" width="9.140625" style="525"/>
    <col min="10497" max="10497" width="31.28515625" style="525" customWidth="1"/>
    <col min="10498" max="10498" width="12.28515625" style="525" customWidth="1"/>
    <col min="10499" max="10499" width="12.42578125" style="525" customWidth="1"/>
    <col min="10500" max="10500" width="14.140625" style="525" customWidth="1"/>
    <col min="10501" max="10502" width="17.42578125" style="525" customWidth="1"/>
    <col min="10503" max="10752" width="9.140625" style="525"/>
    <col min="10753" max="10753" width="31.28515625" style="525" customWidth="1"/>
    <col min="10754" max="10754" width="12.28515625" style="525" customWidth="1"/>
    <col min="10755" max="10755" width="12.42578125" style="525" customWidth="1"/>
    <col min="10756" max="10756" width="14.140625" style="525" customWidth="1"/>
    <col min="10757" max="10758" width="17.42578125" style="525" customWidth="1"/>
    <col min="10759" max="11008" width="9.140625" style="525"/>
    <col min="11009" max="11009" width="31.28515625" style="525" customWidth="1"/>
    <col min="11010" max="11010" width="12.28515625" style="525" customWidth="1"/>
    <col min="11011" max="11011" width="12.42578125" style="525" customWidth="1"/>
    <col min="11012" max="11012" width="14.140625" style="525" customWidth="1"/>
    <col min="11013" max="11014" width="17.42578125" style="525" customWidth="1"/>
    <col min="11015" max="11264" width="9.140625" style="525"/>
    <col min="11265" max="11265" width="31.28515625" style="525" customWidth="1"/>
    <col min="11266" max="11266" width="12.28515625" style="525" customWidth="1"/>
    <col min="11267" max="11267" width="12.42578125" style="525" customWidth="1"/>
    <col min="11268" max="11268" width="14.140625" style="525" customWidth="1"/>
    <col min="11269" max="11270" width="17.42578125" style="525" customWidth="1"/>
    <col min="11271" max="11520" width="9.140625" style="525"/>
    <col min="11521" max="11521" width="31.28515625" style="525" customWidth="1"/>
    <col min="11522" max="11522" width="12.28515625" style="525" customWidth="1"/>
    <col min="11523" max="11523" width="12.42578125" style="525" customWidth="1"/>
    <col min="11524" max="11524" width="14.140625" style="525" customWidth="1"/>
    <col min="11525" max="11526" width="17.42578125" style="525" customWidth="1"/>
    <col min="11527" max="11776" width="9.140625" style="525"/>
    <col min="11777" max="11777" width="31.28515625" style="525" customWidth="1"/>
    <col min="11778" max="11778" width="12.28515625" style="525" customWidth="1"/>
    <col min="11779" max="11779" width="12.42578125" style="525" customWidth="1"/>
    <col min="11780" max="11780" width="14.140625" style="525" customWidth="1"/>
    <col min="11781" max="11782" width="17.42578125" style="525" customWidth="1"/>
    <col min="11783" max="12032" width="9.140625" style="525"/>
    <col min="12033" max="12033" width="31.28515625" style="525" customWidth="1"/>
    <col min="12034" max="12034" width="12.28515625" style="525" customWidth="1"/>
    <col min="12035" max="12035" width="12.42578125" style="525" customWidth="1"/>
    <col min="12036" max="12036" width="14.140625" style="525" customWidth="1"/>
    <col min="12037" max="12038" width="17.42578125" style="525" customWidth="1"/>
    <col min="12039" max="12288" width="9.140625" style="525"/>
    <col min="12289" max="12289" width="31.28515625" style="525" customWidth="1"/>
    <col min="12290" max="12290" width="12.28515625" style="525" customWidth="1"/>
    <col min="12291" max="12291" width="12.42578125" style="525" customWidth="1"/>
    <col min="12292" max="12292" width="14.140625" style="525" customWidth="1"/>
    <col min="12293" max="12294" width="17.42578125" style="525" customWidth="1"/>
    <col min="12295" max="12544" width="9.140625" style="525"/>
    <col min="12545" max="12545" width="31.28515625" style="525" customWidth="1"/>
    <col min="12546" max="12546" width="12.28515625" style="525" customWidth="1"/>
    <col min="12547" max="12547" width="12.42578125" style="525" customWidth="1"/>
    <col min="12548" max="12548" width="14.140625" style="525" customWidth="1"/>
    <col min="12549" max="12550" width="17.42578125" style="525" customWidth="1"/>
    <col min="12551" max="12800" width="9.140625" style="525"/>
    <col min="12801" max="12801" width="31.28515625" style="525" customWidth="1"/>
    <col min="12802" max="12802" width="12.28515625" style="525" customWidth="1"/>
    <col min="12803" max="12803" width="12.42578125" style="525" customWidth="1"/>
    <col min="12804" max="12804" width="14.140625" style="525" customWidth="1"/>
    <col min="12805" max="12806" width="17.42578125" style="525" customWidth="1"/>
    <col min="12807" max="13056" width="9.140625" style="525"/>
    <col min="13057" max="13057" width="31.28515625" style="525" customWidth="1"/>
    <col min="13058" max="13058" width="12.28515625" style="525" customWidth="1"/>
    <col min="13059" max="13059" width="12.42578125" style="525" customWidth="1"/>
    <col min="13060" max="13060" width="14.140625" style="525" customWidth="1"/>
    <col min="13061" max="13062" width="17.42578125" style="525" customWidth="1"/>
    <col min="13063" max="13312" width="9.140625" style="525"/>
    <col min="13313" max="13313" width="31.28515625" style="525" customWidth="1"/>
    <col min="13314" max="13314" width="12.28515625" style="525" customWidth="1"/>
    <col min="13315" max="13315" width="12.42578125" style="525" customWidth="1"/>
    <col min="13316" max="13316" width="14.140625" style="525" customWidth="1"/>
    <col min="13317" max="13318" width="17.42578125" style="525" customWidth="1"/>
    <col min="13319" max="13568" width="9.140625" style="525"/>
    <col min="13569" max="13569" width="31.28515625" style="525" customWidth="1"/>
    <col min="13570" max="13570" width="12.28515625" style="525" customWidth="1"/>
    <col min="13571" max="13571" width="12.42578125" style="525" customWidth="1"/>
    <col min="13572" max="13572" width="14.140625" style="525" customWidth="1"/>
    <col min="13573" max="13574" width="17.42578125" style="525" customWidth="1"/>
    <col min="13575" max="13824" width="9.140625" style="525"/>
    <col min="13825" max="13825" width="31.28515625" style="525" customWidth="1"/>
    <col min="13826" max="13826" width="12.28515625" style="525" customWidth="1"/>
    <col min="13827" max="13827" width="12.42578125" style="525" customWidth="1"/>
    <col min="13828" max="13828" width="14.140625" style="525" customWidth="1"/>
    <col min="13829" max="13830" width="17.42578125" style="525" customWidth="1"/>
    <col min="13831" max="14080" width="9.140625" style="525"/>
    <col min="14081" max="14081" width="31.28515625" style="525" customWidth="1"/>
    <col min="14082" max="14082" width="12.28515625" style="525" customWidth="1"/>
    <col min="14083" max="14083" width="12.42578125" style="525" customWidth="1"/>
    <col min="14084" max="14084" width="14.140625" style="525" customWidth="1"/>
    <col min="14085" max="14086" width="17.42578125" style="525" customWidth="1"/>
    <col min="14087" max="14336" width="9.140625" style="525"/>
    <col min="14337" max="14337" width="31.28515625" style="525" customWidth="1"/>
    <col min="14338" max="14338" width="12.28515625" style="525" customWidth="1"/>
    <col min="14339" max="14339" width="12.42578125" style="525" customWidth="1"/>
    <col min="14340" max="14340" width="14.140625" style="525" customWidth="1"/>
    <col min="14341" max="14342" width="17.42578125" style="525" customWidth="1"/>
    <col min="14343" max="14592" width="9.140625" style="525"/>
    <col min="14593" max="14593" width="31.28515625" style="525" customWidth="1"/>
    <col min="14594" max="14594" width="12.28515625" style="525" customWidth="1"/>
    <col min="14595" max="14595" width="12.42578125" style="525" customWidth="1"/>
    <col min="14596" max="14596" width="14.140625" style="525" customWidth="1"/>
    <col min="14597" max="14598" width="17.42578125" style="525" customWidth="1"/>
    <col min="14599" max="14848" width="9.140625" style="525"/>
    <col min="14849" max="14849" width="31.28515625" style="525" customWidth="1"/>
    <col min="14850" max="14850" width="12.28515625" style="525" customWidth="1"/>
    <col min="14851" max="14851" width="12.42578125" style="525" customWidth="1"/>
    <col min="14852" max="14852" width="14.140625" style="525" customWidth="1"/>
    <col min="14853" max="14854" width="17.42578125" style="525" customWidth="1"/>
    <col min="14855" max="15104" width="9.140625" style="525"/>
    <col min="15105" max="15105" width="31.28515625" style="525" customWidth="1"/>
    <col min="15106" max="15106" width="12.28515625" style="525" customWidth="1"/>
    <col min="15107" max="15107" width="12.42578125" style="525" customWidth="1"/>
    <col min="15108" max="15108" width="14.140625" style="525" customWidth="1"/>
    <col min="15109" max="15110" width="17.42578125" style="525" customWidth="1"/>
    <col min="15111" max="15360" width="9.140625" style="525"/>
    <col min="15361" max="15361" width="31.28515625" style="525" customWidth="1"/>
    <col min="15362" max="15362" width="12.28515625" style="525" customWidth="1"/>
    <col min="15363" max="15363" width="12.42578125" style="525" customWidth="1"/>
    <col min="15364" max="15364" width="14.140625" style="525" customWidth="1"/>
    <col min="15365" max="15366" width="17.42578125" style="525" customWidth="1"/>
    <col min="15367" max="15616" width="9.140625" style="525"/>
    <col min="15617" max="15617" width="31.28515625" style="525" customWidth="1"/>
    <col min="15618" max="15618" width="12.28515625" style="525" customWidth="1"/>
    <col min="15619" max="15619" width="12.42578125" style="525" customWidth="1"/>
    <col min="15620" max="15620" width="14.140625" style="525" customWidth="1"/>
    <col min="15621" max="15622" width="17.42578125" style="525" customWidth="1"/>
    <col min="15623" max="15872" width="9.140625" style="525"/>
    <col min="15873" max="15873" width="31.28515625" style="525" customWidth="1"/>
    <col min="15874" max="15874" width="12.28515625" style="525" customWidth="1"/>
    <col min="15875" max="15875" width="12.42578125" style="525" customWidth="1"/>
    <col min="15876" max="15876" width="14.140625" style="525" customWidth="1"/>
    <col min="15877" max="15878" width="17.42578125" style="525" customWidth="1"/>
    <col min="15879" max="16128" width="9.140625" style="525"/>
    <col min="16129" max="16129" width="31.28515625" style="525" customWidth="1"/>
    <col min="16130" max="16130" width="12.28515625" style="525" customWidth="1"/>
    <col min="16131" max="16131" width="12.42578125" style="525" customWidth="1"/>
    <col min="16132" max="16132" width="14.140625" style="525" customWidth="1"/>
    <col min="16133" max="16134" width="17.42578125" style="525" customWidth="1"/>
    <col min="16135" max="16384" width="9.140625" style="525"/>
  </cols>
  <sheetData>
    <row r="1" spans="1:256">
      <c r="C1" s="525" t="s">
        <v>2548</v>
      </c>
      <c r="G1" s="1388" t="s">
        <v>1020</v>
      </c>
    </row>
    <row r="6" spans="1:256" ht="18.75" customHeight="1"/>
    <row r="7" spans="1:256">
      <c r="A7" s="2376" t="s">
        <v>1298</v>
      </c>
      <c r="B7" s="2376"/>
      <c r="C7" s="2376"/>
      <c r="D7" s="2376"/>
      <c r="E7" s="2376"/>
    </row>
    <row r="8" spans="1:256">
      <c r="A8" s="2377" t="s">
        <v>1295</v>
      </c>
      <c r="B8" s="2377"/>
      <c r="C8" s="2377"/>
      <c r="D8" s="2377"/>
      <c r="E8" s="2377"/>
    </row>
    <row r="9" spans="1:256" ht="17.25" thickBot="1">
      <c r="A9" s="807"/>
      <c r="B9" s="802"/>
      <c r="C9" s="801"/>
      <c r="D9" s="800"/>
      <c r="E9" s="1616" t="s">
        <v>1263</v>
      </c>
    </row>
    <row r="10" spans="1:256" ht="17.25" thickTop="1">
      <c r="A10" s="838" t="s">
        <v>1294</v>
      </c>
      <c r="B10" s="837" t="s">
        <v>2</v>
      </c>
      <c r="C10" s="836" t="s">
        <v>1293</v>
      </c>
      <c r="D10" s="2378" t="s">
        <v>1292</v>
      </c>
      <c r="E10" s="2379"/>
      <c r="F10" s="805"/>
      <c r="G10" s="805"/>
      <c r="H10" s="805"/>
      <c r="I10" s="805"/>
      <c r="J10" s="805"/>
      <c r="K10" s="805"/>
      <c r="L10" s="805"/>
      <c r="M10" s="805"/>
      <c r="N10" s="805"/>
      <c r="O10" s="805"/>
      <c r="P10" s="805"/>
      <c r="Q10" s="805"/>
      <c r="R10" s="805"/>
      <c r="S10" s="805"/>
      <c r="T10" s="805"/>
      <c r="U10" s="805"/>
      <c r="V10" s="805"/>
      <c r="W10" s="805"/>
      <c r="X10" s="805"/>
      <c r="Y10" s="805"/>
      <c r="Z10" s="805"/>
      <c r="AA10" s="805"/>
      <c r="AB10" s="805"/>
      <c r="AC10" s="805"/>
      <c r="AD10" s="805"/>
      <c r="AE10" s="805"/>
      <c r="AF10" s="805"/>
      <c r="AG10" s="805"/>
      <c r="AH10" s="805"/>
      <c r="AI10" s="805"/>
      <c r="AJ10" s="805"/>
      <c r="AK10" s="805"/>
      <c r="AL10" s="805"/>
      <c r="AM10" s="805"/>
      <c r="AN10" s="805"/>
      <c r="AO10" s="805"/>
      <c r="AP10" s="805"/>
      <c r="AQ10" s="805"/>
      <c r="AR10" s="805"/>
      <c r="AS10" s="805"/>
      <c r="AT10" s="805"/>
      <c r="AU10" s="805"/>
      <c r="AV10" s="805"/>
      <c r="AW10" s="805"/>
      <c r="AX10" s="805"/>
      <c r="AY10" s="805"/>
      <c r="AZ10" s="805"/>
      <c r="BA10" s="805"/>
      <c r="BB10" s="805"/>
      <c r="BC10" s="805"/>
      <c r="BD10" s="805"/>
      <c r="BE10" s="805"/>
      <c r="BF10" s="805"/>
      <c r="BG10" s="805"/>
      <c r="BH10" s="805"/>
      <c r="BI10" s="805"/>
      <c r="BJ10" s="805"/>
      <c r="BK10" s="805"/>
      <c r="BL10" s="805"/>
      <c r="BM10" s="805"/>
      <c r="BN10" s="805"/>
      <c r="BO10" s="805"/>
      <c r="BP10" s="805"/>
      <c r="BQ10" s="805"/>
      <c r="BR10" s="805"/>
      <c r="BS10" s="805"/>
      <c r="BT10" s="805"/>
      <c r="BU10" s="805"/>
      <c r="BV10" s="805"/>
      <c r="BW10" s="805"/>
      <c r="BX10" s="805"/>
      <c r="BY10" s="805"/>
      <c r="BZ10" s="805"/>
      <c r="CA10" s="805"/>
      <c r="CB10" s="805"/>
      <c r="CC10" s="805"/>
      <c r="CD10" s="805"/>
      <c r="CE10" s="805"/>
      <c r="CF10" s="805"/>
      <c r="CG10" s="805"/>
      <c r="CH10" s="805"/>
      <c r="CI10" s="805"/>
      <c r="CJ10" s="805"/>
      <c r="CK10" s="805"/>
      <c r="CL10" s="805"/>
      <c r="CM10" s="805"/>
      <c r="CN10" s="805"/>
      <c r="CO10" s="805"/>
      <c r="CP10" s="805"/>
      <c r="CQ10" s="805"/>
      <c r="CR10" s="805"/>
      <c r="CS10" s="805"/>
      <c r="CT10" s="805"/>
      <c r="CU10" s="805"/>
      <c r="CV10" s="805"/>
      <c r="CW10" s="805"/>
      <c r="CX10" s="805"/>
      <c r="CY10" s="805"/>
      <c r="CZ10" s="805"/>
      <c r="DA10" s="805"/>
      <c r="DB10" s="805"/>
      <c r="DC10" s="805"/>
      <c r="DD10" s="805"/>
      <c r="DE10" s="805"/>
      <c r="DF10" s="805"/>
      <c r="DG10" s="805"/>
      <c r="DH10" s="805"/>
      <c r="DI10" s="805"/>
      <c r="DJ10" s="805"/>
      <c r="DK10" s="805"/>
      <c r="DL10" s="805"/>
      <c r="DM10" s="805"/>
      <c r="DN10" s="805"/>
      <c r="DO10" s="805"/>
      <c r="DP10" s="805"/>
      <c r="DQ10" s="805"/>
      <c r="DR10" s="805"/>
      <c r="DS10" s="805"/>
      <c r="DT10" s="805"/>
      <c r="DU10" s="805"/>
      <c r="DV10" s="805"/>
      <c r="DW10" s="805"/>
      <c r="DX10" s="805"/>
      <c r="DY10" s="805"/>
      <c r="DZ10" s="805"/>
      <c r="EA10" s="805"/>
      <c r="EB10" s="805"/>
      <c r="EC10" s="805"/>
      <c r="ED10" s="805"/>
      <c r="EE10" s="805"/>
      <c r="EF10" s="805"/>
      <c r="EG10" s="805"/>
      <c r="EH10" s="805"/>
      <c r="EI10" s="805"/>
      <c r="EJ10" s="805"/>
      <c r="EK10" s="805"/>
      <c r="EL10" s="805"/>
      <c r="EM10" s="805"/>
      <c r="EN10" s="805"/>
      <c r="EO10" s="805"/>
      <c r="EP10" s="805"/>
      <c r="EQ10" s="805"/>
      <c r="ER10" s="805"/>
      <c r="ES10" s="805"/>
      <c r="ET10" s="805"/>
      <c r="EU10" s="805"/>
      <c r="EV10" s="805"/>
      <c r="EW10" s="805"/>
      <c r="EX10" s="805"/>
      <c r="EY10" s="805"/>
      <c r="EZ10" s="805"/>
      <c r="FA10" s="805"/>
      <c r="FB10" s="805"/>
      <c r="FC10" s="805"/>
      <c r="FD10" s="805"/>
      <c r="FE10" s="805"/>
      <c r="FF10" s="805"/>
      <c r="FG10" s="805"/>
      <c r="FH10" s="805"/>
      <c r="FI10" s="805"/>
      <c r="FJ10" s="805"/>
      <c r="FK10" s="805"/>
      <c r="FL10" s="805"/>
      <c r="FM10" s="805"/>
      <c r="FN10" s="805"/>
      <c r="FO10" s="805"/>
      <c r="FP10" s="805"/>
      <c r="FQ10" s="805"/>
      <c r="FR10" s="805"/>
      <c r="FS10" s="805"/>
      <c r="FT10" s="805"/>
      <c r="FU10" s="805"/>
      <c r="FV10" s="805"/>
      <c r="FW10" s="805"/>
      <c r="FX10" s="805"/>
      <c r="FY10" s="805"/>
      <c r="FZ10" s="805"/>
      <c r="GA10" s="805"/>
      <c r="GB10" s="805"/>
      <c r="GC10" s="805"/>
      <c r="GD10" s="805"/>
      <c r="GE10" s="805"/>
      <c r="GF10" s="805"/>
      <c r="GG10" s="805"/>
      <c r="GH10" s="805"/>
      <c r="GI10" s="805"/>
      <c r="GJ10" s="805"/>
      <c r="GK10" s="805"/>
      <c r="GL10" s="805"/>
      <c r="GM10" s="805"/>
      <c r="GN10" s="805"/>
      <c r="GO10" s="805"/>
      <c r="GP10" s="805"/>
      <c r="GQ10" s="805"/>
      <c r="GR10" s="805"/>
      <c r="GS10" s="805"/>
      <c r="GT10" s="805"/>
      <c r="GU10" s="805"/>
      <c r="GV10" s="805"/>
      <c r="GW10" s="805"/>
      <c r="GX10" s="805"/>
      <c r="GY10" s="805"/>
      <c r="GZ10" s="805"/>
      <c r="HA10" s="805"/>
      <c r="HB10" s="805"/>
      <c r="HC10" s="805"/>
      <c r="HD10" s="805"/>
      <c r="HE10" s="805"/>
      <c r="HF10" s="805"/>
      <c r="HG10" s="805"/>
      <c r="HH10" s="805"/>
      <c r="HI10" s="805"/>
      <c r="HJ10" s="805"/>
      <c r="HK10" s="805"/>
      <c r="HL10" s="805"/>
      <c r="HM10" s="805"/>
      <c r="HN10" s="805"/>
      <c r="HO10" s="805"/>
      <c r="HP10" s="805"/>
      <c r="HQ10" s="805"/>
      <c r="HR10" s="805"/>
      <c r="HS10" s="805"/>
      <c r="HT10" s="805"/>
      <c r="HU10" s="805"/>
      <c r="HV10" s="805"/>
      <c r="HW10" s="805"/>
      <c r="HX10" s="805"/>
      <c r="HY10" s="805"/>
      <c r="HZ10" s="805"/>
      <c r="IA10" s="805"/>
      <c r="IB10" s="805"/>
      <c r="IC10" s="805"/>
      <c r="ID10" s="805"/>
      <c r="IE10" s="805"/>
      <c r="IF10" s="805"/>
      <c r="IG10" s="805"/>
      <c r="IH10" s="805"/>
      <c r="II10" s="805"/>
      <c r="IJ10" s="805"/>
      <c r="IK10" s="805"/>
      <c r="IL10" s="805"/>
      <c r="IM10" s="805"/>
      <c r="IN10" s="805"/>
      <c r="IO10" s="805"/>
      <c r="IP10" s="805"/>
      <c r="IQ10" s="805"/>
      <c r="IR10" s="805"/>
      <c r="IS10" s="805"/>
      <c r="IT10" s="805"/>
      <c r="IU10" s="805"/>
      <c r="IV10" s="805"/>
    </row>
    <row r="11" spans="1:256" ht="17.25">
      <c r="A11" s="835"/>
      <c r="B11" s="834" t="s">
        <v>1291</v>
      </c>
      <c r="C11" s="833" t="s">
        <v>1290</v>
      </c>
      <c r="D11" s="832" t="s">
        <v>1</v>
      </c>
      <c r="E11" s="831" t="s">
        <v>4</v>
      </c>
      <c r="F11" s="805"/>
      <c r="G11" s="805"/>
      <c r="H11" s="805"/>
      <c r="I11" s="805"/>
      <c r="J11" s="805"/>
      <c r="K11" s="805"/>
      <c r="L11" s="805"/>
      <c r="M11" s="805"/>
      <c r="N11" s="805"/>
      <c r="O11" s="805"/>
      <c r="P11" s="805"/>
      <c r="Q11" s="805"/>
      <c r="R11" s="805"/>
      <c r="S11" s="805"/>
      <c r="T11" s="805"/>
      <c r="U11" s="805"/>
      <c r="V11" s="805"/>
      <c r="W11" s="805"/>
      <c r="X11" s="805"/>
      <c r="Y11" s="805"/>
      <c r="Z11" s="805"/>
      <c r="AA11" s="805"/>
      <c r="AB11" s="805"/>
      <c r="AC11" s="805"/>
      <c r="AD11" s="805"/>
      <c r="AE11" s="805"/>
      <c r="AF11" s="805"/>
      <c r="AG11" s="805"/>
      <c r="AH11" s="805"/>
      <c r="AI11" s="805"/>
      <c r="AJ11" s="805"/>
      <c r="AK11" s="805"/>
      <c r="AL11" s="805"/>
      <c r="AM11" s="805"/>
      <c r="AN11" s="805"/>
      <c r="AO11" s="805"/>
      <c r="AP11" s="805"/>
      <c r="AQ11" s="805"/>
      <c r="AR11" s="805"/>
      <c r="AS11" s="805"/>
      <c r="AT11" s="805"/>
      <c r="AU11" s="805"/>
      <c r="AV11" s="805"/>
      <c r="AW11" s="805"/>
      <c r="AX11" s="805"/>
      <c r="AY11" s="805"/>
      <c r="AZ11" s="805"/>
      <c r="BA11" s="805"/>
      <c r="BB11" s="805"/>
      <c r="BC11" s="805"/>
      <c r="BD11" s="805"/>
      <c r="BE11" s="805"/>
      <c r="BF11" s="805"/>
      <c r="BG11" s="805"/>
      <c r="BH11" s="805"/>
      <c r="BI11" s="805"/>
      <c r="BJ11" s="805"/>
      <c r="BK11" s="805"/>
      <c r="BL11" s="805"/>
      <c r="BM11" s="805"/>
      <c r="BN11" s="805"/>
      <c r="BO11" s="805"/>
      <c r="BP11" s="805"/>
      <c r="BQ11" s="805"/>
      <c r="BR11" s="805"/>
      <c r="BS11" s="805"/>
      <c r="BT11" s="805"/>
      <c r="BU11" s="805"/>
      <c r="BV11" s="805"/>
      <c r="BW11" s="805"/>
      <c r="BX11" s="805"/>
      <c r="BY11" s="805"/>
      <c r="BZ11" s="805"/>
      <c r="CA11" s="805"/>
      <c r="CB11" s="805"/>
      <c r="CC11" s="805"/>
      <c r="CD11" s="805"/>
      <c r="CE11" s="805"/>
      <c r="CF11" s="805"/>
      <c r="CG11" s="805"/>
      <c r="CH11" s="805"/>
      <c r="CI11" s="805"/>
      <c r="CJ11" s="805"/>
      <c r="CK11" s="805"/>
      <c r="CL11" s="805"/>
      <c r="CM11" s="805"/>
      <c r="CN11" s="805"/>
      <c r="CO11" s="805"/>
      <c r="CP11" s="805"/>
      <c r="CQ11" s="805"/>
      <c r="CR11" s="805"/>
      <c r="CS11" s="805"/>
      <c r="CT11" s="805"/>
      <c r="CU11" s="805"/>
      <c r="CV11" s="805"/>
      <c r="CW11" s="805"/>
      <c r="CX11" s="805"/>
      <c r="CY11" s="805"/>
      <c r="CZ11" s="805"/>
      <c r="DA11" s="805"/>
      <c r="DB11" s="805"/>
      <c r="DC11" s="805"/>
      <c r="DD11" s="805"/>
      <c r="DE11" s="805"/>
      <c r="DF11" s="805"/>
      <c r="DG11" s="805"/>
      <c r="DH11" s="805"/>
      <c r="DI11" s="805"/>
      <c r="DJ11" s="805"/>
      <c r="DK11" s="805"/>
      <c r="DL11" s="805"/>
      <c r="DM11" s="805"/>
      <c r="DN11" s="805"/>
      <c r="DO11" s="805"/>
      <c r="DP11" s="805"/>
      <c r="DQ11" s="805"/>
      <c r="DR11" s="805"/>
      <c r="DS11" s="805"/>
      <c r="DT11" s="805"/>
      <c r="DU11" s="805"/>
      <c r="DV11" s="805"/>
      <c r="DW11" s="805"/>
      <c r="DX11" s="805"/>
      <c r="DY11" s="805"/>
      <c r="DZ11" s="805"/>
      <c r="EA11" s="805"/>
      <c r="EB11" s="805"/>
      <c r="EC11" s="805"/>
      <c r="ED11" s="805"/>
      <c r="EE11" s="805"/>
      <c r="EF11" s="805"/>
      <c r="EG11" s="805"/>
      <c r="EH11" s="805"/>
      <c r="EI11" s="805"/>
      <c r="EJ11" s="805"/>
      <c r="EK11" s="805"/>
      <c r="EL11" s="805"/>
      <c r="EM11" s="805"/>
      <c r="EN11" s="805"/>
      <c r="EO11" s="805"/>
      <c r="EP11" s="805"/>
      <c r="EQ11" s="805"/>
      <c r="ER11" s="805"/>
      <c r="ES11" s="805"/>
      <c r="ET11" s="805"/>
      <c r="EU11" s="805"/>
      <c r="EV11" s="805"/>
      <c r="EW11" s="805"/>
      <c r="EX11" s="805"/>
      <c r="EY11" s="805"/>
      <c r="EZ11" s="805"/>
      <c r="FA11" s="805"/>
      <c r="FB11" s="805"/>
      <c r="FC11" s="805"/>
      <c r="FD11" s="805"/>
      <c r="FE11" s="805"/>
      <c r="FF11" s="805"/>
      <c r="FG11" s="805"/>
      <c r="FH11" s="805"/>
      <c r="FI11" s="805"/>
      <c r="FJ11" s="805"/>
      <c r="FK11" s="805"/>
      <c r="FL11" s="805"/>
      <c r="FM11" s="805"/>
      <c r="FN11" s="805"/>
      <c r="FO11" s="805"/>
      <c r="FP11" s="805"/>
      <c r="FQ11" s="805"/>
      <c r="FR11" s="805"/>
      <c r="FS11" s="805"/>
      <c r="FT11" s="805"/>
      <c r="FU11" s="805"/>
      <c r="FV11" s="805"/>
      <c r="FW11" s="805"/>
      <c r="FX11" s="805"/>
      <c r="FY11" s="805"/>
      <c r="FZ11" s="805"/>
      <c r="GA11" s="805"/>
      <c r="GB11" s="805"/>
      <c r="GC11" s="805"/>
      <c r="GD11" s="805"/>
      <c r="GE11" s="805"/>
      <c r="GF11" s="805"/>
      <c r="GG11" s="805"/>
      <c r="GH11" s="805"/>
      <c r="GI11" s="805"/>
      <c r="GJ11" s="805"/>
      <c r="GK11" s="805"/>
      <c r="GL11" s="805"/>
      <c r="GM11" s="805"/>
      <c r="GN11" s="805"/>
      <c r="GO11" s="805"/>
      <c r="GP11" s="805"/>
      <c r="GQ11" s="805"/>
      <c r="GR11" s="805"/>
      <c r="GS11" s="805"/>
      <c r="GT11" s="805"/>
      <c r="GU11" s="805"/>
      <c r="GV11" s="805"/>
      <c r="GW11" s="805"/>
      <c r="GX11" s="805"/>
      <c r="GY11" s="805"/>
      <c r="GZ11" s="805"/>
      <c r="HA11" s="805"/>
      <c r="HB11" s="805"/>
      <c r="HC11" s="805"/>
      <c r="HD11" s="805"/>
      <c r="HE11" s="805"/>
      <c r="HF11" s="805"/>
      <c r="HG11" s="805"/>
      <c r="HH11" s="805"/>
      <c r="HI11" s="805"/>
      <c r="HJ11" s="805"/>
      <c r="HK11" s="805"/>
      <c r="HL11" s="805"/>
      <c r="HM11" s="805"/>
      <c r="HN11" s="805"/>
      <c r="HO11" s="805"/>
      <c r="HP11" s="805"/>
      <c r="HQ11" s="805"/>
      <c r="HR11" s="805"/>
      <c r="HS11" s="805"/>
      <c r="HT11" s="805"/>
      <c r="HU11" s="805"/>
      <c r="HV11" s="805"/>
      <c r="HW11" s="805"/>
      <c r="HX11" s="805"/>
      <c r="HY11" s="805"/>
      <c r="HZ11" s="805"/>
      <c r="IA11" s="805"/>
      <c r="IB11" s="805"/>
      <c r="IC11" s="805"/>
      <c r="ID11" s="805"/>
      <c r="IE11" s="805"/>
      <c r="IF11" s="805"/>
      <c r="IG11" s="805"/>
      <c r="IH11" s="805"/>
      <c r="II11" s="805"/>
      <c r="IJ11" s="805"/>
      <c r="IK11" s="805"/>
      <c r="IL11" s="805"/>
      <c r="IM11" s="805"/>
      <c r="IN11" s="805"/>
      <c r="IO11" s="805"/>
      <c r="IP11" s="805"/>
      <c r="IQ11" s="805"/>
      <c r="IR11" s="805"/>
      <c r="IS11" s="805"/>
      <c r="IT11" s="805"/>
      <c r="IU11" s="805"/>
      <c r="IV11" s="805"/>
    </row>
    <row r="12" spans="1:256" ht="17.25">
      <c r="A12" s="1617" t="s">
        <v>1289</v>
      </c>
      <c r="B12" s="2286"/>
      <c r="C12" s="2287"/>
      <c r="D12" s="2288"/>
      <c r="E12" s="1628">
        <f>E23+E24</f>
        <v>37485000</v>
      </c>
    </row>
    <row r="13" spans="1:256">
      <c r="A13" s="822" t="s">
        <v>1288</v>
      </c>
      <c r="B13" s="818" t="s">
        <v>1287</v>
      </c>
      <c r="C13" s="549">
        <v>150</v>
      </c>
      <c r="D13" s="821">
        <v>60000</v>
      </c>
      <c r="E13" s="820">
        <f>D13*C13</f>
        <v>9000000</v>
      </c>
    </row>
    <row r="14" spans="1:256">
      <c r="A14" s="822" t="s">
        <v>1286</v>
      </c>
      <c r="B14" s="818" t="s">
        <v>228</v>
      </c>
      <c r="C14" s="549">
        <v>450000</v>
      </c>
      <c r="D14" s="821">
        <v>5</v>
      </c>
      <c r="E14" s="820">
        <f>D14*C14</f>
        <v>2250000</v>
      </c>
    </row>
    <row r="15" spans="1:256">
      <c r="A15" s="822" t="s">
        <v>1285</v>
      </c>
      <c r="B15" s="818" t="s">
        <v>11</v>
      </c>
      <c r="C15" s="549"/>
      <c r="D15" s="816"/>
      <c r="E15" s="820">
        <f>SUM(E16:E19)</f>
        <v>2335000</v>
      </c>
    </row>
    <row r="16" spans="1:256">
      <c r="A16" s="826" t="s">
        <v>1284</v>
      </c>
      <c r="B16" s="818" t="s">
        <v>11</v>
      </c>
      <c r="C16" s="778">
        <v>10000</v>
      </c>
      <c r="D16" s="825">
        <v>54</v>
      </c>
      <c r="E16" s="824">
        <f t="shared" ref="E16:E22" si="0">D16*C16</f>
        <v>540000</v>
      </c>
    </row>
    <row r="17" spans="1:256">
      <c r="A17" s="826" t="s">
        <v>1283</v>
      </c>
      <c r="B17" s="818" t="s">
        <v>11</v>
      </c>
      <c r="C17" s="778">
        <v>3000</v>
      </c>
      <c r="D17" s="825">
        <v>100</v>
      </c>
      <c r="E17" s="824">
        <f t="shared" si="0"/>
        <v>300000</v>
      </c>
    </row>
    <row r="18" spans="1:256">
      <c r="A18" s="826" t="s">
        <v>1282</v>
      </c>
      <c r="B18" s="818" t="s">
        <v>11</v>
      </c>
      <c r="C18" s="778">
        <v>15000</v>
      </c>
      <c r="D18" s="825">
        <v>33</v>
      </c>
      <c r="E18" s="824">
        <f t="shared" si="0"/>
        <v>495000</v>
      </c>
    </row>
    <row r="19" spans="1:256">
      <c r="A19" s="826" t="s">
        <v>1281</v>
      </c>
      <c r="B19" s="818" t="s">
        <v>11</v>
      </c>
      <c r="C19" s="778">
        <v>10000</v>
      </c>
      <c r="D19" s="825">
        <v>100</v>
      </c>
      <c r="E19" s="824">
        <f t="shared" si="0"/>
        <v>1000000</v>
      </c>
    </row>
    <row r="20" spans="1:256">
      <c r="A20" s="822" t="s">
        <v>1280</v>
      </c>
      <c r="B20" s="818" t="s">
        <v>11</v>
      </c>
      <c r="C20" s="549">
        <v>1000</v>
      </c>
      <c r="D20" s="821">
        <v>100</v>
      </c>
      <c r="E20" s="820">
        <f t="shared" si="0"/>
        <v>100000</v>
      </c>
    </row>
    <row r="21" spans="1:256">
      <c r="A21" s="822" t="s">
        <v>1279</v>
      </c>
      <c r="B21" s="818" t="s">
        <v>513</v>
      </c>
      <c r="C21" s="549">
        <v>200000</v>
      </c>
      <c r="D21" s="821">
        <v>40</v>
      </c>
      <c r="E21" s="820">
        <f t="shared" si="0"/>
        <v>8000000</v>
      </c>
    </row>
    <row r="22" spans="1:256">
      <c r="A22" s="822" t="s">
        <v>1278</v>
      </c>
      <c r="B22" s="818" t="s">
        <v>511</v>
      </c>
      <c r="C22" s="549">
        <v>250000</v>
      </c>
      <c r="D22" s="821">
        <v>60</v>
      </c>
      <c r="E22" s="820">
        <f t="shared" si="0"/>
        <v>15000000</v>
      </c>
    </row>
    <row r="23" spans="1:256" ht="17.25">
      <c r="A23" s="1617" t="s">
        <v>1277</v>
      </c>
      <c r="B23" s="2289"/>
      <c r="C23" s="774"/>
      <c r="D23" s="1632"/>
      <c r="E23" s="1633">
        <f>SUM(E13:E15)+SUM(E20:E22)</f>
        <v>36685000</v>
      </c>
      <c r="F23" s="540"/>
      <c r="G23" s="540"/>
      <c r="H23" s="540"/>
      <c r="I23" s="540"/>
      <c r="J23" s="540"/>
      <c r="K23" s="540"/>
      <c r="L23" s="540"/>
      <c r="M23" s="540"/>
      <c r="N23" s="540"/>
      <c r="O23" s="540"/>
      <c r="P23" s="540"/>
      <c r="Q23" s="540"/>
      <c r="R23" s="540"/>
      <c r="S23" s="540"/>
      <c r="T23" s="540"/>
      <c r="U23" s="540"/>
      <c r="V23" s="540"/>
      <c r="W23" s="540"/>
      <c r="X23" s="540"/>
      <c r="Y23" s="540"/>
      <c r="Z23" s="540"/>
      <c r="AA23" s="540"/>
      <c r="AB23" s="540"/>
      <c r="AC23" s="540"/>
      <c r="AD23" s="540"/>
      <c r="AE23" s="540"/>
      <c r="AF23" s="540"/>
      <c r="AG23" s="540"/>
      <c r="AH23" s="540"/>
      <c r="AI23" s="540"/>
      <c r="AJ23" s="540"/>
      <c r="AK23" s="540"/>
      <c r="AL23" s="540"/>
      <c r="AM23" s="540"/>
      <c r="AN23" s="540"/>
      <c r="AO23" s="540"/>
      <c r="AP23" s="540"/>
      <c r="AQ23" s="540"/>
      <c r="AR23" s="540"/>
      <c r="AS23" s="540"/>
      <c r="AT23" s="540"/>
      <c r="AU23" s="540"/>
      <c r="AV23" s="540"/>
      <c r="AW23" s="540"/>
      <c r="AX23" s="540"/>
      <c r="AY23" s="540"/>
      <c r="AZ23" s="540"/>
      <c r="BA23" s="540"/>
      <c r="BB23" s="540"/>
      <c r="BC23" s="540"/>
      <c r="BD23" s="540"/>
      <c r="BE23" s="540"/>
      <c r="BF23" s="540"/>
      <c r="BG23" s="540"/>
      <c r="BH23" s="540"/>
      <c r="BI23" s="540"/>
      <c r="BJ23" s="540"/>
      <c r="BK23" s="540"/>
      <c r="BL23" s="540"/>
      <c r="BM23" s="540"/>
      <c r="BN23" s="540"/>
      <c r="BO23" s="540"/>
      <c r="BP23" s="540"/>
      <c r="BQ23" s="540"/>
      <c r="BR23" s="540"/>
      <c r="BS23" s="540"/>
      <c r="BT23" s="540"/>
      <c r="BU23" s="540"/>
      <c r="BV23" s="540"/>
      <c r="BW23" s="540"/>
      <c r="BX23" s="540"/>
      <c r="BY23" s="540"/>
      <c r="BZ23" s="540"/>
      <c r="CA23" s="540"/>
      <c r="CB23" s="540"/>
      <c r="CC23" s="540"/>
      <c r="CD23" s="540"/>
      <c r="CE23" s="540"/>
      <c r="CF23" s="540"/>
      <c r="CG23" s="540"/>
      <c r="CH23" s="540"/>
      <c r="CI23" s="540"/>
      <c r="CJ23" s="540"/>
      <c r="CK23" s="540"/>
      <c r="CL23" s="540"/>
      <c r="CM23" s="540"/>
      <c r="CN23" s="540"/>
      <c r="CO23" s="540"/>
      <c r="CP23" s="540"/>
      <c r="CQ23" s="540"/>
      <c r="CR23" s="540"/>
      <c r="CS23" s="540"/>
      <c r="CT23" s="540"/>
      <c r="CU23" s="540"/>
      <c r="CV23" s="540"/>
      <c r="CW23" s="540"/>
      <c r="CX23" s="540"/>
      <c r="CY23" s="540"/>
      <c r="CZ23" s="540"/>
      <c r="DA23" s="540"/>
      <c r="DB23" s="540"/>
      <c r="DC23" s="540"/>
      <c r="DD23" s="540"/>
      <c r="DE23" s="540"/>
      <c r="DF23" s="540"/>
      <c r="DG23" s="540"/>
      <c r="DH23" s="540"/>
      <c r="DI23" s="540"/>
      <c r="DJ23" s="540"/>
      <c r="DK23" s="540"/>
      <c r="DL23" s="540"/>
      <c r="DM23" s="540"/>
      <c r="DN23" s="540"/>
      <c r="DO23" s="540"/>
      <c r="DP23" s="540"/>
      <c r="DQ23" s="540"/>
      <c r="DR23" s="540"/>
      <c r="DS23" s="540"/>
      <c r="DT23" s="540"/>
      <c r="DU23" s="540"/>
      <c r="DV23" s="540"/>
      <c r="DW23" s="540"/>
      <c r="DX23" s="540"/>
      <c r="DY23" s="540"/>
      <c r="DZ23" s="540"/>
      <c r="EA23" s="540"/>
      <c r="EB23" s="540"/>
      <c r="EC23" s="540"/>
      <c r="ED23" s="540"/>
      <c r="EE23" s="540"/>
      <c r="EF23" s="540"/>
      <c r="EG23" s="540"/>
      <c r="EH23" s="540"/>
      <c r="EI23" s="540"/>
      <c r="EJ23" s="540"/>
      <c r="EK23" s="540"/>
      <c r="EL23" s="540"/>
      <c r="EM23" s="540"/>
      <c r="EN23" s="540"/>
      <c r="EO23" s="540"/>
      <c r="EP23" s="540"/>
      <c r="EQ23" s="540"/>
      <c r="ER23" s="540"/>
      <c r="ES23" s="540"/>
      <c r="ET23" s="540"/>
      <c r="EU23" s="540"/>
      <c r="EV23" s="540"/>
      <c r="EW23" s="540"/>
      <c r="EX23" s="540"/>
      <c r="EY23" s="540"/>
      <c r="EZ23" s="540"/>
      <c r="FA23" s="540"/>
      <c r="FB23" s="540"/>
      <c r="FC23" s="540"/>
      <c r="FD23" s="540"/>
      <c r="FE23" s="540"/>
      <c r="FF23" s="540"/>
      <c r="FG23" s="540"/>
      <c r="FH23" s="540"/>
      <c r="FI23" s="540"/>
      <c r="FJ23" s="540"/>
      <c r="FK23" s="540"/>
      <c r="FL23" s="540"/>
      <c r="FM23" s="540"/>
      <c r="FN23" s="540"/>
      <c r="FO23" s="540"/>
      <c r="FP23" s="540"/>
      <c r="FQ23" s="540"/>
      <c r="FR23" s="540"/>
      <c r="FS23" s="540"/>
      <c r="FT23" s="540"/>
      <c r="FU23" s="540"/>
      <c r="FV23" s="540"/>
      <c r="FW23" s="540"/>
      <c r="FX23" s="540"/>
      <c r="FY23" s="540"/>
      <c r="FZ23" s="540"/>
      <c r="GA23" s="540"/>
      <c r="GB23" s="540"/>
      <c r="GC23" s="540"/>
      <c r="GD23" s="540"/>
      <c r="GE23" s="540"/>
      <c r="GF23" s="540"/>
      <c r="GG23" s="540"/>
      <c r="GH23" s="540"/>
      <c r="GI23" s="540"/>
      <c r="GJ23" s="540"/>
      <c r="GK23" s="540"/>
      <c r="GL23" s="540"/>
      <c r="GM23" s="540"/>
      <c r="GN23" s="540"/>
      <c r="GO23" s="540"/>
      <c r="GP23" s="540"/>
      <c r="GQ23" s="540"/>
      <c r="GR23" s="540"/>
      <c r="GS23" s="540"/>
      <c r="GT23" s="540"/>
      <c r="GU23" s="540"/>
      <c r="GV23" s="540"/>
      <c r="GW23" s="540"/>
      <c r="GX23" s="540"/>
      <c r="GY23" s="540"/>
      <c r="GZ23" s="540"/>
      <c r="HA23" s="540"/>
      <c r="HB23" s="540"/>
      <c r="HC23" s="540"/>
      <c r="HD23" s="540"/>
      <c r="HE23" s="540"/>
      <c r="HF23" s="540"/>
      <c r="HG23" s="540"/>
      <c r="HH23" s="540"/>
      <c r="HI23" s="540"/>
      <c r="HJ23" s="540"/>
      <c r="HK23" s="540"/>
      <c r="HL23" s="540"/>
      <c r="HM23" s="540"/>
      <c r="HN23" s="540"/>
      <c r="HO23" s="540"/>
      <c r="HP23" s="540"/>
      <c r="HQ23" s="540"/>
      <c r="HR23" s="540"/>
      <c r="HS23" s="540"/>
      <c r="HT23" s="540"/>
      <c r="HU23" s="540"/>
      <c r="HV23" s="540"/>
      <c r="HW23" s="540"/>
      <c r="HX23" s="540"/>
      <c r="HY23" s="540"/>
      <c r="HZ23" s="540"/>
      <c r="IA23" s="540"/>
      <c r="IB23" s="540"/>
      <c r="IC23" s="540"/>
      <c r="ID23" s="540"/>
      <c r="IE23" s="540"/>
      <c r="IF23" s="540"/>
      <c r="IG23" s="540"/>
      <c r="IH23" s="540"/>
      <c r="II23" s="540"/>
      <c r="IJ23" s="540"/>
      <c r="IK23" s="540"/>
      <c r="IL23" s="540"/>
      <c r="IM23" s="540"/>
      <c r="IN23" s="540"/>
      <c r="IO23" s="540"/>
      <c r="IP23" s="540"/>
      <c r="IQ23" s="540"/>
      <c r="IR23" s="540"/>
      <c r="IS23" s="540"/>
      <c r="IT23" s="540"/>
      <c r="IU23" s="540"/>
      <c r="IV23" s="540"/>
    </row>
    <row r="24" spans="1:256">
      <c r="A24" s="822" t="s">
        <v>1276</v>
      </c>
      <c r="B24" s="818" t="s">
        <v>1270</v>
      </c>
      <c r="C24" s="549"/>
      <c r="D24" s="821"/>
      <c r="E24" s="820">
        <f>30000000*8%*4/12</f>
        <v>800000</v>
      </c>
    </row>
    <row r="25" spans="1:256" ht="17.25">
      <c r="A25" s="1617" t="s">
        <v>1275</v>
      </c>
      <c r="B25" s="2289"/>
      <c r="C25" s="774"/>
      <c r="D25" s="1632"/>
      <c r="E25" s="1633">
        <f>SUM(E27:E27)</f>
        <v>75600000</v>
      </c>
    </row>
    <row r="26" spans="1:256">
      <c r="A26" s="822" t="s">
        <v>1274</v>
      </c>
      <c r="B26" s="818" t="s">
        <v>1273</v>
      </c>
      <c r="C26" s="549"/>
      <c r="D26" s="821">
        <v>54000</v>
      </c>
      <c r="E26" s="820"/>
    </row>
    <row r="27" spans="1:256">
      <c r="A27" s="822" t="s">
        <v>1272</v>
      </c>
      <c r="B27" s="818" t="s">
        <v>1270</v>
      </c>
      <c r="C27" s="549">
        <v>1400</v>
      </c>
      <c r="D27" s="821">
        <f>D26</f>
        <v>54000</v>
      </c>
      <c r="E27" s="820">
        <f>C27*D26</f>
        <v>75600000</v>
      </c>
    </row>
    <row r="28" spans="1:256">
      <c r="A28" s="1617" t="s">
        <v>1271</v>
      </c>
      <c r="B28" s="818" t="s">
        <v>1270</v>
      </c>
      <c r="C28" s="1635"/>
      <c r="D28" s="1632"/>
      <c r="E28" s="1633">
        <f>E25-E12</f>
        <v>38115000</v>
      </c>
    </row>
    <row r="29" spans="1:256" ht="17.25" thickBot="1">
      <c r="A29" s="1623" t="s">
        <v>1269</v>
      </c>
      <c r="B29" s="813" t="s">
        <v>90</v>
      </c>
      <c r="C29" s="812"/>
      <c r="D29" s="811"/>
      <c r="E29" s="1636">
        <f>E28/E25</f>
        <v>0.50416666666666665</v>
      </c>
    </row>
    <row r="30" spans="1:256" ht="17.25" thickTop="1">
      <c r="A30" s="807"/>
      <c r="B30" s="809"/>
      <c r="C30" s="808"/>
      <c r="D30" s="807"/>
      <c r="E30" s="806"/>
    </row>
    <row r="31" spans="1:256" ht="17.25">
      <c r="A31" s="1625" t="s">
        <v>1268</v>
      </c>
      <c r="E31" s="804"/>
    </row>
    <row r="32" spans="1:256">
      <c r="A32" s="800" t="s">
        <v>1297</v>
      </c>
      <c r="B32" s="802"/>
      <c r="C32" s="801"/>
      <c r="D32" s="800"/>
      <c r="E32" s="800"/>
    </row>
    <row r="33" spans="1:5">
      <c r="A33" s="800" t="s">
        <v>1266</v>
      </c>
      <c r="B33" s="802"/>
      <c r="C33" s="801"/>
      <c r="D33" s="800"/>
      <c r="E33" s="800"/>
    </row>
    <row r="34" spans="1:5">
      <c r="A34" s="800" t="s">
        <v>1265</v>
      </c>
      <c r="B34" s="802"/>
      <c r="C34" s="801"/>
      <c r="D34" s="800"/>
      <c r="E34" s="800"/>
    </row>
    <row r="35" spans="1:5">
      <c r="A35" s="800"/>
      <c r="B35" s="802"/>
      <c r="C35" s="801"/>
      <c r="D35" s="800"/>
      <c r="E35" s="800"/>
    </row>
    <row r="36" spans="1:5">
      <c r="A36" s="1637"/>
      <c r="B36" s="802"/>
      <c r="C36" s="801"/>
      <c r="D36" s="800"/>
      <c r="E36" s="800"/>
    </row>
    <row r="37" spans="1:5">
      <c r="A37" s="800"/>
      <c r="B37" s="802"/>
      <c r="C37" s="801"/>
      <c r="D37" s="800"/>
      <c r="E37" s="800"/>
    </row>
    <row r="38" spans="1:5">
      <c r="A38" s="800"/>
      <c r="B38" s="802"/>
      <c r="C38" s="801"/>
      <c r="D38" s="800"/>
      <c r="E38" s="800"/>
    </row>
    <row r="39" spans="1:5">
      <c r="A39" s="800"/>
      <c r="B39" s="802"/>
      <c r="C39" s="801"/>
      <c r="D39" s="800"/>
      <c r="E39" s="800"/>
    </row>
  </sheetData>
  <mergeCells count="3">
    <mergeCell ref="A7:E7"/>
    <mergeCell ref="A8:E8"/>
    <mergeCell ref="D10:E10"/>
  </mergeCells>
  <pageMargins left="1" right="0.5" top="0.75" bottom="0.75" header="0.5" footer="0.5"/>
  <pageSetup paperSize="9" orientation="portrait" r:id="rId1"/>
  <headerFooter>
    <oddFooter>&amp;CTrang</oddFooter>
  </headerFooter>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G34"/>
  <sheetViews>
    <sheetView zoomScaleNormal="100" workbookViewId="0">
      <selection activeCell="J13" sqref="J13"/>
    </sheetView>
  </sheetViews>
  <sheetFormatPr defaultColWidth="9.42578125" defaultRowHeight="16.5"/>
  <cols>
    <col min="1" max="1" width="22.85546875" style="523" customWidth="1"/>
    <col min="2" max="5" width="17" style="523" customWidth="1"/>
    <col min="6" max="254" width="9.140625" style="523" customWidth="1"/>
    <col min="255" max="255" width="22.85546875" style="523" customWidth="1"/>
    <col min="256" max="256" width="9.42578125" style="523"/>
    <col min="257" max="257" width="22.85546875" style="523" customWidth="1"/>
    <col min="258" max="261" width="17" style="523" customWidth="1"/>
    <col min="262" max="510" width="9.140625" style="523" customWidth="1"/>
    <col min="511" max="511" width="22.85546875" style="523" customWidth="1"/>
    <col min="512" max="512" width="9.42578125" style="523"/>
    <col min="513" max="513" width="22.85546875" style="523" customWidth="1"/>
    <col min="514" max="517" width="17" style="523" customWidth="1"/>
    <col min="518" max="766" width="9.140625" style="523" customWidth="1"/>
    <col min="767" max="767" width="22.85546875" style="523" customWidth="1"/>
    <col min="768" max="768" width="9.42578125" style="523"/>
    <col min="769" max="769" width="22.85546875" style="523" customWidth="1"/>
    <col min="770" max="773" width="17" style="523" customWidth="1"/>
    <col min="774" max="1022" width="9.140625" style="523" customWidth="1"/>
    <col min="1023" max="1023" width="22.85546875" style="523" customWidth="1"/>
    <col min="1024" max="1024" width="9.42578125" style="523"/>
    <col min="1025" max="1025" width="22.85546875" style="523" customWidth="1"/>
    <col min="1026" max="1029" width="17" style="523" customWidth="1"/>
    <col min="1030" max="1278" width="9.140625" style="523" customWidth="1"/>
    <col min="1279" max="1279" width="22.85546875" style="523" customWidth="1"/>
    <col min="1280" max="1280" width="9.42578125" style="523"/>
    <col min="1281" max="1281" width="22.85546875" style="523" customWidth="1"/>
    <col min="1282" max="1285" width="17" style="523" customWidth="1"/>
    <col min="1286" max="1534" width="9.140625" style="523" customWidth="1"/>
    <col min="1535" max="1535" width="22.85546875" style="523" customWidth="1"/>
    <col min="1536" max="1536" width="9.42578125" style="523"/>
    <col min="1537" max="1537" width="22.85546875" style="523" customWidth="1"/>
    <col min="1538" max="1541" width="17" style="523" customWidth="1"/>
    <col min="1542" max="1790" width="9.140625" style="523" customWidth="1"/>
    <col min="1791" max="1791" width="22.85546875" style="523" customWidth="1"/>
    <col min="1792" max="1792" width="9.42578125" style="523"/>
    <col min="1793" max="1793" width="22.85546875" style="523" customWidth="1"/>
    <col min="1794" max="1797" width="17" style="523" customWidth="1"/>
    <col min="1798" max="2046" width="9.140625" style="523" customWidth="1"/>
    <col min="2047" max="2047" width="22.85546875" style="523" customWidth="1"/>
    <col min="2048" max="2048" width="9.42578125" style="523"/>
    <col min="2049" max="2049" width="22.85546875" style="523" customWidth="1"/>
    <col min="2050" max="2053" width="17" style="523" customWidth="1"/>
    <col min="2054" max="2302" width="9.140625" style="523" customWidth="1"/>
    <col min="2303" max="2303" width="22.85546875" style="523" customWidth="1"/>
    <col min="2304" max="2304" width="9.42578125" style="523"/>
    <col min="2305" max="2305" width="22.85546875" style="523" customWidth="1"/>
    <col min="2306" max="2309" width="17" style="523" customWidth="1"/>
    <col min="2310" max="2558" width="9.140625" style="523" customWidth="1"/>
    <col min="2559" max="2559" width="22.85546875" style="523" customWidth="1"/>
    <col min="2560" max="2560" width="9.42578125" style="523"/>
    <col min="2561" max="2561" width="22.85546875" style="523" customWidth="1"/>
    <col min="2562" max="2565" width="17" style="523" customWidth="1"/>
    <col min="2566" max="2814" width="9.140625" style="523" customWidth="1"/>
    <col min="2815" max="2815" width="22.85546875" style="523" customWidth="1"/>
    <col min="2816" max="2816" width="9.42578125" style="523"/>
    <col min="2817" max="2817" width="22.85546875" style="523" customWidth="1"/>
    <col min="2818" max="2821" width="17" style="523" customWidth="1"/>
    <col min="2822" max="3070" width="9.140625" style="523" customWidth="1"/>
    <col min="3071" max="3071" width="22.85546875" style="523" customWidth="1"/>
    <col min="3072" max="3072" width="9.42578125" style="523"/>
    <col min="3073" max="3073" width="22.85546875" style="523" customWidth="1"/>
    <col min="3074" max="3077" width="17" style="523" customWidth="1"/>
    <col min="3078" max="3326" width="9.140625" style="523" customWidth="1"/>
    <col min="3327" max="3327" width="22.85546875" style="523" customWidth="1"/>
    <col min="3328" max="3328" width="9.42578125" style="523"/>
    <col min="3329" max="3329" width="22.85546875" style="523" customWidth="1"/>
    <col min="3330" max="3333" width="17" style="523" customWidth="1"/>
    <col min="3334" max="3582" width="9.140625" style="523" customWidth="1"/>
    <col min="3583" max="3583" width="22.85546875" style="523" customWidth="1"/>
    <col min="3584" max="3584" width="9.42578125" style="523"/>
    <col min="3585" max="3585" width="22.85546875" style="523" customWidth="1"/>
    <col min="3586" max="3589" width="17" style="523" customWidth="1"/>
    <col min="3590" max="3838" width="9.140625" style="523" customWidth="1"/>
    <col min="3839" max="3839" width="22.85546875" style="523" customWidth="1"/>
    <col min="3840" max="3840" width="9.42578125" style="523"/>
    <col min="3841" max="3841" width="22.85546875" style="523" customWidth="1"/>
    <col min="3842" max="3845" width="17" style="523" customWidth="1"/>
    <col min="3846" max="4094" width="9.140625" style="523" customWidth="1"/>
    <col min="4095" max="4095" width="22.85546875" style="523" customWidth="1"/>
    <col min="4096" max="4096" width="9.42578125" style="523"/>
    <col min="4097" max="4097" width="22.85546875" style="523" customWidth="1"/>
    <col min="4098" max="4101" width="17" style="523" customWidth="1"/>
    <col min="4102" max="4350" width="9.140625" style="523" customWidth="1"/>
    <col min="4351" max="4351" width="22.85546875" style="523" customWidth="1"/>
    <col min="4352" max="4352" width="9.42578125" style="523"/>
    <col min="4353" max="4353" width="22.85546875" style="523" customWidth="1"/>
    <col min="4354" max="4357" width="17" style="523" customWidth="1"/>
    <col min="4358" max="4606" width="9.140625" style="523" customWidth="1"/>
    <col min="4607" max="4607" width="22.85546875" style="523" customWidth="1"/>
    <col min="4608" max="4608" width="9.42578125" style="523"/>
    <col min="4609" max="4609" width="22.85546875" style="523" customWidth="1"/>
    <col min="4610" max="4613" width="17" style="523" customWidth="1"/>
    <col min="4614" max="4862" width="9.140625" style="523" customWidth="1"/>
    <col min="4863" max="4863" width="22.85546875" style="523" customWidth="1"/>
    <col min="4864" max="4864" width="9.42578125" style="523"/>
    <col min="4865" max="4865" width="22.85546875" style="523" customWidth="1"/>
    <col min="4866" max="4869" width="17" style="523" customWidth="1"/>
    <col min="4870" max="5118" width="9.140625" style="523" customWidth="1"/>
    <col min="5119" max="5119" width="22.85546875" style="523" customWidth="1"/>
    <col min="5120" max="5120" width="9.42578125" style="523"/>
    <col min="5121" max="5121" width="22.85546875" style="523" customWidth="1"/>
    <col min="5122" max="5125" width="17" style="523" customWidth="1"/>
    <col min="5126" max="5374" width="9.140625" style="523" customWidth="1"/>
    <col min="5375" max="5375" width="22.85546875" style="523" customWidth="1"/>
    <col min="5376" max="5376" width="9.42578125" style="523"/>
    <col min="5377" max="5377" width="22.85546875" style="523" customWidth="1"/>
    <col min="5378" max="5381" width="17" style="523" customWidth="1"/>
    <col min="5382" max="5630" width="9.140625" style="523" customWidth="1"/>
    <col min="5631" max="5631" width="22.85546875" style="523" customWidth="1"/>
    <col min="5632" max="5632" width="9.42578125" style="523"/>
    <col min="5633" max="5633" width="22.85546875" style="523" customWidth="1"/>
    <col min="5634" max="5637" width="17" style="523" customWidth="1"/>
    <col min="5638" max="5886" width="9.140625" style="523" customWidth="1"/>
    <col min="5887" max="5887" width="22.85546875" style="523" customWidth="1"/>
    <col min="5888" max="5888" width="9.42578125" style="523"/>
    <col min="5889" max="5889" width="22.85546875" style="523" customWidth="1"/>
    <col min="5890" max="5893" width="17" style="523" customWidth="1"/>
    <col min="5894" max="6142" width="9.140625" style="523" customWidth="1"/>
    <col min="6143" max="6143" width="22.85546875" style="523" customWidth="1"/>
    <col min="6144" max="6144" width="9.42578125" style="523"/>
    <col min="6145" max="6145" width="22.85546875" style="523" customWidth="1"/>
    <col min="6146" max="6149" width="17" style="523" customWidth="1"/>
    <col min="6150" max="6398" width="9.140625" style="523" customWidth="1"/>
    <col min="6399" max="6399" width="22.85546875" style="523" customWidth="1"/>
    <col min="6400" max="6400" width="9.42578125" style="523"/>
    <col min="6401" max="6401" width="22.85546875" style="523" customWidth="1"/>
    <col min="6402" max="6405" width="17" style="523" customWidth="1"/>
    <col min="6406" max="6654" width="9.140625" style="523" customWidth="1"/>
    <col min="6655" max="6655" width="22.85546875" style="523" customWidth="1"/>
    <col min="6656" max="6656" width="9.42578125" style="523"/>
    <col min="6657" max="6657" width="22.85546875" style="523" customWidth="1"/>
    <col min="6658" max="6661" width="17" style="523" customWidth="1"/>
    <col min="6662" max="6910" width="9.140625" style="523" customWidth="1"/>
    <col min="6911" max="6911" width="22.85546875" style="523" customWidth="1"/>
    <col min="6912" max="6912" width="9.42578125" style="523"/>
    <col min="6913" max="6913" width="22.85546875" style="523" customWidth="1"/>
    <col min="6914" max="6917" width="17" style="523" customWidth="1"/>
    <col min="6918" max="7166" width="9.140625" style="523" customWidth="1"/>
    <col min="7167" max="7167" width="22.85546875" style="523" customWidth="1"/>
    <col min="7168" max="7168" width="9.42578125" style="523"/>
    <col min="7169" max="7169" width="22.85546875" style="523" customWidth="1"/>
    <col min="7170" max="7173" width="17" style="523" customWidth="1"/>
    <col min="7174" max="7422" width="9.140625" style="523" customWidth="1"/>
    <col min="7423" max="7423" width="22.85546875" style="523" customWidth="1"/>
    <col min="7424" max="7424" width="9.42578125" style="523"/>
    <col min="7425" max="7425" width="22.85546875" style="523" customWidth="1"/>
    <col min="7426" max="7429" width="17" style="523" customWidth="1"/>
    <col min="7430" max="7678" width="9.140625" style="523" customWidth="1"/>
    <col min="7679" max="7679" width="22.85546875" style="523" customWidth="1"/>
    <col min="7680" max="7680" width="9.42578125" style="523"/>
    <col min="7681" max="7681" width="22.85546875" style="523" customWidth="1"/>
    <col min="7682" max="7685" width="17" style="523" customWidth="1"/>
    <col min="7686" max="7934" width="9.140625" style="523" customWidth="1"/>
    <col min="7935" max="7935" width="22.85546875" style="523" customWidth="1"/>
    <col min="7936" max="7936" width="9.42578125" style="523"/>
    <col min="7937" max="7937" width="22.85546875" style="523" customWidth="1"/>
    <col min="7938" max="7941" width="17" style="523" customWidth="1"/>
    <col min="7942" max="8190" width="9.140625" style="523" customWidth="1"/>
    <col min="8191" max="8191" width="22.85546875" style="523" customWidth="1"/>
    <col min="8192" max="8192" width="9.42578125" style="523"/>
    <col min="8193" max="8193" width="22.85546875" style="523" customWidth="1"/>
    <col min="8194" max="8197" width="17" style="523" customWidth="1"/>
    <col min="8198" max="8446" width="9.140625" style="523" customWidth="1"/>
    <col min="8447" max="8447" width="22.85546875" style="523" customWidth="1"/>
    <col min="8448" max="8448" width="9.42578125" style="523"/>
    <col min="8449" max="8449" width="22.85546875" style="523" customWidth="1"/>
    <col min="8450" max="8453" width="17" style="523" customWidth="1"/>
    <col min="8454" max="8702" width="9.140625" style="523" customWidth="1"/>
    <col min="8703" max="8703" width="22.85546875" style="523" customWidth="1"/>
    <col min="8704" max="8704" width="9.42578125" style="523"/>
    <col min="8705" max="8705" width="22.85546875" style="523" customWidth="1"/>
    <col min="8706" max="8709" width="17" style="523" customWidth="1"/>
    <col min="8710" max="8958" width="9.140625" style="523" customWidth="1"/>
    <col min="8959" max="8959" width="22.85546875" style="523" customWidth="1"/>
    <col min="8960" max="8960" width="9.42578125" style="523"/>
    <col min="8961" max="8961" width="22.85546875" style="523" customWidth="1"/>
    <col min="8962" max="8965" width="17" style="523" customWidth="1"/>
    <col min="8966" max="9214" width="9.140625" style="523" customWidth="1"/>
    <col min="9215" max="9215" width="22.85546875" style="523" customWidth="1"/>
    <col min="9216" max="9216" width="9.42578125" style="523"/>
    <col min="9217" max="9217" width="22.85546875" style="523" customWidth="1"/>
    <col min="9218" max="9221" width="17" style="523" customWidth="1"/>
    <col min="9222" max="9470" width="9.140625" style="523" customWidth="1"/>
    <col min="9471" max="9471" width="22.85546875" style="523" customWidth="1"/>
    <col min="9472" max="9472" width="9.42578125" style="523"/>
    <col min="9473" max="9473" width="22.85546875" style="523" customWidth="1"/>
    <col min="9474" max="9477" width="17" style="523" customWidth="1"/>
    <col min="9478" max="9726" width="9.140625" style="523" customWidth="1"/>
    <col min="9727" max="9727" width="22.85546875" style="523" customWidth="1"/>
    <col min="9728" max="9728" width="9.42578125" style="523"/>
    <col min="9729" max="9729" width="22.85546875" style="523" customWidth="1"/>
    <col min="9730" max="9733" width="17" style="523" customWidth="1"/>
    <col min="9734" max="9982" width="9.140625" style="523" customWidth="1"/>
    <col min="9983" max="9983" width="22.85546875" style="523" customWidth="1"/>
    <col min="9984" max="9984" width="9.42578125" style="523"/>
    <col min="9985" max="9985" width="22.85546875" style="523" customWidth="1"/>
    <col min="9986" max="9989" width="17" style="523" customWidth="1"/>
    <col min="9990" max="10238" width="9.140625" style="523" customWidth="1"/>
    <col min="10239" max="10239" width="22.85546875" style="523" customWidth="1"/>
    <col min="10240" max="10240" width="9.42578125" style="523"/>
    <col min="10241" max="10241" width="22.85546875" style="523" customWidth="1"/>
    <col min="10242" max="10245" width="17" style="523" customWidth="1"/>
    <col min="10246" max="10494" width="9.140625" style="523" customWidth="1"/>
    <col min="10495" max="10495" width="22.85546875" style="523" customWidth="1"/>
    <col min="10496" max="10496" width="9.42578125" style="523"/>
    <col min="10497" max="10497" width="22.85546875" style="523" customWidth="1"/>
    <col min="10498" max="10501" width="17" style="523" customWidth="1"/>
    <col min="10502" max="10750" width="9.140625" style="523" customWidth="1"/>
    <col min="10751" max="10751" width="22.85546875" style="523" customWidth="1"/>
    <col min="10752" max="10752" width="9.42578125" style="523"/>
    <col min="10753" max="10753" width="22.85546875" style="523" customWidth="1"/>
    <col min="10754" max="10757" width="17" style="523" customWidth="1"/>
    <col min="10758" max="11006" width="9.140625" style="523" customWidth="1"/>
    <col min="11007" max="11007" width="22.85546875" style="523" customWidth="1"/>
    <col min="11008" max="11008" width="9.42578125" style="523"/>
    <col min="11009" max="11009" width="22.85546875" style="523" customWidth="1"/>
    <col min="11010" max="11013" width="17" style="523" customWidth="1"/>
    <col min="11014" max="11262" width="9.140625" style="523" customWidth="1"/>
    <col min="11263" max="11263" width="22.85546875" style="523" customWidth="1"/>
    <col min="11264" max="11264" width="9.42578125" style="523"/>
    <col min="11265" max="11265" width="22.85546875" style="523" customWidth="1"/>
    <col min="11266" max="11269" width="17" style="523" customWidth="1"/>
    <col min="11270" max="11518" width="9.140625" style="523" customWidth="1"/>
    <col min="11519" max="11519" width="22.85546875" style="523" customWidth="1"/>
    <col min="11520" max="11520" width="9.42578125" style="523"/>
    <col min="11521" max="11521" width="22.85546875" style="523" customWidth="1"/>
    <col min="11522" max="11525" width="17" style="523" customWidth="1"/>
    <col min="11526" max="11774" width="9.140625" style="523" customWidth="1"/>
    <col min="11775" max="11775" width="22.85546875" style="523" customWidth="1"/>
    <col min="11776" max="11776" width="9.42578125" style="523"/>
    <col min="11777" max="11777" width="22.85546875" style="523" customWidth="1"/>
    <col min="11778" max="11781" width="17" style="523" customWidth="1"/>
    <col min="11782" max="12030" width="9.140625" style="523" customWidth="1"/>
    <col min="12031" max="12031" width="22.85546875" style="523" customWidth="1"/>
    <col min="12032" max="12032" width="9.42578125" style="523"/>
    <col min="12033" max="12033" width="22.85546875" style="523" customWidth="1"/>
    <col min="12034" max="12037" width="17" style="523" customWidth="1"/>
    <col min="12038" max="12286" width="9.140625" style="523" customWidth="1"/>
    <col min="12287" max="12287" width="22.85546875" style="523" customWidth="1"/>
    <col min="12288" max="12288" width="9.42578125" style="523"/>
    <col min="12289" max="12289" width="22.85546875" style="523" customWidth="1"/>
    <col min="12290" max="12293" width="17" style="523" customWidth="1"/>
    <col min="12294" max="12542" width="9.140625" style="523" customWidth="1"/>
    <col min="12543" max="12543" width="22.85546875" style="523" customWidth="1"/>
    <col min="12544" max="12544" width="9.42578125" style="523"/>
    <col min="12545" max="12545" width="22.85546875" style="523" customWidth="1"/>
    <col min="12546" max="12549" width="17" style="523" customWidth="1"/>
    <col min="12550" max="12798" width="9.140625" style="523" customWidth="1"/>
    <col min="12799" max="12799" width="22.85546875" style="523" customWidth="1"/>
    <col min="12800" max="12800" width="9.42578125" style="523"/>
    <col min="12801" max="12801" width="22.85546875" style="523" customWidth="1"/>
    <col min="12802" max="12805" width="17" style="523" customWidth="1"/>
    <col min="12806" max="13054" width="9.140625" style="523" customWidth="1"/>
    <col min="13055" max="13055" width="22.85546875" style="523" customWidth="1"/>
    <col min="13056" max="13056" width="9.42578125" style="523"/>
    <col min="13057" max="13057" width="22.85546875" style="523" customWidth="1"/>
    <col min="13058" max="13061" width="17" style="523" customWidth="1"/>
    <col min="13062" max="13310" width="9.140625" style="523" customWidth="1"/>
    <col min="13311" max="13311" width="22.85546875" style="523" customWidth="1"/>
    <col min="13312" max="13312" width="9.42578125" style="523"/>
    <col min="13313" max="13313" width="22.85546875" style="523" customWidth="1"/>
    <col min="13314" max="13317" width="17" style="523" customWidth="1"/>
    <col min="13318" max="13566" width="9.140625" style="523" customWidth="1"/>
    <col min="13567" max="13567" width="22.85546875" style="523" customWidth="1"/>
    <col min="13568" max="13568" width="9.42578125" style="523"/>
    <col min="13569" max="13569" width="22.85546875" style="523" customWidth="1"/>
    <col min="13570" max="13573" width="17" style="523" customWidth="1"/>
    <col min="13574" max="13822" width="9.140625" style="523" customWidth="1"/>
    <col min="13823" max="13823" width="22.85546875" style="523" customWidth="1"/>
    <col min="13824" max="13824" width="9.42578125" style="523"/>
    <col min="13825" max="13825" width="22.85546875" style="523" customWidth="1"/>
    <col min="13826" max="13829" width="17" style="523" customWidth="1"/>
    <col min="13830" max="14078" width="9.140625" style="523" customWidth="1"/>
    <col min="14079" max="14079" width="22.85546875" style="523" customWidth="1"/>
    <col min="14080" max="14080" width="9.42578125" style="523"/>
    <col min="14081" max="14081" width="22.85546875" style="523" customWidth="1"/>
    <col min="14082" max="14085" width="17" style="523" customWidth="1"/>
    <col min="14086" max="14334" width="9.140625" style="523" customWidth="1"/>
    <col min="14335" max="14335" width="22.85546875" style="523" customWidth="1"/>
    <col min="14336" max="14336" width="9.42578125" style="523"/>
    <col min="14337" max="14337" width="22.85546875" style="523" customWidth="1"/>
    <col min="14338" max="14341" width="17" style="523" customWidth="1"/>
    <col min="14342" max="14590" width="9.140625" style="523" customWidth="1"/>
    <col min="14591" max="14591" width="22.85546875" style="523" customWidth="1"/>
    <col min="14592" max="14592" width="9.42578125" style="523"/>
    <col min="14593" max="14593" width="22.85546875" style="523" customWidth="1"/>
    <col min="14594" max="14597" width="17" style="523" customWidth="1"/>
    <col min="14598" max="14846" width="9.140625" style="523" customWidth="1"/>
    <col min="14847" max="14847" width="22.85546875" style="523" customWidth="1"/>
    <col min="14848" max="14848" width="9.42578125" style="523"/>
    <col min="14849" max="14849" width="22.85546875" style="523" customWidth="1"/>
    <col min="14850" max="14853" width="17" style="523" customWidth="1"/>
    <col min="14854" max="15102" width="9.140625" style="523" customWidth="1"/>
    <col min="15103" max="15103" width="22.85546875" style="523" customWidth="1"/>
    <col min="15104" max="15104" width="9.42578125" style="523"/>
    <col min="15105" max="15105" width="22.85546875" style="523" customWidth="1"/>
    <col min="15106" max="15109" width="17" style="523" customWidth="1"/>
    <col min="15110" max="15358" width="9.140625" style="523" customWidth="1"/>
    <col min="15359" max="15359" width="22.85546875" style="523" customWidth="1"/>
    <col min="15360" max="15360" width="9.42578125" style="523"/>
    <col min="15361" max="15361" width="22.85546875" style="523" customWidth="1"/>
    <col min="15362" max="15365" width="17" style="523" customWidth="1"/>
    <col min="15366" max="15614" width="9.140625" style="523" customWidth="1"/>
    <col min="15615" max="15615" width="22.85546875" style="523" customWidth="1"/>
    <col min="15616" max="15616" width="9.42578125" style="523"/>
    <col min="15617" max="15617" width="22.85546875" style="523" customWidth="1"/>
    <col min="15618" max="15621" width="17" style="523" customWidth="1"/>
    <col min="15622" max="15870" width="9.140625" style="523" customWidth="1"/>
    <col min="15871" max="15871" width="22.85546875" style="523" customWidth="1"/>
    <col min="15872" max="15872" width="9.42578125" style="523"/>
    <col min="15873" max="15873" width="22.85546875" style="523" customWidth="1"/>
    <col min="15874" max="15877" width="17" style="523" customWidth="1"/>
    <col min="15878" max="16126" width="9.140625" style="523" customWidth="1"/>
    <col min="16127" max="16127" width="22.85546875" style="523" customWidth="1"/>
    <col min="16128" max="16128" width="9.42578125" style="523"/>
    <col min="16129" max="16129" width="22.85546875" style="523" customWidth="1"/>
    <col min="16130" max="16133" width="17" style="523" customWidth="1"/>
    <col min="16134" max="16382" width="9.140625" style="523" customWidth="1"/>
    <col min="16383" max="16383" width="22.85546875" style="523" customWidth="1"/>
    <col min="16384" max="16384" width="9.42578125" style="523"/>
  </cols>
  <sheetData>
    <row r="1" spans="1:7">
      <c r="C1" s="523" t="s">
        <v>1639</v>
      </c>
      <c r="G1" s="1383" t="s">
        <v>1020</v>
      </c>
    </row>
    <row r="5" spans="1:7" ht="15.75" customHeight="1"/>
    <row r="6" spans="1:7">
      <c r="A6" s="2402" t="s">
        <v>1638</v>
      </c>
      <c r="B6" s="2402"/>
      <c r="C6" s="2402"/>
      <c r="D6" s="2402"/>
      <c r="E6" s="2402"/>
    </row>
    <row r="7" spans="1:7">
      <c r="A7" s="2780" t="s">
        <v>1295</v>
      </c>
      <c r="B7" s="2780"/>
      <c r="C7" s="2780"/>
      <c r="D7" s="2780"/>
      <c r="E7" s="2780"/>
    </row>
    <row r="8" spans="1:7" ht="17.25" thickBot="1">
      <c r="A8" s="788"/>
      <c r="B8" s="618"/>
      <c r="C8" s="714"/>
      <c r="D8" s="617"/>
      <c r="E8" s="2299" t="s">
        <v>1263</v>
      </c>
    </row>
    <row r="9" spans="1:7" ht="17.25" thickTop="1">
      <c r="A9" s="2781" t="s">
        <v>1294</v>
      </c>
      <c r="B9" s="2784" t="s">
        <v>235</v>
      </c>
      <c r="C9" s="2787" t="s">
        <v>3</v>
      </c>
      <c r="D9" s="2790" t="s">
        <v>1637</v>
      </c>
      <c r="E9" s="2791"/>
    </row>
    <row r="10" spans="1:7">
      <c r="A10" s="2782"/>
      <c r="B10" s="2785"/>
      <c r="C10" s="2788"/>
      <c r="D10" s="2792"/>
      <c r="E10" s="2793"/>
    </row>
    <row r="11" spans="1:7">
      <c r="A11" s="2783"/>
      <c r="B11" s="2786"/>
      <c r="C11" s="2789"/>
      <c r="D11" s="757" t="s">
        <v>1</v>
      </c>
      <c r="E11" s="784" t="s">
        <v>4</v>
      </c>
    </row>
    <row r="12" spans="1:7" ht="17.25">
      <c r="A12" s="793" t="s">
        <v>1289</v>
      </c>
      <c r="B12" s="799"/>
      <c r="C12" s="798"/>
      <c r="D12" s="797"/>
      <c r="E12" s="796">
        <f>E24+E25</f>
        <v>104805000</v>
      </c>
    </row>
    <row r="13" spans="1:7">
      <c r="A13" s="773" t="s">
        <v>1308</v>
      </c>
      <c r="B13" s="769" t="s">
        <v>5</v>
      </c>
      <c r="C13" s="549">
        <v>12000</v>
      </c>
      <c r="D13" s="772">
        <v>1000</v>
      </c>
      <c r="E13" s="771">
        <f>D13*C13</f>
        <v>12000000</v>
      </c>
    </row>
    <row r="14" spans="1:7">
      <c r="A14" s="773" t="s">
        <v>1350</v>
      </c>
      <c r="B14" s="769" t="s">
        <v>1287</v>
      </c>
      <c r="C14" s="549">
        <v>800</v>
      </c>
      <c r="D14" s="772">
        <v>35000</v>
      </c>
      <c r="E14" s="771">
        <f>D14*C14</f>
        <v>28000000</v>
      </c>
    </row>
    <row r="15" spans="1:7">
      <c r="A15" s="773" t="s">
        <v>1305</v>
      </c>
      <c r="B15" s="769" t="s">
        <v>228</v>
      </c>
      <c r="C15" s="549">
        <v>450000</v>
      </c>
      <c r="D15" s="772">
        <v>15</v>
      </c>
      <c r="E15" s="771">
        <f>D15*C15</f>
        <v>6750000</v>
      </c>
    </row>
    <row r="16" spans="1:7">
      <c r="A16" s="773" t="s">
        <v>1304</v>
      </c>
      <c r="B16" s="769"/>
      <c r="C16" s="549"/>
      <c r="D16" s="772"/>
      <c r="E16" s="771">
        <f>SUM(E17:E20)</f>
        <v>5455000</v>
      </c>
    </row>
    <row r="17" spans="1:5">
      <c r="A17" s="779" t="s">
        <v>1284</v>
      </c>
      <c r="B17" s="769" t="s">
        <v>11</v>
      </c>
      <c r="C17" s="778">
        <v>10000</v>
      </c>
      <c r="D17" s="777">
        <v>67</v>
      </c>
      <c r="E17" s="776">
        <f t="shared" ref="E17:E23" si="0">D17*C17</f>
        <v>670000</v>
      </c>
    </row>
    <row r="18" spans="1:5">
      <c r="A18" s="779" t="s">
        <v>1283</v>
      </c>
      <c r="B18" s="769" t="s">
        <v>11</v>
      </c>
      <c r="C18" s="778">
        <v>3000</v>
      </c>
      <c r="D18" s="777">
        <v>225</v>
      </c>
      <c r="E18" s="776">
        <f t="shared" si="0"/>
        <v>675000</v>
      </c>
    </row>
    <row r="19" spans="1:5">
      <c r="A19" s="779" t="s">
        <v>1282</v>
      </c>
      <c r="B19" s="769" t="s">
        <v>11</v>
      </c>
      <c r="C19" s="778">
        <v>15000</v>
      </c>
      <c r="D19" s="777">
        <v>74</v>
      </c>
      <c r="E19" s="776">
        <f t="shared" si="0"/>
        <v>1110000</v>
      </c>
    </row>
    <row r="20" spans="1:5">
      <c r="A20" s="779" t="s">
        <v>1347</v>
      </c>
      <c r="B20" s="769" t="s">
        <v>11</v>
      </c>
      <c r="C20" s="778">
        <v>10000</v>
      </c>
      <c r="D20" s="777">
        <v>300</v>
      </c>
      <c r="E20" s="776">
        <f t="shared" si="0"/>
        <v>3000000</v>
      </c>
    </row>
    <row r="21" spans="1:5">
      <c r="A21" s="773" t="s">
        <v>1303</v>
      </c>
      <c r="B21" s="769" t="s">
        <v>11</v>
      </c>
      <c r="C21" s="549">
        <v>1000</v>
      </c>
      <c r="D21" s="772">
        <v>100</v>
      </c>
      <c r="E21" s="771">
        <f t="shared" si="0"/>
        <v>100000</v>
      </c>
    </row>
    <row r="22" spans="1:5">
      <c r="A22" s="773" t="s">
        <v>1623</v>
      </c>
      <c r="B22" s="769" t="s">
        <v>513</v>
      </c>
      <c r="C22" s="549">
        <v>200000</v>
      </c>
      <c r="D22" s="772">
        <v>120</v>
      </c>
      <c r="E22" s="771">
        <f t="shared" si="0"/>
        <v>24000000</v>
      </c>
    </row>
    <row r="23" spans="1:5">
      <c r="A23" s="773" t="s">
        <v>1301</v>
      </c>
      <c r="B23" s="769" t="s">
        <v>511</v>
      </c>
      <c r="C23" s="549">
        <v>250000</v>
      </c>
      <c r="D23" s="772">
        <v>90</v>
      </c>
      <c r="E23" s="771">
        <f t="shared" si="0"/>
        <v>22500000</v>
      </c>
    </row>
    <row r="24" spans="1:5" ht="17.25">
      <c r="A24" s="793" t="s">
        <v>1277</v>
      </c>
      <c r="B24" s="795"/>
      <c r="C24" s="794"/>
      <c r="D24" s="791"/>
      <c r="E24" s="790">
        <f>SUM(E13:E16)+SUM(E21:E23)</f>
        <v>98805000</v>
      </c>
    </row>
    <row r="25" spans="1:5">
      <c r="A25" s="773" t="s">
        <v>1300</v>
      </c>
      <c r="B25" s="769" t="s">
        <v>1270</v>
      </c>
      <c r="C25" s="549"/>
      <c r="D25" s="772"/>
      <c r="E25" s="771">
        <f>75000000*8%</f>
        <v>6000000</v>
      </c>
    </row>
    <row r="26" spans="1:5" ht="17.25">
      <c r="A26" s="793" t="s">
        <v>1275</v>
      </c>
      <c r="B26" s="795"/>
      <c r="C26" s="794"/>
      <c r="D26" s="791"/>
      <c r="E26" s="790">
        <f>E28</f>
        <v>189000000</v>
      </c>
    </row>
    <row r="27" spans="1:5">
      <c r="A27" s="773" t="s">
        <v>1340</v>
      </c>
      <c r="B27" s="769" t="s">
        <v>1273</v>
      </c>
      <c r="C27" s="549"/>
      <c r="D27" s="772">
        <v>210000</v>
      </c>
      <c r="E27" s="771"/>
    </row>
    <row r="28" spans="1:5">
      <c r="A28" s="773" t="s">
        <v>1636</v>
      </c>
      <c r="B28" s="769" t="s">
        <v>1270</v>
      </c>
      <c r="C28" s="549">
        <v>900</v>
      </c>
      <c r="D28" s="772"/>
      <c r="E28" s="771">
        <f>D27*C28</f>
        <v>189000000</v>
      </c>
    </row>
    <row r="29" spans="1:5">
      <c r="A29" s="793" t="s">
        <v>1271</v>
      </c>
      <c r="B29" s="769" t="s">
        <v>1270</v>
      </c>
      <c r="C29" s="792"/>
      <c r="D29" s="791"/>
      <c r="E29" s="790">
        <f>E26-E12</f>
        <v>84195000</v>
      </c>
    </row>
    <row r="30" spans="1:5" ht="17.25" thickBot="1">
      <c r="A30" s="789" t="s">
        <v>1269</v>
      </c>
      <c r="B30" s="586" t="s">
        <v>90</v>
      </c>
      <c r="C30" s="765"/>
      <c r="D30" s="764"/>
      <c r="E30" s="622">
        <f>E29/E26</f>
        <v>0.44547619047619047</v>
      </c>
    </row>
    <row r="31" spans="1:5" ht="18" thickTop="1">
      <c r="A31" s="524" t="s">
        <v>1268</v>
      </c>
      <c r="E31" s="717"/>
    </row>
    <row r="32" spans="1:5">
      <c r="A32" s="617" t="s">
        <v>1635</v>
      </c>
      <c r="B32" s="618"/>
      <c r="C32" s="714"/>
      <c r="D32" s="617"/>
      <c r="E32" s="617"/>
    </row>
    <row r="33" spans="1:5">
      <c r="A33" s="617" t="s">
        <v>1310</v>
      </c>
      <c r="B33" s="618"/>
      <c r="C33" s="714"/>
      <c r="D33" s="617"/>
      <c r="E33" s="617"/>
    </row>
    <row r="34" spans="1:5">
      <c r="A34" s="617" t="s">
        <v>1613</v>
      </c>
      <c r="B34" s="618"/>
      <c r="C34" s="714"/>
      <c r="D34" s="617"/>
      <c r="E34" s="617"/>
    </row>
  </sheetData>
  <mergeCells count="6">
    <mergeCell ref="A6:E6"/>
    <mergeCell ref="A7:E7"/>
    <mergeCell ref="A9:A11"/>
    <mergeCell ref="B9:B11"/>
    <mergeCell ref="C9:C11"/>
    <mergeCell ref="D9:E10"/>
  </mergeCells>
  <pageMargins left="1" right="0.5" top="0.75" bottom="0.75" header="0.5" footer="0.5"/>
  <pageSetup orientation="portrait" r:id="rId1"/>
  <headerFooter>
    <oddFooter>&amp;CTrang</oddFooter>
  </headerFooter>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IV39"/>
  <sheetViews>
    <sheetView workbookViewId="0">
      <selection activeCell="J13" sqref="J13"/>
    </sheetView>
  </sheetViews>
  <sheetFormatPr defaultRowHeight="16.5"/>
  <cols>
    <col min="1" max="1" width="30.28515625" style="523" customWidth="1"/>
    <col min="2" max="2" width="13" style="523" bestFit="1" customWidth="1"/>
    <col min="3" max="3" width="11.28515625" style="523" bestFit="1" customWidth="1"/>
    <col min="4" max="4" width="10" style="523" bestFit="1" customWidth="1"/>
    <col min="5" max="5" width="14.140625" style="523" bestFit="1" customWidth="1"/>
    <col min="6" max="6" width="10" style="523" bestFit="1" customWidth="1"/>
    <col min="7" max="7" width="14.85546875" style="523" bestFit="1" customWidth="1"/>
    <col min="8" max="256" width="9.140625" style="523"/>
    <col min="257" max="257" width="22.85546875" style="523" customWidth="1"/>
    <col min="258" max="258" width="9.42578125" style="523" customWidth="1"/>
    <col min="259" max="259" width="9.85546875" style="523" customWidth="1"/>
    <col min="260" max="260" width="11.28515625" style="523" customWidth="1"/>
    <col min="261" max="261" width="13.7109375" style="523" customWidth="1"/>
    <col min="262" max="262" width="11.5703125" style="523" customWidth="1"/>
    <col min="263" max="263" width="12.28515625" style="523" customWidth="1"/>
    <col min="264" max="512" width="9.140625" style="523"/>
    <col min="513" max="513" width="22.85546875" style="523" customWidth="1"/>
    <col min="514" max="514" width="9.42578125" style="523" customWidth="1"/>
    <col min="515" max="515" width="9.85546875" style="523" customWidth="1"/>
    <col min="516" max="516" width="11.28515625" style="523" customWidth="1"/>
    <col min="517" max="517" width="13.7109375" style="523" customWidth="1"/>
    <col min="518" max="518" width="11.5703125" style="523" customWidth="1"/>
    <col min="519" max="519" width="12.28515625" style="523" customWidth="1"/>
    <col min="520" max="768" width="9.140625" style="523"/>
    <col min="769" max="769" width="22.85546875" style="523" customWidth="1"/>
    <col min="770" max="770" width="9.42578125" style="523" customWidth="1"/>
    <col min="771" max="771" width="9.85546875" style="523" customWidth="1"/>
    <col min="772" max="772" width="11.28515625" style="523" customWidth="1"/>
    <col min="773" max="773" width="13.7109375" style="523" customWidth="1"/>
    <col min="774" max="774" width="11.5703125" style="523" customWidth="1"/>
    <col min="775" max="775" width="12.28515625" style="523" customWidth="1"/>
    <col min="776" max="1024" width="9.140625" style="523"/>
    <col min="1025" max="1025" width="22.85546875" style="523" customWidth="1"/>
    <col min="1026" max="1026" width="9.42578125" style="523" customWidth="1"/>
    <col min="1027" max="1027" width="9.85546875" style="523" customWidth="1"/>
    <col min="1028" max="1028" width="11.28515625" style="523" customWidth="1"/>
    <col min="1029" max="1029" width="13.7109375" style="523" customWidth="1"/>
    <col min="1030" max="1030" width="11.5703125" style="523" customWidth="1"/>
    <col min="1031" max="1031" width="12.28515625" style="523" customWidth="1"/>
    <col min="1032" max="1280" width="9.140625" style="523"/>
    <col min="1281" max="1281" width="22.85546875" style="523" customWidth="1"/>
    <col min="1282" max="1282" width="9.42578125" style="523" customWidth="1"/>
    <col min="1283" max="1283" width="9.85546875" style="523" customWidth="1"/>
    <col min="1284" max="1284" width="11.28515625" style="523" customWidth="1"/>
    <col min="1285" max="1285" width="13.7109375" style="523" customWidth="1"/>
    <col min="1286" max="1286" width="11.5703125" style="523" customWidth="1"/>
    <col min="1287" max="1287" width="12.28515625" style="523" customWidth="1"/>
    <col min="1288" max="1536" width="9.140625" style="523"/>
    <col min="1537" max="1537" width="22.85546875" style="523" customWidth="1"/>
    <col min="1538" max="1538" width="9.42578125" style="523" customWidth="1"/>
    <col min="1539" max="1539" width="9.85546875" style="523" customWidth="1"/>
    <col min="1540" max="1540" width="11.28515625" style="523" customWidth="1"/>
    <col min="1541" max="1541" width="13.7109375" style="523" customWidth="1"/>
    <col min="1542" max="1542" width="11.5703125" style="523" customWidth="1"/>
    <col min="1543" max="1543" width="12.28515625" style="523" customWidth="1"/>
    <col min="1544" max="1792" width="9.140625" style="523"/>
    <col min="1793" max="1793" width="22.85546875" style="523" customWidth="1"/>
    <col min="1794" max="1794" width="9.42578125" style="523" customWidth="1"/>
    <col min="1795" max="1795" width="9.85546875" style="523" customWidth="1"/>
    <col min="1796" max="1796" width="11.28515625" style="523" customWidth="1"/>
    <col min="1797" max="1797" width="13.7109375" style="523" customWidth="1"/>
    <col min="1798" max="1798" width="11.5703125" style="523" customWidth="1"/>
    <col min="1799" max="1799" width="12.28515625" style="523" customWidth="1"/>
    <col min="1800" max="2048" width="9.140625" style="523"/>
    <col min="2049" max="2049" width="22.85546875" style="523" customWidth="1"/>
    <col min="2050" max="2050" width="9.42578125" style="523" customWidth="1"/>
    <col min="2051" max="2051" width="9.85546875" style="523" customWidth="1"/>
    <col min="2052" max="2052" width="11.28515625" style="523" customWidth="1"/>
    <col min="2053" max="2053" width="13.7109375" style="523" customWidth="1"/>
    <col min="2054" max="2054" width="11.5703125" style="523" customWidth="1"/>
    <col min="2055" max="2055" width="12.28515625" style="523" customWidth="1"/>
    <col min="2056" max="2304" width="9.140625" style="523"/>
    <col min="2305" max="2305" width="22.85546875" style="523" customWidth="1"/>
    <col min="2306" max="2306" width="9.42578125" style="523" customWidth="1"/>
    <col min="2307" max="2307" width="9.85546875" style="523" customWidth="1"/>
    <col min="2308" max="2308" width="11.28515625" style="523" customWidth="1"/>
    <col min="2309" max="2309" width="13.7109375" style="523" customWidth="1"/>
    <col min="2310" max="2310" width="11.5703125" style="523" customWidth="1"/>
    <col min="2311" max="2311" width="12.28515625" style="523" customWidth="1"/>
    <col min="2312" max="2560" width="9.140625" style="523"/>
    <col min="2561" max="2561" width="22.85546875" style="523" customWidth="1"/>
    <col min="2562" max="2562" width="9.42578125" style="523" customWidth="1"/>
    <col min="2563" max="2563" width="9.85546875" style="523" customWidth="1"/>
    <col min="2564" max="2564" width="11.28515625" style="523" customWidth="1"/>
    <col min="2565" max="2565" width="13.7109375" style="523" customWidth="1"/>
    <col min="2566" max="2566" width="11.5703125" style="523" customWidth="1"/>
    <col min="2567" max="2567" width="12.28515625" style="523" customWidth="1"/>
    <col min="2568" max="2816" width="9.140625" style="523"/>
    <col min="2817" max="2817" width="22.85546875" style="523" customWidth="1"/>
    <col min="2818" max="2818" width="9.42578125" style="523" customWidth="1"/>
    <col min="2819" max="2819" width="9.85546875" style="523" customWidth="1"/>
    <col min="2820" max="2820" width="11.28515625" style="523" customWidth="1"/>
    <col min="2821" max="2821" width="13.7109375" style="523" customWidth="1"/>
    <col min="2822" max="2822" width="11.5703125" style="523" customWidth="1"/>
    <col min="2823" max="2823" width="12.28515625" style="523" customWidth="1"/>
    <col min="2824" max="3072" width="9.140625" style="523"/>
    <col min="3073" max="3073" width="22.85546875" style="523" customWidth="1"/>
    <col min="3074" max="3074" width="9.42578125" style="523" customWidth="1"/>
    <col min="3075" max="3075" width="9.85546875" style="523" customWidth="1"/>
    <col min="3076" max="3076" width="11.28515625" style="523" customWidth="1"/>
    <col min="3077" max="3077" width="13.7109375" style="523" customWidth="1"/>
    <col min="3078" max="3078" width="11.5703125" style="523" customWidth="1"/>
    <col min="3079" max="3079" width="12.28515625" style="523" customWidth="1"/>
    <col min="3080" max="3328" width="9.140625" style="523"/>
    <col min="3329" max="3329" width="22.85546875" style="523" customWidth="1"/>
    <col min="3330" max="3330" width="9.42578125" style="523" customWidth="1"/>
    <col min="3331" max="3331" width="9.85546875" style="523" customWidth="1"/>
    <col min="3332" max="3332" width="11.28515625" style="523" customWidth="1"/>
    <col min="3333" max="3333" width="13.7109375" style="523" customWidth="1"/>
    <col min="3334" max="3334" width="11.5703125" style="523" customWidth="1"/>
    <col min="3335" max="3335" width="12.28515625" style="523" customWidth="1"/>
    <col min="3336" max="3584" width="9.140625" style="523"/>
    <col min="3585" max="3585" width="22.85546875" style="523" customWidth="1"/>
    <col min="3586" max="3586" width="9.42578125" style="523" customWidth="1"/>
    <col min="3587" max="3587" width="9.85546875" style="523" customWidth="1"/>
    <col min="3588" max="3588" width="11.28515625" style="523" customWidth="1"/>
    <col min="3589" max="3589" width="13.7109375" style="523" customWidth="1"/>
    <col min="3590" max="3590" width="11.5703125" style="523" customWidth="1"/>
    <col min="3591" max="3591" width="12.28515625" style="523" customWidth="1"/>
    <col min="3592" max="3840" width="9.140625" style="523"/>
    <col min="3841" max="3841" width="22.85546875" style="523" customWidth="1"/>
    <col min="3842" max="3842" width="9.42578125" style="523" customWidth="1"/>
    <col min="3843" max="3843" width="9.85546875" style="523" customWidth="1"/>
    <col min="3844" max="3844" width="11.28515625" style="523" customWidth="1"/>
    <col min="3845" max="3845" width="13.7109375" style="523" customWidth="1"/>
    <col min="3846" max="3846" width="11.5703125" style="523" customWidth="1"/>
    <col min="3847" max="3847" width="12.28515625" style="523" customWidth="1"/>
    <col min="3848" max="4096" width="9.140625" style="523"/>
    <col min="4097" max="4097" width="22.85546875" style="523" customWidth="1"/>
    <col min="4098" max="4098" width="9.42578125" style="523" customWidth="1"/>
    <col min="4099" max="4099" width="9.85546875" style="523" customWidth="1"/>
    <col min="4100" max="4100" width="11.28515625" style="523" customWidth="1"/>
    <col min="4101" max="4101" width="13.7109375" style="523" customWidth="1"/>
    <col min="4102" max="4102" width="11.5703125" style="523" customWidth="1"/>
    <col min="4103" max="4103" width="12.28515625" style="523" customWidth="1"/>
    <col min="4104" max="4352" width="9.140625" style="523"/>
    <col min="4353" max="4353" width="22.85546875" style="523" customWidth="1"/>
    <col min="4354" max="4354" width="9.42578125" style="523" customWidth="1"/>
    <col min="4355" max="4355" width="9.85546875" style="523" customWidth="1"/>
    <col min="4356" max="4356" width="11.28515625" style="523" customWidth="1"/>
    <col min="4357" max="4357" width="13.7109375" style="523" customWidth="1"/>
    <col min="4358" max="4358" width="11.5703125" style="523" customWidth="1"/>
    <col min="4359" max="4359" width="12.28515625" style="523" customWidth="1"/>
    <col min="4360" max="4608" width="9.140625" style="523"/>
    <col min="4609" max="4609" width="22.85546875" style="523" customWidth="1"/>
    <col min="4610" max="4610" width="9.42578125" style="523" customWidth="1"/>
    <col min="4611" max="4611" width="9.85546875" style="523" customWidth="1"/>
    <col min="4612" max="4612" width="11.28515625" style="523" customWidth="1"/>
    <col min="4613" max="4613" width="13.7109375" style="523" customWidth="1"/>
    <col min="4614" max="4614" width="11.5703125" style="523" customWidth="1"/>
    <col min="4615" max="4615" width="12.28515625" style="523" customWidth="1"/>
    <col min="4616" max="4864" width="9.140625" style="523"/>
    <col min="4865" max="4865" width="22.85546875" style="523" customWidth="1"/>
    <col min="4866" max="4866" width="9.42578125" style="523" customWidth="1"/>
    <col min="4867" max="4867" width="9.85546875" style="523" customWidth="1"/>
    <col min="4868" max="4868" width="11.28515625" style="523" customWidth="1"/>
    <col min="4869" max="4869" width="13.7109375" style="523" customWidth="1"/>
    <col min="4870" max="4870" width="11.5703125" style="523" customWidth="1"/>
    <col min="4871" max="4871" width="12.28515625" style="523" customWidth="1"/>
    <col min="4872" max="5120" width="9.140625" style="523"/>
    <col min="5121" max="5121" width="22.85546875" style="523" customWidth="1"/>
    <col min="5122" max="5122" width="9.42578125" style="523" customWidth="1"/>
    <col min="5123" max="5123" width="9.85546875" style="523" customWidth="1"/>
    <col min="5124" max="5124" width="11.28515625" style="523" customWidth="1"/>
    <col min="5125" max="5125" width="13.7109375" style="523" customWidth="1"/>
    <col min="5126" max="5126" width="11.5703125" style="523" customWidth="1"/>
    <col min="5127" max="5127" width="12.28515625" style="523" customWidth="1"/>
    <col min="5128" max="5376" width="9.140625" style="523"/>
    <col min="5377" max="5377" width="22.85546875" style="523" customWidth="1"/>
    <col min="5378" max="5378" width="9.42578125" style="523" customWidth="1"/>
    <col min="5379" max="5379" width="9.85546875" style="523" customWidth="1"/>
    <col min="5380" max="5380" width="11.28515625" style="523" customWidth="1"/>
    <col min="5381" max="5381" width="13.7109375" style="523" customWidth="1"/>
    <col min="5382" max="5382" width="11.5703125" style="523" customWidth="1"/>
    <col min="5383" max="5383" width="12.28515625" style="523" customWidth="1"/>
    <col min="5384" max="5632" width="9.140625" style="523"/>
    <col min="5633" max="5633" width="22.85546875" style="523" customWidth="1"/>
    <col min="5634" max="5634" width="9.42578125" style="523" customWidth="1"/>
    <col min="5635" max="5635" width="9.85546875" style="523" customWidth="1"/>
    <col min="5636" max="5636" width="11.28515625" style="523" customWidth="1"/>
    <col min="5637" max="5637" width="13.7109375" style="523" customWidth="1"/>
    <col min="5638" max="5638" width="11.5703125" style="523" customWidth="1"/>
    <col min="5639" max="5639" width="12.28515625" style="523" customWidth="1"/>
    <col min="5640" max="5888" width="9.140625" style="523"/>
    <col min="5889" max="5889" width="22.85546875" style="523" customWidth="1"/>
    <col min="5890" max="5890" width="9.42578125" style="523" customWidth="1"/>
    <col min="5891" max="5891" width="9.85546875" style="523" customWidth="1"/>
    <col min="5892" max="5892" width="11.28515625" style="523" customWidth="1"/>
    <col min="5893" max="5893" width="13.7109375" style="523" customWidth="1"/>
    <col min="5894" max="5894" width="11.5703125" style="523" customWidth="1"/>
    <col min="5895" max="5895" width="12.28515625" style="523" customWidth="1"/>
    <col min="5896" max="6144" width="9.140625" style="523"/>
    <col min="6145" max="6145" width="22.85546875" style="523" customWidth="1"/>
    <col min="6146" max="6146" width="9.42578125" style="523" customWidth="1"/>
    <col min="6147" max="6147" width="9.85546875" style="523" customWidth="1"/>
    <col min="6148" max="6148" width="11.28515625" style="523" customWidth="1"/>
    <col min="6149" max="6149" width="13.7109375" style="523" customWidth="1"/>
    <col min="6150" max="6150" width="11.5703125" style="523" customWidth="1"/>
    <col min="6151" max="6151" width="12.28515625" style="523" customWidth="1"/>
    <col min="6152" max="6400" width="9.140625" style="523"/>
    <col min="6401" max="6401" width="22.85546875" style="523" customWidth="1"/>
    <col min="6402" max="6402" width="9.42578125" style="523" customWidth="1"/>
    <col min="6403" max="6403" width="9.85546875" style="523" customWidth="1"/>
    <col min="6404" max="6404" width="11.28515625" style="523" customWidth="1"/>
    <col min="6405" max="6405" width="13.7109375" style="523" customWidth="1"/>
    <col min="6406" max="6406" width="11.5703125" style="523" customWidth="1"/>
    <col min="6407" max="6407" width="12.28515625" style="523" customWidth="1"/>
    <col min="6408" max="6656" width="9.140625" style="523"/>
    <col min="6657" max="6657" width="22.85546875" style="523" customWidth="1"/>
    <col min="6658" max="6658" width="9.42578125" style="523" customWidth="1"/>
    <col min="6659" max="6659" width="9.85546875" style="523" customWidth="1"/>
    <col min="6660" max="6660" width="11.28515625" style="523" customWidth="1"/>
    <col min="6661" max="6661" width="13.7109375" style="523" customWidth="1"/>
    <col min="6662" max="6662" width="11.5703125" style="523" customWidth="1"/>
    <col min="6663" max="6663" width="12.28515625" style="523" customWidth="1"/>
    <col min="6664" max="6912" width="9.140625" style="523"/>
    <col min="6913" max="6913" width="22.85546875" style="523" customWidth="1"/>
    <col min="6914" max="6914" width="9.42578125" style="523" customWidth="1"/>
    <col min="6915" max="6915" width="9.85546875" style="523" customWidth="1"/>
    <col min="6916" max="6916" width="11.28515625" style="523" customWidth="1"/>
    <col min="6917" max="6917" width="13.7109375" style="523" customWidth="1"/>
    <col min="6918" max="6918" width="11.5703125" style="523" customWidth="1"/>
    <col min="6919" max="6919" width="12.28515625" style="523" customWidth="1"/>
    <col min="6920" max="7168" width="9.140625" style="523"/>
    <col min="7169" max="7169" width="22.85546875" style="523" customWidth="1"/>
    <col min="7170" max="7170" width="9.42578125" style="523" customWidth="1"/>
    <col min="7171" max="7171" width="9.85546875" style="523" customWidth="1"/>
    <col min="7172" max="7172" width="11.28515625" style="523" customWidth="1"/>
    <col min="7173" max="7173" width="13.7109375" style="523" customWidth="1"/>
    <col min="7174" max="7174" width="11.5703125" style="523" customWidth="1"/>
    <col min="7175" max="7175" width="12.28515625" style="523" customWidth="1"/>
    <col min="7176" max="7424" width="9.140625" style="523"/>
    <col min="7425" max="7425" width="22.85546875" style="523" customWidth="1"/>
    <col min="7426" max="7426" width="9.42578125" style="523" customWidth="1"/>
    <col min="7427" max="7427" width="9.85546875" style="523" customWidth="1"/>
    <col min="7428" max="7428" width="11.28515625" style="523" customWidth="1"/>
    <col min="7429" max="7429" width="13.7109375" style="523" customWidth="1"/>
    <col min="7430" max="7430" width="11.5703125" style="523" customWidth="1"/>
    <col min="7431" max="7431" width="12.28515625" style="523" customWidth="1"/>
    <col min="7432" max="7680" width="9.140625" style="523"/>
    <col min="7681" max="7681" width="22.85546875" style="523" customWidth="1"/>
    <col min="7682" max="7682" width="9.42578125" style="523" customWidth="1"/>
    <col min="7683" max="7683" width="9.85546875" style="523" customWidth="1"/>
    <col min="7684" max="7684" width="11.28515625" style="523" customWidth="1"/>
    <col min="7685" max="7685" width="13.7109375" style="523" customWidth="1"/>
    <col min="7686" max="7686" width="11.5703125" style="523" customWidth="1"/>
    <col min="7687" max="7687" width="12.28515625" style="523" customWidth="1"/>
    <col min="7688" max="7936" width="9.140625" style="523"/>
    <col min="7937" max="7937" width="22.85546875" style="523" customWidth="1"/>
    <col min="7938" max="7938" width="9.42578125" style="523" customWidth="1"/>
    <col min="7939" max="7939" width="9.85546875" style="523" customWidth="1"/>
    <col min="7940" max="7940" width="11.28515625" style="523" customWidth="1"/>
    <col min="7941" max="7941" width="13.7109375" style="523" customWidth="1"/>
    <col min="7942" max="7942" width="11.5703125" style="523" customWidth="1"/>
    <col min="7943" max="7943" width="12.28515625" style="523" customWidth="1"/>
    <col min="7944" max="8192" width="9.140625" style="523"/>
    <col min="8193" max="8193" width="22.85546875" style="523" customWidth="1"/>
    <col min="8194" max="8194" width="9.42578125" style="523" customWidth="1"/>
    <col min="8195" max="8195" width="9.85546875" style="523" customWidth="1"/>
    <col min="8196" max="8196" width="11.28515625" style="523" customWidth="1"/>
    <col min="8197" max="8197" width="13.7109375" style="523" customWidth="1"/>
    <col min="8198" max="8198" width="11.5703125" style="523" customWidth="1"/>
    <col min="8199" max="8199" width="12.28515625" style="523" customWidth="1"/>
    <col min="8200" max="8448" width="9.140625" style="523"/>
    <col min="8449" max="8449" width="22.85546875" style="523" customWidth="1"/>
    <col min="8450" max="8450" width="9.42578125" style="523" customWidth="1"/>
    <col min="8451" max="8451" width="9.85546875" style="523" customWidth="1"/>
    <col min="8452" max="8452" width="11.28515625" style="523" customWidth="1"/>
    <col min="8453" max="8453" width="13.7109375" style="523" customWidth="1"/>
    <col min="8454" max="8454" width="11.5703125" style="523" customWidth="1"/>
    <col min="8455" max="8455" width="12.28515625" style="523" customWidth="1"/>
    <col min="8456" max="8704" width="9.140625" style="523"/>
    <col min="8705" max="8705" width="22.85546875" style="523" customWidth="1"/>
    <col min="8706" max="8706" width="9.42578125" style="523" customWidth="1"/>
    <col min="8707" max="8707" width="9.85546875" style="523" customWidth="1"/>
    <col min="8708" max="8708" width="11.28515625" style="523" customWidth="1"/>
    <col min="8709" max="8709" width="13.7109375" style="523" customWidth="1"/>
    <col min="8710" max="8710" width="11.5703125" style="523" customWidth="1"/>
    <col min="8711" max="8711" width="12.28515625" style="523" customWidth="1"/>
    <col min="8712" max="8960" width="9.140625" style="523"/>
    <col min="8961" max="8961" width="22.85546875" style="523" customWidth="1"/>
    <col min="8962" max="8962" width="9.42578125" style="523" customWidth="1"/>
    <col min="8963" max="8963" width="9.85546875" style="523" customWidth="1"/>
    <col min="8964" max="8964" width="11.28515625" style="523" customWidth="1"/>
    <col min="8965" max="8965" width="13.7109375" style="523" customWidth="1"/>
    <col min="8966" max="8966" width="11.5703125" style="523" customWidth="1"/>
    <col min="8967" max="8967" width="12.28515625" style="523" customWidth="1"/>
    <col min="8968" max="9216" width="9.140625" style="523"/>
    <col min="9217" max="9217" width="22.85546875" style="523" customWidth="1"/>
    <col min="9218" max="9218" width="9.42578125" style="523" customWidth="1"/>
    <col min="9219" max="9219" width="9.85546875" style="523" customWidth="1"/>
    <col min="9220" max="9220" width="11.28515625" style="523" customWidth="1"/>
    <col min="9221" max="9221" width="13.7109375" style="523" customWidth="1"/>
    <col min="9222" max="9222" width="11.5703125" style="523" customWidth="1"/>
    <col min="9223" max="9223" width="12.28515625" style="523" customWidth="1"/>
    <col min="9224" max="9472" width="9.140625" style="523"/>
    <col min="9473" max="9473" width="22.85546875" style="523" customWidth="1"/>
    <col min="9474" max="9474" width="9.42578125" style="523" customWidth="1"/>
    <col min="9475" max="9475" width="9.85546875" style="523" customWidth="1"/>
    <col min="9476" max="9476" width="11.28515625" style="523" customWidth="1"/>
    <col min="9477" max="9477" width="13.7109375" style="523" customWidth="1"/>
    <col min="9478" max="9478" width="11.5703125" style="523" customWidth="1"/>
    <col min="9479" max="9479" width="12.28515625" style="523" customWidth="1"/>
    <col min="9480" max="9728" width="9.140625" style="523"/>
    <col min="9729" max="9729" width="22.85546875" style="523" customWidth="1"/>
    <col min="9730" max="9730" width="9.42578125" style="523" customWidth="1"/>
    <col min="9731" max="9731" width="9.85546875" style="523" customWidth="1"/>
    <col min="9732" max="9732" width="11.28515625" style="523" customWidth="1"/>
    <col min="9733" max="9733" width="13.7109375" style="523" customWidth="1"/>
    <col min="9734" max="9734" width="11.5703125" style="523" customWidth="1"/>
    <col min="9735" max="9735" width="12.28515625" style="523" customWidth="1"/>
    <col min="9736" max="9984" width="9.140625" style="523"/>
    <col min="9985" max="9985" width="22.85546875" style="523" customWidth="1"/>
    <col min="9986" max="9986" width="9.42578125" style="523" customWidth="1"/>
    <col min="9987" max="9987" width="9.85546875" style="523" customWidth="1"/>
    <col min="9988" max="9988" width="11.28515625" style="523" customWidth="1"/>
    <col min="9989" max="9989" width="13.7109375" style="523" customWidth="1"/>
    <col min="9990" max="9990" width="11.5703125" style="523" customWidth="1"/>
    <col min="9991" max="9991" width="12.28515625" style="523" customWidth="1"/>
    <col min="9992" max="10240" width="9.140625" style="523"/>
    <col min="10241" max="10241" width="22.85546875" style="523" customWidth="1"/>
    <col min="10242" max="10242" width="9.42578125" style="523" customWidth="1"/>
    <col min="10243" max="10243" width="9.85546875" style="523" customWidth="1"/>
    <col min="10244" max="10244" width="11.28515625" style="523" customWidth="1"/>
    <col min="10245" max="10245" width="13.7109375" style="523" customWidth="1"/>
    <col min="10246" max="10246" width="11.5703125" style="523" customWidth="1"/>
    <col min="10247" max="10247" width="12.28515625" style="523" customWidth="1"/>
    <col min="10248" max="10496" width="9.140625" style="523"/>
    <col min="10497" max="10497" width="22.85546875" style="523" customWidth="1"/>
    <col min="10498" max="10498" width="9.42578125" style="523" customWidth="1"/>
    <col min="10499" max="10499" width="9.85546875" style="523" customWidth="1"/>
    <col min="10500" max="10500" width="11.28515625" style="523" customWidth="1"/>
    <col min="10501" max="10501" width="13.7109375" style="523" customWidth="1"/>
    <col min="10502" max="10502" width="11.5703125" style="523" customWidth="1"/>
    <col min="10503" max="10503" width="12.28515625" style="523" customWidth="1"/>
    <col min="10504" max="10752" width="9.140625" style="523"/>
    <col min="10753" max="10753" width="22.85546875" style="523" customWidth="1"/>
    <col min="10754" max="10754" width="9.42578125" style="523" customWidth="1"/>
    <col min="10755" max="10755" width="9.85546875" style="523" customWidth="1"/>
    <col min="10756" max="10756" width="11.28515625" style="523" customWidth="1"/>
    <col min="10757" max="10757" width="13.7109375" style="523" customWidth="1"/>
    <col min="10758" max="10758" width="11.5703125" style="523" customWidth="1"/>
    <col min="10759" max="10759" width="12.28515625" style="523" customWidth="1"/>
    <col min="10760" max="11008" width="9.140625" style="523"/>
    <col min="11009" max="11009" width="22.85546875" style="523" customWidth="1"/>
    <col min="11010" max="11010" width="9.42578125" style="523" customWidth="1"/>
    <col min="11011" max="11011" width="9.85546875" style="523" customWidth="1"/>
    <col min="11012" max="11012" width="11.28515625" style="523" customWidth="1"/>
    <col min="11013" max="11013" width="13.7109375" style="523" customWidth="1"/>
    <col min="11014" max="11014" width="11.5703125" style="523" customWidth="1"/>
    <col min="11015" max="11015" width="12.28515625" style="523" customWidth="1"/>
    <col min="11016" max="11264" width="9.140625" style="523"/>
    <col min="11265" max="11265" width="22.85546875" style="523" customWidth="1"/>
    <col min="11266" max="11266" width="9.42578125" style="523" customWidth="1"/>
    <col min="11267" max="11267" width="9.85546875" style="523" customWidth="1"/>
    <col min="11268" max="11268" width="11.28515625" style="523" customWidth="1"/>
    <col min="11269" max="11269" width="13.7109375" style="523" customWidth="1"/>
    <col min="11270" max="11270" width="11.5703125" style="523" customWidth="1"/>
    <col min="11271" max="11271" width="12.28515625" style="523" customWidth="1"/>
    <col min="11272" max="11520" width="9.140625" style="523"/>
    <col min="11521" max="11521" width="22.85546875" style="523" customWidth="1"/>
    <col min="11522" max="11522" width="9.42578125" style="523" customWidth="1"/>
    <col min="11523" max="11523" width="9.85546875" style="523" customWidth="1"/>
    <col min="11524" max="11524" width="11.28515625" style="523" customWidth="1"/>
    <col min="11525" max="11525" width="13.7109375" style="523" customWidth="1"/>
    <col min="11526" max="11526" width="11.5703125" style="523" customWidth="1"/>
    <col min="11527" max="11527" width="12.28515625" style="523" customWidth="1"/>
    <col min="11528" max="11776" width="9.140625" style="523"/>
    <col min="11777" max="11777" width="22.85546875" style="523" customWidth="1"/>
    <col min="11778" max="11778" width="9.42578125" style="523" customWidth="1"/>
    <col min="11779" max="11779" width="9.85546875" style="523" customWidth="1"/>
    <col min="11780" max="11780" width="11.28515625" style="523" customWidth="1"/>
    <col min="11781" max="11781" width="13.7109375" style="523" customWidth="1"/>
    <col min="11782" max="11782" width="11.5703125" style="523" customWidth="1"/>
    <col min="11783" max="11783" width="12.28515625" style="523" customWidth="1"/>
    <col min="11784" max="12032" width="9.140625" style="523"/>
    <col min="12033" max="12033" width="22.85546875" style="523" customWidth="1"/>
    <col min="12034" max="12034" width="9.42578125" style="523" customWidth="1"/>
    <col min="12035" max="12035" width="9.85546875" style="523" customWidth="1"/>
    <col min="12036" max="12036" width="11.28515625" style="523" customWidth="1"/>
    <col min="12037" max="12037" width="13.7109375" style="523" customWidth="1"/>
    <col min="12038" max="12038" width="11.5703125" style="523" customWidth="1"/>
    <col min="12039" max="12039" width="12.28515625" style="523" customWidth="1"/>
    <col min="12040" max="12288" width="9.140625" style="523"/>
    <col min="12289" max="12289" width="22.85546875" style="523" customWidth="1"/>
    <col min="12290" max="12290" width="9.42578125" style="523" customWidth="1"/>
    <col min="12291" max="12291" width="9.85546875" style="523" customWidth="1"/>
    <col min="12292" max="12292" width="11.28515625" style="523" customWidth="1"/>
    <col min="12293" max="12293" width="13.7109375" style="523" customWidth="1"/>
    <col min="12294" max="12294" width="11.5703125" style="523" customWidth="1"/>
    <col min="12295" max="12295" width="12.28515625" style="523" customWidth="1"/>
    <col min="12296" max="12544" width="9.140625" style="523"/>
    <col min="12545" max="12545" width="22.85546875" style="523" customWidth="1"/>
    <col min="12546" max="12546" width="9.42578125" style="523" customWidth="1"/>
    <col min="12547" max="12547" width="9.85546875" style="523" customWidth="1"/>
    <col min="12548" max="12548" width="11.28515625" style="523" customWidth="1"/>
    <col min="12549" max="12549" width="13.7109375" style="523" customWidth="1"/>
    <col min="12550" max="12550" width="11.5703125" style="523" customWidth="1"/>
    <col min="12551" max="12551" width="12.28515625" style="523" customWidth="1"/>
    <col min="12552" max="12800" width="9.140625" style="523"/>
    <col min="12801" max="12801" width="22.85546875" style="523" customWidth="1"/>
    <col min="12802" max="12802" width="9.42578125" style="523" customWidth="1"/>
    <col min="12803" max="12803" width="9.85546875" style="523" customWidth="1"/>
    <col min="12804" max="12804" width="11.28515625" style="523" customWidth="1"/>
    <col min="12805" max="12805" width="13.7109375" style="523" customWidth="1"/>
    <col min="12806" max="12806" width="11.5703125" style="523" customWidth="1"/>
    <col min="12807" max="12807" width="12.28515625" style="523" customWidth="1"/>
    <col min="12808" max="13056" width="9.140625" style="523"/>
    <col min="13057" max="13057" width="22.85546875" style="523" customWidth="1"/>
    <col min="13058" max="13058" width="9.42578125" style="523" customWidth="1"/>
    <col min="13059" max="13059" width="9.85546875" style="523" customWidth="1"/>
    <col min="13060" max="13060" width="11.28515625" style="523" customWidth="1"/>
    <col min="13061" max="13061" width="13.7109375" style="523" customWidth="1"/>
    <col min="13062" max="13062" width="11.5703125" style="523" customWidth="1"/>
    <col min="13063" max="13063" width="12.28515625" style="523" customWidth="1"/>
    <col min="13064" max="13312" width="9.140625" style="523"/>
    <col min="13313" max="13313" width="22.85546875" style="523" customWidth="1"/>
    <col min="13314" max="13314" width="9.42578125" style="523" customWidth="1"/>
    <col min="13315" max="13315" width="9.85546875" style="523" customWidth="1"/>
    <col min="13316" max="13316" width="11.28515625" style="523" customWidth="1"/>
    <col min="13317" max="13317" width="13.7109375" style="523" customWidth="1"/>
    <col min="13318" max="13318" width="11.5703125" style="523" customWidth="1"/>
    <col min="13319" max="13319" width="12.28515625" style="523" customWidth="1"/>
    <col min="13320" max="13568" width="9.140625" style="523"/>
    <col min="13569" max="13569" width="22.85546875" style="523" customWidth="1"/>
    <col min="13570" max="13570" width="9.42578125" style="523" customWidth="1"/>
    <col min="13571" max="13571" width="9.85546875" style="523" customWidth="1"/>
    <col min="13572" max="13572" width="11.28515625" style="523" customWidth="1"/>
    <col min="13573" max="13573" width="13.7109375" style="523" customWidth="1"/>
    <col min="13574" max="13574" width="11.5703125" style="523" customWidth="1"/>
    <col min="13575" max="13575" width="12.28515625" style="523" customWidth="1"/>
    <col min="13576" max="13824" width="9.140625" style="523"/>
    <col min="13825" max="13825" width="22.85546875" style="523" customWidth="1"/>
    <col min="13826" max="13826" width="9.42578125" style="523" customWidth="1"/>
    <col min="13827" max="13827" width="9.85546875" style="523" customWidth="1"/>
    <col min="13828" max="13828" width="11.28515625" style="523" customWidth="1"/>
    <col min="13829" max="13829" width="13.7109375" style="523" customWidth="1"/>
    <col min="13830" max="13830" width="11.5703125" style="523" customWidth="1"/>
    <col min="13831" max="13831" width="12.28515625" style="523" customWidth="1"/>
    <col min="13832" max="14080" width="9.140625" style="523"/>
    <col min="14081" max="14081" width="22.85546875" style="523" customWidth="1"/>
    <col min="14082" max="14082" width="9.42578125" style="523" customWidth="1"/>
    <col min="14083" max="14083" width="9.85546875" style="523" customWidth="1"/>
    <col min="14084" max="14084" width="11.28515625" style="523" customWidth="1"/>
    <col min="14085" max="14085" width="13.7109375" style="523" customWidth="1"/>
    <col min="14086" max="14086" width="11.5703125" style="523" customWidth="1"/>
    <col min="14087" max="14087" width="12.28515625" style="523" customWidth="1"/>
    <col min="14088" max="14336" width="9.140625" style="523"/>
    <col min="14337" max="14337" width="22.85546875" style="523" customWidth="1"/>
    <col min="14338" max="14338" width="9.42578125" style="523" customWidth="1"/>
    <col min="14339" max="14339" width="9.85546875" style="523" customWidth="1"/>
    <col min="14340" max="14340" width="11.28515625" style="523" customWidth="1"/>
    <col min="14341" max="14341" width="13.7109375" style="523" customWidth="1"/>
    <col min="14342" max="14342" width="11.5703125" style="523" customWidth="1"/>
    <col min="14343" max="14343" width="12.28515625" style="523" customWidth="1"/>
    <col min="14344" max="14592" width="9.140625" style="523"/>
    <col min="14593" max="14593" width="22.85546875" style="523" customWidth="1"/>
    <col min="14594" max="14594" width="9.42578125" style="523" customWidth="1"/>
    <col min="14595" max="14595" width="9.85546875" style="523" customWidth="1"/>
    <col min="14596" max="14596" width="11.28515625" style="523" customWidth="1"/>
    <col min="14597" max="14597" width="13.7109375" style="523" customWidth="1"/>
    <col min="14598" max="14598" width="11.5703125" style="523" customWidth="1"/>
    <col min="14599" max="14599" width="12.28515625" style="523" customWidth="1"/>
    <col min="14600" max="14848" width="9.140625" style="523"/>
    <col min="14849" max="14849" width="22.85546875" style="523" customWidth="1"/>
    <col min="14850" max="14850" width="9.42578125" style="523" customWidth="1"/>
    <col min="14851" max="14851" width="9.85546875" style="523" customWidth="1"/>
    <col min="14852" max="14852" width="11.28515625" style="523" customWidth="1"/>
    <col min="14853" max="14853" width="13.7109375" style="523" customWidth="1"/>
    <col min="14854" max="14854" width="11.5703125" style="523" customWidth="1"/>
    <col min="14855" max="14855" width="12.28515625" style="523" customWidth="1"/>
    <col min="14856" max="15104" width="9.140625" style="523"/>
    <col min="15105" max="15105" width="22.85546875" style="523" customWidth="1"/>
    <col min="15106" max="15106" width="9.42578125" style="523" customWidth="1"/>
    <col min="15107" max="15107" width="9.85546875" style="523" customWidth="1"/>
    <col min="15108" max="15108" width="11.28515625" style="523" customWidth="1"/>
    <col min="15109" max="15109" width="13.7109375" style="523" customWidth="1"/>
    <col min="15110" max="15110" width="11.5703125" style="523" customWidth="1"/>
    <col min="15111" max="15111" width="12.28515625" style="523" customWidth="1"/>
    <col min="15112" max="15360" width="9.140625" style="523"/>
    <col min="15361" max="15361" width="22.85546875" style="523" customWidth="1"/>
    <col min="15362" max="15362" width="9.42578125" style="523" customWidth="1"/>
    <col min="15363" max="15363" width="9.85546875" style="523" customWidth="1"/>
    <col min="15364" max="15364" width="11.28515625" style="523" customWidth="1"/>
    <col min="15365" max="15365" width="13.7109375" style="523" customWidth="1"/>
    <col min="15366" max="15366" width="11.5703125" style="523" customWidth="1"/>
    <col min="15367" max="15367" width="12.28515625" style="523" customWidth="1"/>
    <col min="15368" max="15616" width="9.140625" style="523"/>
    <col min="15617" max="15617" width="22.85546875" style="523" customWidth="1"/>
    <col min="15618" max="15618" width="9.42578125" style="523" customWidth="1"/>
    <col min="15619" max="15619" width="9.85546875" style="523" customWidth="1"/>
    <col min="15620" max="15620" width="11.28515625" style="523" customWidth="1"/>
    <col min="15621" max="15621" width="13.7109375" style="523" customWidth="1"/>
    <col min="15622" max="15622" width="11.5703125" style="523" customWidth="1"/>
    <col min="15623" max="15623" width="12.28515625" style="523" customWidth="1"/>
    <col min="15624" max="15872" width="9.140625" style="523"/>
    <col min="15873" max="15873" width="22.85546875" style="523" customWidth="1"/>
    <col min="15874" max="15874" width="9.42578125" style="523" customWidth="1"/>
    <col min="15875" max="15875" width="9.85546875" style="523" customWidth="1"/>
    <col min="15876" max="15876" width="11.28515625" style="523" customWidth="1"/>
    <col min="15877" max="15877" width="13.7109375" style="523" customWidth="1"/>
    <col min="15878" max="15878" width="11.5703125" style="523" customWidth="1"/>
    <col min="15879" max="15879" width="12.28515625" style="523" customWidth="1"/>
    <col min="15880" max="16128" width="9.140625" style="523"/>
    <col min="16129" max="16129" width="22.85546875" style="523" customWidth="1"/>
    <col min="16130" max="16130" width="9.42578125" style="523" customWidth="1"/>
    <col min="16131" max="16131" width="9.85546875" style="523" customWidth="1"/>
    <col min="16132" max="16132" width="11.28515625" style="523" customWidth="1"/>
    <col min="16133" max="16133" width="13.7109375" style="523" customWidth="1"/>
    <col min="16134" max="16134" width="11.5703125" style="523" customWidth="1"/>
    <col min="16135" max="16135" width="12.28515625" style="523" customWidth="1"/>
    <col min="16136" max="16384" width="9.140625" style="523"/>
  </cols>
  <sheetData>
    <row r="1" spans="1:7">
      <c r="C1" s="523" t="s">
        <v>1629</v>
      </c>
      <c r="G1" s="1383" t="s">
        <v>1020</v>
      </c>
    </row>
    <row r="5" spans="1:7">
      <c r="A5" s="2402" t="s">
        <v>1628</v>
      </c>
      <c r="B5" s="2402"/>
      <c r="C5" s="2402"/>
      <c r="D5" s="2402"/>
      <c r="E5" s="2402"/>
      <c r="F5" s="2402"/>
      <c r="G5" s="2402"/>
    </row>
    <row r="6" spans="1:7">
      <c r="A6" s="2780" t="s">
        <v>1295</v>
      </c>
      <c r="B6" s="2780"/>
      <c r="C6" s="2780"/>
      <c r="D6" s="2780"/>
      <c r="E6" s="2780"/>
      <c r="F6" s="2780"/>
      <c r="G6" s="2780"/>
    </row>
    <row r="7" spans="1:7" ht="17.25" thickBot="1">
      <c r="A7" s="788"/>
      <c r="B7" s="618"/>
      <c r="C7" s="714"/>
      <c r="D7" s="617"/>
      <c r="E7" s="617"/>
      <c r="G7" s="615" t="s">
        <v>1263</v>
      </c>
    </row>
    <row r="8" spans="1:7" ht="17.25" thickTop="1">
      <c r="A8" s="2781" t="s">
        <v>1294</v>
      </c>
      <c r="B8" s="2784" t="s">
        <v>235</v>
      </c>
      <c r="C8" s="2787" t="s">
        <v>3</v>
      </c>
      <c r="D8" s="748" t="s">
        <v>1627</v>
      </c>
      <c r="E8" s="787"/>
      <c r="F8" s="748" t="s">
        <v>1386</v>
      </c>
      <c r="G8" s="747"/>
    </row>
    <row r="9" spans="1:7">
      <c r="A9" s="2782"/>
      <c r="B9" s="2785"/>
      <c r="C9" s="2788"/>
      <c r="D9" s="786" t="s">
        <v>1626</v>
      </c>
      <c r="E9" s="785"/>
      <c r="F9" s="2406"/>
      <c r="G9" s="2408"/>
    </row>
    <row r="10" spans="1:7">
      <c r="A10" s="2783"/>
      <c r="B10" s="2786"/>
      <c r="C10" s="2789"/>
      <c r="D10" s="757" t="s">
        <v>1</v>
      </c>
      <c r="E10" s="757" t="s">
        <v>4</v>
      </c>
      <c r="F10" s="757" t="s">
        <v>1</v>
      </c>
      <c r="G10" s="784" t="s">
        <v>4</v>
      </c>
    </row>
    <row r="11" spans="1:7" ht="17.25">
      <c r="A11" s="770" t="s">
        <v>1289</v>
      </c>
      <c r="B11" s="783"/>
      <c r="C11" s="782"/>
      <c r="D11" s="781"/>
      <c r="E11" s="781">
        <f>E23+E24</f>
        <v>96000000</v>
      </c>
      <c r="F11" s="781"/>
      <c r="G11" s="780">
        <f>G23+G24</f>
        <v>72350000</v>
      </c>
    </row>
    <row r="12" spans="1:7">
      <c r="A12" s="773" t="s">
        <v>1625</v>
      </c>
      <c r="B12" s="769" t="s">
        <v>5</v>
      </c>
      <c r="C12" s="549">
        <v>12000</v>
      </c>
      <c r="D12" s="772">
        <v>1000</v>
      </c>
      <c r="E12" s="772">
        <f>D12*C12</f>
        <v>12000000</v>
      </c>
      <c r="F12" s="772"/>
      <c r="G12" s="771"/>
    </row>
    <row r="13" spans="1:7">
      <c r="A13" s="773" t="s">
        <v>1624</v>
      </c>
      <c r="B13" s="769" t="s">
        <v>1287</v>
      </c>
      <c r="C13" s="549">
        <v>1300</v>
      </c>
      <c r="D13" s="772">
        <v>10000</v>
      </c>
      <c r="E13" s="772">
        <f>D13*C13</f>
        <v>13000000</v>
      </c>
      <c r="F13" s="772"/>
      <c r="G13" s="771"/>
    </row>
    <row r="14" spans="1:7">
      <c r="A14" s="773" t="s">
        <v>1305</v>
      </c>
      <c r="B14" s="769" t="s">
        <v>228</v>
      </c>
      <c r="C14" s="549">
        <v>450000</v>
      </c>
      <c r="D14" s="772">
        <v>10</v>
      </c>
      <c r="E14" s="772">
        <f>D14*C14</f>
        <v>4500000</v>
      </c>
      <c r="F14" s="772">
        <v>7</v>
      </c>
      <c r="G14" s="771">
        <f>F14*C14</f>
        <v>3150000</v>
      </c>
    </row>
    <row r="15" spans="1:7">
      <c r="A15" s="773" t="s">
        <v>1304</v>
      </c>
      <c r="B15" s="769"/>
      <c r="C15" s="549"/>
      <c r="D15" s="772"/>
      <c r="E15" s="772">
        <f>SUM(E16:E19)</f>
        <v>4700000</v>
      </c>
      <c r="F15" s="772"/>
      <c r="G15" s="771">
        <f>SUM(G16:G19)</f>
        <v>3700000</v>
      </c>
    </row>
    <row r="16" spans="1:7">
      <c r="A16" s="779" t="s">
        <v>1284</v>
      </c>
      <c r="B16" s="769" t="s">
        <v>11</v>
      </c>
      <c r="C16" s="778">
        <v>10000</v>
      </c>
      <c r="D16" s="777">
        <v>65</v>
      </c>
      <c r="E16" s="777">
        <f t="shared" ref="E16:E22" si="0">D16*C16</f>
        <v>650000</v>
      </c>
      <c r="F16" s="777">
        <v>65</v>
      </c>
      <c r="G16" s="776">
        <f t="shared" ref="G16:G22" si="1">F16*C16</f>
        <v>650000</v>
      </c>
    </row>
    <row r="17" spans="1:256">
      <c r="A17" s="779" t="s">
        <v>1283</v>
      </c>
      <c r="B17" s="769" t="s">
        <v>11</v>
      </c>
      <c r="C17" s="778">
        <v>3000</v>
      </c>
      <c r="D17" s="777">
        <v>140</v>
      </c>
      <c r="E17" s="777">
        <f t="shared" si="0"/>
        <v>420000</v>
      </c>
      <c r="F17" s="777">
        <v>140</v>
      </c>
      <c r="G17" s="776">
        <f t="shared" si="1"/>
        <v>420000</v>
      </c>
    </row>
    <row r="18" spans="1:256">
      <c r="A18" s="779" t="s">
        <v>1282</v>
      </c>
      <c r="B18" s="769" t="s">
        <v>11</v>
      </c>
      <c r="C18" s="778">
        <v>15000</v>
      </c>
      <c r="D18" s="777">
        <v>42</v>
      </c>
      <c r="E18" s="777">
        <f t="shared" si="0"/>
        <v>630000</v>
      </c>
      <c r="F18" s="777">
        <v>42</v>
      </c>
      <c r="G18" s="776">
        <f t="shared" si="1"/>
        <v>630000</v>
      </c>
    </row>
    <row r="19" spans="1:256">
      <c r="A19" s="779" t="s">
        <v>1347</v>
      </c>
      <c r="B19" s="769" t="s">
        <v>11</v>
      </c>
      <c r="C19" s="778">
        <v>10000</v>
      </c>
      <c r="D19" s="777">
        <v>300</v>
      </c>
      <c r="E19" s="777">
        <f t="shared" si="0"/>
        <v>3000000</v>
      </c>
      <c r="F19" s="777">
        <v>200</v>
      </c>
      <c r="G19" s="776">
        <f t="shared" si="1"/>
        <v>2000000</v>
      </c>
    </row>
    <row r="20" spans="1:256">
      <c r="A20" s="773" t="s">
        <v>1303</v>
      </c>
      <c r="B20" s="769" t="s">
        <v>11</v>
      </c>
      <c r="C20" s="549">
        <v>1000</v>
      </c>
      <c r="D20" s="772">
        <v>100</v>
      </c>
      <c r="E20" s="772">
        <f t="shared" si="0"/>
        <v>100000</v>
      </c>
      <c r="F20" s="772"/>
      <c r="G20" s="771">
        <f t="shared" si="1"/>
        <v>0</v>
      </c>
    </row>
    <row r="21" spans="1:256">
      <c r="A21" s="773" t="s">
        <v>1623</v>
      </c>
      <c r="B21" s="769" t="s">
        <v>513</v>
      </c>
      <c r="C21" s="549">
        <v>200000</v>
      </c>
      <c r="D21" s="772">
        <v>120</v>
      </c>
      <c r="E21" s="772">
        <f t="shared" si="0"/>
        <v>24000000</v>
      </c>
      <c r="F21" s="772">
        <v>120</v>
      </c>
      <c r="G21" s="771">
        <f t="shared" si="1"/>
        <v>24000000</v>
      </c>
    </row>
    <row r="22" spans="1:256">
      <c r="A22" s="773" t="s">
        <v>1301</v>
      </c>
      <c r="B22" s="769" t="s">
        <v>511</v>
      </c>
      <c r="C22" s="549">
        <v>250000</v>
      </c>
      <c r="D22" s="772">
        <v>120</v>
      </c>
      <c r="E22" s="772">
        <f t="shared" si="0"/>
        <v>30000000</v>
      </c>
      <c r="F22" s="772">
        <v>150</v>
      </c>
      <c r="G22" s="771">
        <f t="shared" si="1"/>
        <v>37500000</v>
      </c>
    </row>
    <row r="23" spans="1:256" ht="17.25">
      <c r="A23" s="770" t="s">
        <v>1277</v>
      </c>
      <c r="B23" s="775"/>
      <c r="C23" s="774"/>
      <c r="D23" s="767"/>
      <c r="E23" s="767">
        <f>SUM(E12:E15)+SUM(E20:E22)</f>
        <v>88300000</v>
      </c>
      <c r="F23" s="767"/>
      <c r="G23" s="766">
        <f>SUM(G12:G15)+SUM(G20:G22)</f>
        <v>68350000</v>
      </c>
      <c r="H23" s="588"/>
      <c r="I23" s="588"/>
      <c r="J23" s="588"/>
      <c r="K23" s="588"/>
      <c r="L23" s="588"/>
      <c r="M23" s="588"/>
      <c r="N23" s="588"/>
      <c r="O23" s="588"/>
      <c r="P23" s="588"/>
      <c r="Q23" s="588"/>
      <c r="R23" s="588"/>
      <c r="S23" s="588"/>
      <c r="T23" s="588"/>
      <c r="U23" s="588"/>
      <c r="V23" s="588"/>
      <c r="W23" s="588"/>
      <c r="X23" s="588"/>
      <c r="Y23" s="588"/>
      <c r="Z23" s="588"/>
      <c r="AA23" s="588"/>
      <c r="AB23" s="588"/>
      <c r="AC23" s="588"/>
      <c r="AD23" s="588"/>
      <c r="AE23" s="588"/>
      <c r="AF23" s="588"/>
      <c r="AG23" s="588"/>
      <c r="AH23" s="588"/>
      <c r="AI23" s="588"/>
      <c r="AJ23" s="588"/>
      <c r="AK23" s="588"/>
      <c r="AL23" s="588"/>
      <c r="AM23" s="588"/>
      <c r="AN23" s="588"/>
      <c r="AO23" s="588"/>
      <c r="AP23" s="588"/>
      <c r="AQ23" s="588"/>
      <c r="AR23" s="588"/>
      <c r="AS23" s="588"/>
      <c r="AT23" s="588"/>
      <c r="AU23" s="588"/>
      <c r="AV23" s="588"/>
      <c r="AW23" s="588"/>
      <c r="AX23" s="588"/>
      <c r="AY23" s="588"/>
      <c r="AZ23" s="588"/>
      <c r="BA23" s="588"/>
      <c r="BB23" s="588"/>
      <c r="BC23" s="588"/>
      <c r="BD23" s="588"/>
      <c r="BE23" s="588"/>
      <c r="BF23" s="588"/>
      <c r="BG23" s="588"/>
      <c r="BH23" s="588"/>
      <c r="BI23" s="588"/>
      <c r="BJ23" s="588"/>
      <c r="BK23" s="588"/>
      <c r="BL23" s="588"/>
      <c r="BM23" s="588"/>
      <c r="BN23" s="588"/>
      <c r="BO23" s="588"/>
      <c r="BP23" s="588"/>
      <c r="BQ23" s="588"/>
      <c r="BR23" s="588"/>
      <c r="BS23" s="588"/>
      <c r="BT23" s="588"/>
      <c r="BU23" s="588"/>
      <c r="BV23" s="588"/>
      <c r="BW23" s="588"/>
      <c r="BX23" s="588"/>
      <c r="BY23" s="588"/>
      <c r="BZ23" s="588"/>
      <c r="CA23" s="588"/>
      <c r="CB23" s="588"/>
      <c r="CC23" s="588"/>
      <c r="CD23" s="588"/>
      <c r="CE23" s="588"/>
      <c r="CF23" s="588"/>
      <c r="CG23" s="588"/>
      <c r="CH23" s="588"/>
      <c r="CI23" s="588"/>
      <c r="CJ23" s="588"/>
      <c r="CK23" s="588"/>
      <c r="CL23" s="588"/>
      <c r="CM23" s="588"/>
      <c r="CN23" s="588"/>
      <c r="CO23" s="588"/>
      <c r="CP23" s="588"/>
      <c r="CQ23" s="588"/>
      <c r="CR23" s="588"/>
      <c r="CS23" s="588"/>
      <c r="CT23" s="588"/>
      <c r="CU23" s="588"/>
      <c r="CV23" s="588"/>
      <c r="CW23" s="588"/>
      <c r="CX23" s="588"/>
      <c r="CY23" s="588"/>
      <c r="CZ23" s="588"/>
      <c r="DA23" s="588"/>
      <c r="DB23" s="588"/>
      <c r="DC23" s="588"/>
      <c r="DD23" s="588"/>
      <c r="DE23" s="588"/>
      <c r="DF23" s="588"/>
      <c r="DG23" s="588"/>
      <c r="DH23" s="588"/>
      <c r="DI23" s="588"/>
      <c r="DJ23" s="588"/>
      <c r="DK23" s="588"/>
      <c r="DL23" s="588"/>
      <c r="DM23" s="588"/>
      <c r="DN23" s="588"/>
      <c r="DO23" s="588"/>
      <c r="DP23" s="588"/>
      <c r="DQ23" s="588"/>
      <c r="DR23" s="588"/>
      <c r="DS23" s="588"/>
      <c r="DT23" s="588"/>
      <c r="DU23" s="588"/>
      <c r="DV23" s="588"/>
      <c r="DW23" s="588"/>
      <c r="DX23" s="588"/>
      <c r="DY23" s="588"/>
      <c r="DZ23" s="588"/>
      <c r="EA23" s="588"/>
      <c r="EB23" s="588"/>
      <c r="EC23" s="588"/>
      <c r="ED23" s="588"/>
      <c r="EE23" s="588"/>
      <c r="EF23" s="588"/>
      <c r="EG23" s="588"/>
      <c r="EH23" s="588"/>
      <c r="EI23" s="588"/>
      <c r="EJ23" s="588"/>
      <c r="EK23" s="588"/>
      <c r="EL23" s="588"/>
      <c r="EM23" s="588"/>
      <c r="EN23" s="588"/>
      <c r="EO23" s="588"/>
      <c r="EP23" s="588"/>
      <c r="EQ23" s="588"/>
      <c r="ER23" s="588"/>
      <c r="ES23" s="588"/>
      <c r="ET23" s="588"/>
      <c r="EU23" s="588"/>
      <c r="EV23" s="588"/>
      <c r="EW23" s="588"/>
      <c r="EX23" s="588"/>
      <c r="EY23" s="588"/>
      <c r="EZ23" s="588"/>
      <c r="FA23" s="588"/>
      <c r="FB23" s="588"/>
      <c r="FC23" s="588"/>
      <c r="FD23" s="588"/>
      <c r="FE23" s="588"/>
      <c r="FF23" s="588"/>
      <c r="FG23" s="588"/>
      <c r="FH23" s="588"/>
      <c r="FI23" s="588"/>
      <c r="FJ23" s="588"/>
      <c r="FK23" s="588"/>
      <c r="FL23" s="588"/>
      <c r="FM23" s="588"/>
      <c r="FN23" s="588"/>
      <c r="FO23" s="588"/>
      <c r="FP23" s="588"/>
      <c r="FQ23" s="588"/>
      <c r="FR23" s="588"/>
      <c r="FS23" s="588"/>
      <c r="FT23" s="588"/>
      <c r="FU23" s="588"/>
      <c r="FV23" s="588"/>
      <c r="FW23" s="588"/>
      <c r="FX23" s="588"/>
      <c r="FY23" s="588"/>
      <c r="FZ23" s="588"/>
      <c r="GA23" s="588"/>
      <c r="GB23" s="588"/>
      <c r="GC23" s="588"/>
      <c r="GD23" s="588"/>
      <c r="GE23" s="588"/>
      <c r="GF23" s="588"/>
      <c r="GG23" s="588"/>
      <c r="GH23" s="588"/>
      <c r="GI23" s="588"/>
      <c r="GJ23" s="588"/>
      <c r="GK23" s="588"/>
      <c r="GL23" s="588"/>
      <c r="GM23" s="588"/>
      <c r="GN23" s="588"/>
      <c r="GO23" s="588"/>
      <c r="GP23" s="588"/>
      <c r="GQ23" s="588"/>
      <c r="GR23" s="588"/>
      <c r="GS23" s="588"/>
      <c r="GT23" s="588"/>
      <c r="GU23" s="588"/>
      <c r="GV23" s="588"/>
      <c r="GW23" s="588"/>
      <c r="GX23" s="588"/>
      <c r="GY23" s="588"/>
      <c r="GZ23" s="588"/>
      <c r="HA23" s="588"/>
      <c r="HB23" s="588"/>
      <c r="HC23" s="588"/>
      <c r="HD23" s="588"/>
      <c r="HE23" s="588"/>
      <c r="HF23" s="588"/>
      <c r="HG23" s="588"/>
      <c r="HH23" s="588"/>
      <c r="HI23" s="588"/>
      <c r="HJ23" s="588"/>
      <c r="HK23" s="588"/>
      <c r="HL23" s="588"/>
      <c r="HM23" s="588"/>
      <c r="HN23" s="588"/>
      <c r="HO23" s="588"/>
      <c r="HP23" s="588"/>
      <c r="HQ23" s="588"/>
      <c r="HR23" s="588"/>
      <c r="HS23" s="588"/>
      <c r="HT23" s="588"/>
      <c r="HU23" s="588"/>
      <c r="HV23" s="588"/>
      <c r="HW23" s="588"/>
      <c r="HX23" s="588"/>
      <c r="HY23" s="588"/>
      <c r="HZ23" s="588"/>
      <c r="IA23" s="588"/>
      <c r="IB23" s="588"/>
      <c r="IC23" s="588"/>
      <c r="ID23" s="588"/>
      <c r="IE23" s="588"/>
      <c r="IF23" s="588"/>
      <c r="IG23" s="588"/>
      <c r="IH23" s="588"/>
      <c r="II23" s="588"/>
      <c r="IJ23" s="588"/>
      <c r="IK23" s="588"/>
      <c r="IL23" s="588"/>
      <c r="IM23" s="588"/>
      <c r="IN23" s="588"/>
      <c r="IO23" s="588"/>
      <c r="IP23" s="588"/>
      <c r="IQ23" s="588"/>
      <c r="IR23" s="588"/>
      <c r="IS23" s="588"/>
      <c r="IT23" s="588"/>
      <c r="IU23" s="588"/>
      <c r="IV23" s="588"/>
    </row>
    <row r="24" spans="1:256">
      <c r="A24" s="773" t="s">
        <v>1300</v>
      </c>
      <c r="B24" s="769" t="s">
        <v>1270</v>
      </c>
      <c r="C24" s="549"/>
      <c r="D24" s="772"/>
      <c r="E24" s="772">
        <f>70000000*11%</f>
        <v>7700000</v>
      </c>
      <c r="F24" s="772"/>
      <c r="G24" s="771">
        <f>50000000*8%</f>
        <v>4000000</v>
      </c>
    </row>
    <row r="25" spans="1:256" ht="17.25">
      <c r="A25" s="770" t="s">
        <v>1275</v>
      </c>
      <c r="B25" s="775"/>
      <c r="C25" s="774"/>
      <c r="D25" s="767"/>
      <c r="E25" s="767">
        <f>E28</f>
        <v>351000000</v>
      </c>
      <c r="F25" s="767"/>
      <c r="G25" s="766">
        <f>F27*C28</f>
        <v>108000000</v>
      </c>
    </row>
    <row r="26" spans="1:256">
      <c r="A26" s="773" t="s">
        <v>1622</v>
      </c>
      <c r="B26" s="769" t="s">
        <v>1273</v>
      </c>
      <c r="C26" s="549"/>
      <c r="D26" s="772">
        <v>30000</v>
      </c>
      <c r="E26" s="772"/>
      <c r="F26" s="772"/>
      <c r="G26" s="771"/>
    </row>
    <row r="27" spans="1:256">
      <c r="A27" s="773" t="s">
        <v>1621</v>
      </c>
      <c r="B27" s="769" t="s">
        <v>1273</v>
      </c>
      <c r="C27" s="549"/>
      <c r="D27" s="772">
        <v>360000</v>
      </c>
      <c r="E27" s="772"/>
      <c r="F27" s="772">
        <v>120000</v>
      </c>
      <c r="G27" s="771"/>
    </row>
    <row r="28" spans="1:256">
      <c r="A28" s="773" t="s">
        <v>1620</v>
      </c>
      <c r="B28" s="769" t="s">
        <v>1270</v>
      </c>
      <c r="C28" s="549">
        <v>900</v>
      </c>
      <c r="D28" s="772"/>
      <c r="E28" s="772">
        <f>(D26+D27)*C28</f>
        <v>351000000</v>
      </c>
      <c r="F28" s="772"/>
      <c r="G28" s="771">
        <f>G25</f>
        <v>108000000</v>
      </c>
    </row>
    <row r="29" spans="1:256">
      <c r="A29" s="770" t="s">
        <v>1271</v>
      </c>
      <c r="B29" s="769" t="s">
        <v>1270</v>
      </c>
      <c r="C29" s="768"/>
      <c r="D29" s="767"/>
      <c r="E29" s="767">
        <f>E25-E11-(G11*3)</f>
        <v>37950000</v>
      </c>
      <c r="F29" s="767"/>
      <c r="G29" s="766">
        <f>G25-G11</f>
        <v>35650000</v>
      </c>
    </row>
    <row r="30" spans="1:256" ht="17.25" thickBot="1">
      <c r="A30" s="587" t="s">
        <v>1269</v>
      </c>
      <c r="B30" s="586" t="s">
        <v>90</v>
      </c>
      <c r="C30" s="765"/>
      <c r="D30" s="764"/>
      <c r="E30" s="763">
        <f>E29/E25</f>
        <v>0.10811965811965812</v>
      </c>
      <c r="F30" s="762"/>
      <c r="G30" s="761">
        <f>G29/G25</f>
        <v>0.3300925925925926</v>
      </c>
    </row>
    <row r="31" spans="1:256" ht="18" thickTop="1">
      <c r="A31" s="577" t="s">
        <v>1268</v>
      </c>
      <c r="E31" s="717"/>
      <c r="F31" s="617"/>
      <c r="G31" s="617"/>
    </row>
    <row r="32" spans="1:256">
      <c r="A32" s="716" t="s">
        <v>1619</v>
      </c>
      <c r="B32" s="618"/>
      <c r="C32" s="714"/>
      <c r="D32" s="617"/>
      <c r="E32" s="617"/>
      <c r="F32" s="617"/>
      <c r="G32" s="617"/>
    </row>
    <row r="33" spans="1:7">
      <c r="A33" s="617" t="s">
        <v>1618</v>
      </c>
      <c r="B33" s="618"/>
      <c r="C33" s="714"/>
      <c r="D33" s="617"/>
      <c r="E33" s="617"/>
      <c r="F33" s="617"/>
      <c r="G33" s="617"/>
    </row>
    <row r="34" spans="1:7">
      <c r="A34" s="617" t="s">
        <v>1617</v>
      </c>
      <c r="B34" s="618"/>
      <c r="C34" s="714"/>
      <c r="D34" s="617"/>
      <c r="E34" s="617"/>
      <c r="F34" s="617"/>
      <c r="G34" s="617"/>
    </row>
    <row r="35" spans="1:7">
      <c r="A35" s="617" t="s">
        <v>1616</v>
      </c>
      <c r="B35" s="618"/>
      <c r="C35" s="714"/>
      <c r="D35" s="617"/>
      <c r="E35" s="617"/>
      <c r="F35" s="617"/>
      <c r="G35" s="617"/>
    </row>
    <row r="36" spans="1:7">
      <c r="A36" s="716" t="s">
        <v>1615</v>
      </c>
      <c r="B36" s="618"/>
      <c r="C36" s="714"/>
      <c r="D36" s="617"/>
      <c r="E36" s="617"/>
      <c r="F36" s="617"/>
      <c r="G36" s="617"/>
    </row>
    <row r="37" spans="1:7">
      <c r="A37" s="617" t="s">
        <v>1614</v>
      </c>
      <c r="B37" s="618"/>
      <c r="C37" s="714"/>
      <c r="D37" s="617"/>
      <c r="E37" s="617"/>
      <c r="F37" s="617"/>
      <c r="G37" s="617"/>
    </row>
    <row r="38" spans="1:7">
      <c r="A38" s="617" t="s">
        <v>1310</v>
      </c>
      <c r="B38" s="618"/>
      <c r="C38" s="714"/>
      <c r="D38" s="617"/>
      <c r="E38" s="617"/>
      <c r="F38" s="617"/>
      <c r="G38" s="617"/>
    </row>
    <row r="39" spans="1:7">
      <c r="A39" s="617" t="s">
        <v>1613</v>
      </c>
      <c r="B39" s="618"/>
      <c r="C39" s="714"/>
      <c r="D39" s="617"/>
      <c r="E39" s="617"/>
      <c r="F39" s="617"/>
      <c r="G39" s="617"/>
    </row>
  </sheetData>
  <mergeCells count="6">
    <mergeCell ref="A5:G5"/>
    <mergeCell ref="A6:G6"/>
    <mergeCell ref="A8:A10"/>
    <mergeCell ref="B8:B10"/>
    <mergeCell ref="C8:C10"/>
    <mergeCell ref="F9:G9"/>
  </mergeCells>
  <pageMargins left="1" right="0.5" top="0.75" bottom="0.75" header="0.5" footer="0.5"/>
  <pageSetup orientation="portrait" r:id="rId1"/>
  <headerFooter>
    <oddFooter>&amp;CTrang</oddFooter>
  </headerFooter>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IV27"/>
  <sheetViews>
    <sheetView zoomScaleNormal="100" workbookViewId="0">
      <selection activeCell="H20" sqref="H20"/>
    </sheetView>
  </sheetViews>
  <sheetFormatPr defaultRowHeight="16.5"/>
  <cols>
    <col min="1" max="1" width="25.7109375" style="525" customWidth="1"/>
    <col min="2" max="2" width="8.5703125" style="525" customWidth="1"/>
    <col min="3" max="3" width="11.28515625" style="525" bestFit="1" customWidth="1"/>
    <col min="4" max="4" width="8.28515625" style="525" customWidth="1"/>
    <col min="5" max="5" width="15" style="525" bestFit="1" customWidth="1"/>
    <col min="6" max="6" width="8.28515625" style="525" customWidth="1"/>
    <col min="7" max="7" width="14.140625" style="525" bestFit="1" customWidth="1"/>
    <col min="8" max="8" width="8.28515625" style="525" customWidth="1"/>
    <col min="9" max="10" width="14.140625" style="525" bestFit="1" customWidth="1"/>
    <col min="11" max="251" width="9.140625" style="525"/>
    <col min="252" max="252" width="25.7109375" style="525" customWidth="1"/>
    <col min="253" max="253" width="8.5703125" style="525" customWidth="1"/>
    <col min="254" max="254" width="8.85546875" style="525" customWidth="1"/>
    <col min="255" max="255" width="8.28515625" style="525" customWidth="1"/>
    <col min="256" max="256" width="9.140625" style="525"/>
    <col min="257" max="257" width="25.7109375" style="525" customWidth="1"/>
    <col min="258" max="258" width="8.5703125" style="525" customWidth="1"/>
    <col min="259" max="259" width="10" style="525" bestFit="1" customWidth="1"/>
    <col min="260" max="260" width="8.28515625" style="525" customWidth="1"/>
    <col min="261" max="261" width="13.42578125" style="525" bestFit="1" customWidth="1"/>
    <col min="262" max="262" width="8.28515625" style="525" customWidth="1"/>
    <col min="263" max="263" width="12.140625" style="525" bestFit="1" customWidth="1"/>
    <col min="264" max="264" width="8.28515625" style="525" customWidth="1"/>
    <col min="265" max="265" width="12.5703125" style="525" bestFit="1" customWidth="1"/>
    <col min="266" max="266" width="13.28515625" style="525" bestFit="1" customWidth="1"/>
    <col min="267" max="507" width="9.140625" style="525"/>
    <col min="508" max="508" width="25.7109375" style="525" customWidth="1"/>
    <col min="509" max="509" width="8.5703125" style="525" customWidth="1"/>
    <col min="510" max="510" width="8.85546875" style="525" customWidth="1"/>
    <col min="511" max="511" width="8.28515625" style="525" customWidth="1"/>
    <col min="512" max="512" width="9.140625" style="525"/>
    <col min="513" max="513" width="25.7109375" style="525" customWidth="1"/>
    <col min="514" max="514" width="8.5703125" style="525" customWidth="1"/>
    <col min="515" max="515" width="10" style="525" bestFit="1" customWidth="1"/>
    <col min="516" max="516" width="8.28515625" style="525" customWidth="1"/>
    <col min="517" max="517" width="13.42578125" style="525" bestFit="1" customWidth="1"/>
    <col min="518" max="518" width="8.28515625" style="525" customWidth="1"/>
    <col min="519" max="519" width="12.140625" style="525" bestFit="1" customWidth="1"/>
    <col min="520" max="520" width="8.28515625" style="525" customWidth="1"/>
    <col min="521" max="521" width="12.5703125" style="525" bestFit="1" customWidth="1"/>
    <col min="522" max="522" width="13.28515625" style="525" bestFit="1" customWidth="1"/>
    <col min="523" max="763" width="9.140625" style="525"/>
    <col min="764" max="764" width="25.7109375" style="525" customWidth="1"/>
    <col min="765" max="765" width="8.5703125" style="525" customWidth="1"/>
    <col min="766" max="766" width="8.85546875" style="525" customWidth="1"/>
    <col min="767" max="767" width="8.28515625" style="525" customWidth="1"/>
    <col min="768" max="768" width="9.140625" style="525"/>
    <col min="769" max="769" width="25.7109375" style="525" customWidth="1"/>
    <col min="770" max="770" width="8.5703125" style="525" customWidth="1"/>
    <col min="771" max="771" width="10" style="525" bestFit="1" customWidth="1"/>
    <col min="772" max="772" width="8.28515625" style="525" customWidth="1"/>
    <col min="773" max="773" width="13.42578125" style="525" bestFit="1" customWidth="1"/>
    <col min="774" max="774" width="8.28515625" style="525" customWidth="1"/>
    <col min="775" max="775" width="12.140625" style="525" bestFit="1" customWidth="1"/>
    <col min="776" max="776" width="8.28515625" style="525" customWidth="1"/>
    <col min="777" max="777" width="12.5703125" style="525" bestFit="1" customWidth="1"/>
    <col min="778" max="778" width="13.28515625" style="525" bestFit="1" customWidth="1"/>
    <col min="779" max="1019" width="9.140625" style="525"/>
    <col min="1020" max="1020" width="25.7109375" style="525" customWidth="1"/>
    <col min="1021" max="1021" width="8.5703125" style="525" customWidth="1"/>
    <col min="1022" max="1022" width="8.85546875" style="525" customWidth="1"/>
    <col min="1023" max="1023" width="8.28515625" style="525" customWidth="1"/>
    <col min="1024" max="1024" width="9.140625" style="525"/>
    <col min="1025" max="1025" width="25.7109375" style="525" customWidth="1"/>
    <col min="1026" max="1026" width="8.5703125" style="525" customWidth="1"/>
    <col min="1027" max="1027" width="10" style="525" bestFit="1" customWidth="1"/>
    <col min="1028" max="1028" width="8.28515625" style="525" customWidth="1"/>
    <col min="1029" max="1029" width="13.42578125" style="525" bestFit="1" customWidth="1"/>
    <col min="1030" max="1030" width="8.28515625" style="525" customWidth="1"/>
    <col min="1031" max="1031" width="12.140625" style="525" bestFit="1" customWidth="1"/>
    <col min="1032" max="1032" width="8.28515625" style="525" customWidth="1"/>
    <col min="1033" max="1033" width="12.5703125" style="525" bestFit="1" customWidth="1"/>
    <col min="1034" max="1034" width="13.28515625" style="525" bestFit="1" customWidth="1"/>
    <col min="1035" max="1275" width="9.140625" style="525"/>
    <col min="1276" max="1276" width="25.7109375" style="525" customWidth="1"/>
    <col min="1277" max="1277" width="8.5703125" style="525" customWidth="1"/>
    <col min="1278" max="1278" width="8.85546875" style="525" customWidth="1"/>
    <col min="1279" max="1279" width="8.28515625" style="525" customWidth="1"/>
    <col min="1280" max="1280" width="9.140625" style="525"/>
    <col min="1281" max="1281" width="25.7109375" style="525" customWidth="1"/>
    <col min="1282" max="1282" width="8.5703125" style="525" customWidth="1"/>
    <col min="1283" max="1283" width="10" style="525" bestFit="1" customWidth="1"/>
    <col min="1284" max="1284" width="8.28515625" style="525" customWidth="1"/>
    <col min="1285" max="1285" width="13.42578125" style="525" bestFit="1" customWidth="1"/>
    <col min="1286" max="1286" width="8.28515625" style="525" customWidth="1"/>
    <col min="1287" max="1287" width="12.140625" style="525" bestFit="1" customWidth="1"/>
    <col min="1288" max="1288" width="8.28515625" style="525" customWidth="1"/>
    <col min="1289" max="1289" width="12.5703125" style="525" bestFit="1" customWidth="1"/>
    <col min="1290" max="1290" width="13.28515625" style="525" bestFit="1" customWidth="1"/>
    <col min="1291" max="1531" width="9.140625" style="525"/>
    <col min="1532" max="1532" width="25.7109375" style="525" customWidth="1"/>
    <col min="1533" max="1533" width="8.5703125" style="525" customWidth="1"/>
    <col min="1534" max="1534" width="8.85546875" style="525" customWidth="1"/>
    <col min="1535" max="1535" width="8.28515625" style="525" customWidth="1"/>
    <col min="1536" max="1536" width="9.140625" style="525"/>
    <col min="1537" max="1537" width="25.7109375" style="525" customWidth="1"/>
    <col min="1538" max="1538" width="8.5703125" style="525" customWidth="1"/>
    <col min="1539" max="1539" width="10" style="525" bestFit="1" customWidth="1"/>
    <col min="1540" max="1540" width="8.28515625" style="525" customWidth="1"/>
    <col min="1541" max="1541" width="13.42578125" style="525" bestFit="1" customWidth="1"/>
    <col min="1542" max="1542" width="8.28515625" style="525" customWidth="1"/>
    <col min="1543" max="1543" width="12.140625" style="525" bestFit="1" customWidth="1"/>
    <col min="1544" max="1544" width="8.28515625" style="525" customWidth="1"/>
    <col min="1545" max="1545" width="12.5703125" style="525" bestFit="1" customWidth="1"/>
    <col min="1546" max="1546" width="13.28515625" style="525" bestFit="1" customWidth="1"/>
    <col min="1547" max="1787" width="9.140625" style="525"/>
    <col min="1788" max="1788" width="25.7109375" style="525" customWidth="1"/>
    <col min="1789" max="1789" width="8.5703125" style="525" customWidth="1"/>
    <col min="1790" max="1790" width="8.85546875" style="525" customWidth="1"/>
    <col min="1791" max="1791" width="8.28515625" style="525" customWidth="1"/>
    <col min="1792" max="1792" width="9.140625" style="525"/>
    <col min="1793" max="1793" width="25.7109375" style="525" customWidth="1"/>
    <col min="1794" max="1794" width="8.5703125" style="525" customWidth="1"/>
    <col min="1795" max="1795" width="10" style="525" bestFit="1" customWidth="1"/>
    <col min="1796" max="1796" width="8.28515625" style="525" customWidth="1"/>
    <col min="1797" max="1797" width="13.42578125" style="525" bestFit="1" customWidth="1"/>
    <col min="1798" max="1798" width="8.28515625" style="525" customWidth="1"/>
    <col min="1799" max="1799" width="12.140625" style="525" bestFit="1" customWidth="1"/>
    <col min="1800" max="1800" width="8.28515625" style="525" customWidth="1"/>
    <col min="1801" max="1801" width="12.5703125" style="525" bestFit="1" customWidth="1"/>
    <col min="1802" max="1802" width="13.28515625" style="525" bestFit="1" customWidth="1"/>
    <col min="1803" max="2043" width="9.140625" style="525"/>
    <col min="2044" max="2044" width="25.7109375" style="525" customWidth="1"/>
    <col min="2045" max="2045" width="8.5703125" style="525" customWidth="1"/>
    <col min="2046" max="2046" width="8.85546875" style="525" customWidth="1"/>
    <col min="2047" max="2047" width="8.28515625" style="525" customWidth="1"/>
    <col min="2048" max="2048" width="9.140625" style="525"/>
    <col min="2049" max="2049" width="25.7109375" style="525" customWidth="1"/>
    <col min="2050" max="2050" width="8.5703125" style="525" customWidth="1"/>
    <col min="2051" max="2051" width="10" style="525" bestFit="1" customWidth="1"/>
    <col min="2052" max="2052" width="8.28515625" style="525" customWidth="1"/>
    <col min="2053" max="2053" width="13.42578125" style="525" bestFit="1" customWidth="1"/>
    <col min="2054" max="2054" width="8.28515625" style="525" customWidth="1"/>
    <col min="2055" max="2055" width="12.140625" style="525" bestFit="1" customWidth="1"/>
    <col min="2056" max="2056" width="8.28515625" style="525" customWidth="1"/>
    <col min="2057" max="2057" width="12.5703125" style="525" bestFit="1" customWidth="1"/>
    <col min="2058" max="2058" width="13.28515625" style="525" bestFit="1" customWidth="1"/>
    <col min="2059" max="2299" width="9.140625" style="525"/>
    <col min="2300" max="2300" width="25.7109375" style="525" customWidth="1"/>
    <col min="2301" max="2301" width="8.5703125" style="525" customWidth="1"/>
    <col min="2302" max="2302" width="8.85546875" style="525" customWidth="1"/>
    <col min="2303" max="2303" width="8.28515625" style="525" customWidth="1"/>
    <col min="2304" max="2304" width="9.140625" style="525"/>
    <col min="2305" max="2305" width="25.7109375" style="525" customWidth="1"/>
    <col min="2306" max="2306" width="8.5703125" style="525" customWidth="1"/>
    <col min="2307" max="2307" width="10" style="525" bestFit="1" customWidth="1"/>
    <col min="2308" max="2308" width="8.28515625" style="525" customWidth="1"/>
    <col min="2309" max="2309" width="13.42578125" style="525" bestFit="1" customWidth="1"/>
    <col min="2310" max="2310" width="8.28515625" style="525" customWidth="1"/>
    <col min="2311" max="2311" width="12.140625" style="525" bestFit="1" customWidth="1"/>
    <col min="2312" max="2312" width="8.28515625" style="525" customWidth="1"/>
    <col min="2313" max="2313" width="12.5703125" style="525" bestFit="1" customWidth="1"/>
    <col min="2314" max="2314" width="13.28515625" style="525" bestFit="1" customWidth="1"/>
    <col min="2315" max="2555" width="9.140625" style="525"/>
    <col min="2556" max="2556" width="25.7109375" style="525" customWidth="1"/>
    <col min="2557" max="2557" width="8.5703125" style="525" customWidth="1"/>
    <col min="2558" max="2558" width="8.85546875" style="525" customWidth="1"/>
    <col min="2559" max="2559" width="8.28515625" style="525" customWidth="1"/>
    <col min="2560" max="2560" width="9.140625" style="525"/>
    <col min="2561" max="2561" width="25.7109375" style="525" customWidth="1"/>
    <col min="2562" max="2562" width="8.5703125" style="525" customWidth="1"/>
    <col min="2563" max="2563" width="10" style="525" bestFit="1" customWidth="1"/>
    <col min="2564" max="2564" width="8.28515625" style="525" customWidth="1"/>
    <col min="2565" max="2565" width="13.42578125" style="525" bestFit="1" customWidth="1"/>
    <col min="2566" max="2566" width="8.28515625" style="525" customWidth="1"/>
    <col min="2567" max="2567" width="12.140625" style="525" bestFit="1" customWidth="1"/>
    <col min="2568" max="2568" width="8.28515625" style="525" customWidth="1"/>
    <col min="2569" max="2569" width="12.5703125" style="525" bestFit="1" customWidth="1"/>
    <col min="2570" max="2570" width="13.28515625" style="525" bestFit="1" customWidth="1"/>
    <col min="2571" max="2811" width="9.140625" style="525"/>
    <col min="2812" max="2812" width="25.7109375" style="525" customWidth="1"/>
    <col min="2813" max="2813" width="8.5703125" style="525" customWidth="1"/>
    <col min="2814" max="2814" width="8.85546875" style="525" customWidth="1"/>
    <col min="2815" max="2815" width="8.28515625" style="525" customWidth="1"/>
    <col min="2816" max="2816" width="9.140625" style="525"/>
    <col min="2817" max="2817" width="25.7109375" style="525" customWidth="1"/>
    <col min="2818" max="2818" width="8.5703125" style="525" customWidth="1"/>
    <col min="2819" max="2819" width="10" style="525" bestFit="1" customWidth="1"/>
    <col min="2820" max="2820" width="8.28515625" style="525" customWidth="1"/>
    <col min="2821" max="2821" width="13.42578125" style="525" bestFit="1" customWidth="1"/>
    <col min="2822" max="2822" width="8.28515625" style="525" customWidth="1"/>
    <col min="2823" max="2823" width="12.140625" style="525" bestFit="1" customWidth="1"/>
    <col min="2824" max="2824" width="8.28515625" style="525" customWidth="1"/>
    <col min="2825" max="2825" width="12.5703125" style="525" bestFit="1" customWidth="1"/>
    <col min="2826" max="2826" width="13.28515625" style="525" bestFit="1" customWidth="1"/>
    <col min="2827" max="3067" width="9.140625" style="525"/>
    <col min="3068" max="3068" width="25.7109375" style="525" customWidth="1"/>
    <col min="3069" max="3069" width="8.5703125" style="525" customWidth="1"/>
    <col min="3070" max="3070" width="8.85546875" style="525" customWidth="1"/>
    <col min="3071" max="3071" width="8.28515625" style="525" customWidth="1"/>
    <col min="3072" max="3072" width="9.140625" style="525"/>
    <col min="3073" max="3073" width="25.7109375" style="525" customWidth="1"/>
    <col min="3074" max="3074" width="8.5703125" style="525" customWidth="1"/>
    <col min="3075" max="3075" width="10" style="525" bestFit="1" customWidth="1"/>
    <col min="3076" max="3076" width="8.28515625" style="525" customWidth="1"/>
    <col min="3077" max="3077" width="13.42578125" style="525" bestFit="1" customWidth="1"/>
    <col min="3078" max="3078" width="8.28515625" style="525" customWidth="1"/>
    <col min="3079" max="3079" width="12.140625" style="525" bestFit="1" customWidth="1"/>
    <col min="3080" max="3080" width="8.28515625" style="525" customWidth="1"/>
    <col min="3081" max="3081" width="12.5703125" style="525" bestFit="1" customWidth="1"/>
    <col min="3082" max="3082" width="13.28515625" style="525" bestFit="1" customWidth="1"/>
    <col min="3083" max="3323" width="9.140625" style="525"/>
    <col min="3324" max="3324" width="25.7109375" style="525" customWidth="1"/>
    <col min="3325" max="3325" width="8.5703125" style="525" customWidth="1"/>
    <col min="3326" max="3326" width="8.85546875" style="525" customWidth="1"/>
    <col min="3327" max="3327" width="8.28515625" style="525" customWidth="1"/>
    <col min="3328" max="3328" width="9.140625" style="525"/>
    <col min="3329" max="3329" width="25.7109375" style="525" customWidth="1"/>
    <col min="3330" max="3330" width="8.5703125" style="525" customWidth="1"/>
    <col min="3331" max="3331" width="10" style="525" bestFit="1" customWidth="1"/>
    <col min="3332" max="3332" width="8.28515625" style="525" customWidth="1"/>
    <col min="3333" max="3333" width="13.42578125" style="525" bestFit="1" customWidth="1"/>
    <col min="3334" max="3334" width="8.28515625" style="525" customWidth="1"/>
    <col min="3335" max="3335" width="12.140625" style="525" bestFit="1" customWidth="1"/>
    <col min="3336" max="3336" width="8.28515625" style="525" customWidth="1"/>
    <col min="3337" max="3337" width="12.5703125" style="525" bestFit="1" customWidth="1"/>
    <col min="3338" max="3338" width="13.28515625" style="525" bestFit="1" customWidth="1"/>
    <col min="3339" max="3579" width="9.140625" style="525"/>
    <col min="3580" max="3580" width="25.7109375" style="525" customWidth="1"/>
    <col min="3581" max="3581" width="8.5703125" style="525" customWidth="1"/>
    <col min="3582" max="3582" width="8.85546875" style="525" customWidth="1"/>
    <col min="3583" max="3583" width="8.28515625" style="525" customWidth="1"/>
    <col min="3584" max="3584" width="9.140625" style="525"/>
    <col min="3585" max="3585" width="25.7109375" style="525" customWidth="1"/>
    <col min="3586" max="3586" width="8.5703125" style="525" customWidth="1"/>
    <col min="3587" max="3587" width="10" style="525" bestFit="1" customWidth="1"/>
    <col min="3588" max="3588" width="8.28515625" style="525" customWidth="1"/>
    <col min="3589" max="3589" width="13.42578125" style="525" bestFit="1" customWidth="1"/>
    <col min="3590" max="3590" width="8.28515625" style="525" customWidth="1"/>
    <col min="3591" max="3591" width="12.140625" style="525" bestFit="1" customWidth="1"/>
    <col min="3592" max="3592" width="8.28515625" style="525" customWidth="1"/>
    <col min="3593" max="3593" width="12.5703125" style="525" bestFit="1" customWidth="1"/>
    <col min="3594" max="3594" width="13.28515625" style="525" bestFit="1" customWidth="1"/>
    <col min="3595" max="3835" width="9.140625" style="525"/>
    <col min="3836" max="3836" width="25.7109375" style="525" customWidth="1"/>
    <col min="3837" max="3837" width="8.5703125" style="525" customWidth="1"/>
    <col min="3838" max="3838" width="8.85546875" style="525" customWidth="1"/>
    <col min="3839" max="3839" width="8.28515625" style="525" customWidth="1"/>
    <col min="3840" max="3840" width="9.140625" style="525"/>
    <col min="3841" max="3841" width="25.7109375" style="525" customWidth="1"/>
    <col min="3842" max="3842" width="8.5703125" style="525" customWidth="1"/>
    <col min="3843" max="3843" width="10" style="525" bestFit="1" customWidth="1"/>
    <col min="3844" max="3844" width="8.28515625" style="525" customWidth="1"/>
    <col min="3845" max="3845" width="13.42578125" style="525" bestFit="1" customWidth="1"/>
    <col min="3846" max="3846" width="8.28515625" style="525" customWidth="1"/>
    <col min="3847" max="3847" width="12.140625" style="525" bestFit="1" customWidth="1"/>
    <col min="3848" max="3848" width="8.28515625" style="525" customWidth="1"/>
    <col min="3849" max="3849" width="12.5703125" style="525" bestFit="1" customWidth="1"/>
    <col min="3850" max="3850" width="13.28515625" style="525" bestFit="1" customWidth="1"/>
    <col min="3851" max="4091" width="9.140625" style="525"/>
    <col min="4092" max="4092" width="25.7109375" style="525" customWidth="1"/>
    <col min="4093" max="4093" width="8.5703125" style="525" customWidth="1"/>
    <col min="4094" max="4094" width="8.85546875" style="525" customWidth="1"/>
    <col min="4095" max="4095" width="8.28515625" style="525" customWidth="1"/>
    <col min="4096" max="4096" width="9.140625" style="525"/>
    <col min="4097" max="4097" width="25.7109375" style="525" customWidth="1"/>
    <col min="4098" max="4098" width="8.5703125" style="525" customWidth="1"/>
    <col min="4099" max="4099" width="10" style="525" bestFit="1" customWidth="1"/>
    <col min="4100" max="4100" width="8.28515625" style="525" customWidth="1"/>
    <col min="4101" max="4101" width="13.42578125" style="525" bestFit="1" customWidth="1"/>
    <col min="4102" max="4102" width="8.28515625" style="525" customWidth="1"/>
    <col min="4103" max="4103" width="12.140625" style="525" bestFit="1" customWidth="1"/>
    <col min="4104" max="4104" width="8.28515625" style="525" customWidth="1"/>
    <col min="4105" max="4105" width="12.5703125" style="525" bestFit="1" customWidth="1"/>
    <col min="4106" max="4106" width="13.28515625" style="525" bestFit="1" customWidth="1"/>
    <col min="4107" max="4347" width="9.140625" style="525"/>
    <col min="4348" max="4348" width="25.7109375" style="525" customWidth="1"/>
    <col min="4349" max="4349" width="8.5703125" style="525" customWidth="1"/>
    <col min="4350" max="4350" width="8.85546875" style="525" customWidth="1"/>
    <col min="4351" max="4351" width="8.28515625" style="525" customWidth="1"/>
    <col min="4352" max="4352" width="9.140625" style="525"/>
    <col min="4353" max="4353" width="25.7109375" style="525" customWidth="1"/>
    <col min="4354" max="4354" width="8.5703125" style="525" customWidth="1"/>
    <col min="4355" max="4355" width="10" style="525" bestFit="1" customWidth="1"/>
    <col min="4356" max="4356" width="8.28515625" style="525" customWidth="1"/>
    <col min="4357" max="4357" width="13.42578125" style="525" bestFit="1" customWidth="1"/>
    <col min="4358" max="4358" width="8.28515625" style="525" customWidth="1"/>
    <col min="4359" max="4359" width="12.140625" style="525" bestFit="1" customWidth="1"/>
    <col min="4360" max="4360" width="8.28515625" style="525" customWidth="1"/>
    <col min="4361" max="4361" width="12.5703125" style="525" bestFit="1" customWidth="1"/>
    <col min="4362" max="4362" width="13.28515625" style="525" bestFit="1" customWidth="1"/>
    <col min="4363" max="4603" width="9.140625" style="525"/>
    <col min="4604" max="4604" width="25.7109375" style="525" customWidth="1"/>
    <col min="4605" max="4605" width="8.5703125" style="525" customWidth="1"/>
    <col min="4606" max="4606" width="8.85546875" style="525" customWidth="1"/>
    <col min="4607" max="4607" width="8.28515625" style="525" customWidth="1"/>
    <col min="4608" max="4608" width="9.140625" style="525"/>
    <col min="4609" max="4609" width="25.7109375" style="525" customWidth="1"/>
    <col min="4610" max="4610" width="8.5703125" style="525" customWidth="1"/>
    <col min="4611" max="4611" width="10" style="525" bestFit="1" customWidth="1"/>
    <col min="4612" max="4612" width="8.28515625" style="525" customWidth="1"/>
    <col min="4613" max="4613" width="13.42578125" style="525" bestFit="1" customWidth="1"/>
    <col min="4614" max="4614" width="8.28515625" style="525" customWidth="1"/>
    <col min="4615" max="4615" width="12.140625" style="525" bestFit="1" customWidth="1"/>
    <col min="4616" max="4616" width="8.28515625" style="525" customWidth="1"/>
    <col min="4617" max="4617" width="12.5703125" style="525" bestFit="1" customWidth="1"/>
    <col min="4618" max="4618" width="13.28515625" style="525" bestFit="1" customWidth="1"/>
    <col min="4619" max="4859" width="9.140625" style="525"/>
    <col min="4860" max="4860" width="25.7109375" style="525" customWidth="1"/>
    <col min="4861" max="4861" width="8.5703125" style="525" customWidth="1"/>
    <col min="4862" max="4862" width="8.85546875" style="525" customWidth="1"/>
    <col min="4863" max="4863" width="8.28515625" style="525" customWidth="1"/>
    <col min="4864" max="4864" width="9.140625" style="525"/>
    <col min="4865" max="4865" width="25.7109375" style="525" customWidth="1"/>
    <col min="4866" max="4866" width="8.5703125" style="525" customWidth="1"/>
    <col min="4867" max="4867" width="10" style="525" bestFit="1" customWidth="1"/>
    <col min="4868" max="4868" width="8.28515625" style="525" customWidth="1"/>
    <col min="4869" max="4869" width="13.42578125" style="525" bestFit="1" customWidth="1"/>
    <col min="4870" max="4870" width="8.28515625" style="525" customWidth="1"/>
    <col min="4871" max="4871" width="12.140625" style="525" bestFit="1" customWidth="1"/>
    <col min="4872" max="4872" width="8.28515625" style="525" customWidth="1"/>
    <col min="4873" max="4873" width="12.5703125" style="525" bestFit="1" customWidth="1"/>
    <col min="4874" max="4874" width="13.28515625" style="525" bestFit="1" customWidth="1"/>
    <col min="4875" max="5115" width="9.140625" style="525"/>
    <col min="5116" max="5116" width="25.7109375" style="525" customWidth="1"/>
    <col min="5117" max="5117" width="8.5703125" style="525" customWidth="1"/>
    <col min="5118" max="5118" width="8.85546875" style="525" customWidth="1"/>
    <col min="5119" max="5119" width="8.28515625" style="525" customWidth="1"/>
    <col min="5120" max="5120" width="9.140625" style="525"/>
    <col min="5121" max="5121" width="25.7109375" style="525" customWidth="1"/>
    <col min="5122" max="5122" width="8.5703125" style="525" customWidth="1"/>
    <col min="5123" max="5123" width="10" style="525" bestFit="1" customWidth="1"/>
    <col min="5124" max="5124" width="8.28515625" style="525" customWidth="1"/>
    <col min="5125" max="5125" width="13.42578125" style="525" bestFit="1" customWidth="1"/>
    <col min="5126" max="5126" width="8.28515625" style="525" customWidth="1"/>
    <col min="5127" max="5127" width="12.140625" style="525" bestFit="1" customWidth="1"/>
    <col min="5128" max="5128" width="8.28515625" style="525" customWidth="1"/>
    <col min="5129" max="5129" width="12.5703125" style="525" bestFit="1" customWidth="1"/>
    <col min="5130" max="5130" width="13.28515625" style="525" bestFit="1" customWidth="1"/>
    <col min="5131" max="5371" width="9.140625" style="525"/>
    <col min="5372" max="5372" width="25.7109375" style="525" customWidth="1"/>
    <col min="5373" max="5373" width="8.5703125" style="525" customWidth="1"/>
    <col min="5374" max="5374" width="8.85546875" style="525" customWidth="1"/>
    <col min="5375" max="5375" width="8.28515625" style="525" customWidth="1"/>
    <col min="5376" max="5376" width="9.140625" style="525"/>
    <col min="5377" max="5377" width="25.7109375" style="525" customWidth="1"/>
    <col min="5378" max="5378" width="8.5703125" style="525" customWidth="1"/>
    <col min="5379" max="5379" width="10" style="525" bestFit="1" customWidth="1"/>
    <col min="5380" max="5380" width="8.28515625" style="525" customWidth="1"/>
    <col min="5381" max="5381" width="13.42578125" style="525" bestFit="1" customWidth="1"/>
    <col min="5382" max="5382" width="8.28515625" style="525" customWidth="1"/>
    <col min="5383" max="5383" width="12.140625" style="525" bestFit="1" customWidth="1"/>
    <col min="5384" max="5384" width="8.28515625" style="525" customWidth="1"/>
    <col min="5385" max="5385" width="12.5703125" style="525" bestFit="1" customWidth="1"/>
    <col min="5386" max="5386" width="13.28515625" style="525" bestFit="1" customWidth="1"/>
    <col min="5387" max="5627" width="9.140625" style="525"/>
    <col min="5628" max="5628" width="25.7109375" style="525" customWidth="1"/>
    <col min="5629" max="5629" width="8.5703125" style="525" customWidth="1"/>
    <col min="5630" max="5630" width="8.85546875" style="525" customWidth="1"/>
    <col min="5631" max="5631" width="8.28515625" style="525" customWidth="1"/>
    <col min="5632" max="5632" width="9.140625" style="525"/>
    <col min="5633" max="5633" width="25.7109375" style="525" customWidth="1"/>
    <col min="5634" max="5634" width="8.5703125" style="525" customWidth="1"/>
    <col min="5635" max="5635" width="10" style="525" bestFit="1" customWidth="1"/>
    <col min="5636" max="5636" width="8.28515625" style="525" customWidth="1"/>
    <col min="5637" max="5637" width="13.42578125" style="525" bestFit="1" customWidth="1"/>
    <col min="5638" max="5638" width="8.28515625" style="525" customWidth="1"/>
    <col min="5639" max="5639" width="12.140625" style="525" bestFit="1" customWidth="1"/>
    <col min="5640" max="5640" width="8.28515625" style="525" customWidth="1"/>
    <col min="5641" max="5641" width="12.5703125" style="525" bestFit="1" customWidth="1"/>
    <col min="5642" max="5642" width="13.28515625" style="525" bestFit="1" customWidth="1"/>
    <col min="5643" max="5883" width="9.140625" style="525"/>
    <col min="5884" max="5884" width="25.7109375" style="525" customWidth="1"/>
    <col min="5885" max="5885" width="8.5703125" style="525" customWidth="1"/>
    <col min="5886" max="5886" width="8.85546875" style="525" customWidth="1"/>
    <col min="5887" max="5887" width="8.28515625" style="525" customWidth="1"/>
    <col min="5888" max="5888" width="9.140625" style="525"/>
    <col min="5889" max="5889" width="25.7109375" style="525" customWidth="1"/>
    <col min="5890" max="5890" width="8.5703125" style="525" customWidth="1"/>
    <col min="5891" max="5891" width="10" style="525" bestFit="1" customWidth="1"/>
    <col min="5892" max="5892" width="8.28515625" style="525" customWidth="1"/>
    <col min="5893" max="5893" width="13.42578125" style="525" bestFit="1" customWidth="1"/>
    <col min="5894" max="5894" width="8.28515625" style="525" customWidth="1"/>
    <col min="5895" max="5895" width="12.140625" style="525" bestFit="1" customWidth="1"/>
    <col min="5896" max="5896" width="8.28515625" style="525" customWidth="1"/>
    <col min="5897" max="5897" width="12.5703125" style="525" bestFit="1" customWidth="1"/>
    <col min="5898" max="5898" width="13.28515625" style="525" bestFit="1" customWidth="1"/>
    <col min="5899" max="6139" width="9.140625" style="525"/>
    <col min="6140" max="6140" width="25.7109375" style="525" customWidth="1"/>
    <col min="6141" max="6141" width="8.5703125" style="525" customWidth="1"/>
    <col min="6142" max="6142" width="8.85546875" style="525" customWidth="1"/>
    <col min="6143" max="6143" width="8.28515625" style="525" customWidth="1"/>
    <col min="6144" max="6144" width="9.140625" style="525"/>
    <col min="6145" max="6145" width="25.7109375" style="525" customWidth="1"/>
    <col min="6146" max="6146" width="8.5703125" style="525" customWidth="1"/>
    <col min="6147" max="6147" width="10" style="525" bestFit="1" customWidth="1"/>
    <col min="6148" max="6148" width="8.28515625" style="525" customWidth="1"/>
    <col min="6149" max="6149" width="13.42578125" style="525" bestFit="1" customWidth="1"/>
    <col min="6150" max="6150" width="8.28515625" style="525" customWidth="1"/>
    <col min="6151" max="6151" width="12.140625" style="525" bestFit="1" customWidth="1"/>
    <col min="6152" max="6152" width="8.28515625" style="525" customWidth="1"/>
    <col min="6153" max="6153" width="12.5703125" style="525" bestFit="1" customWidth="1"/>
    <col min="6154" max="6154" width="13.28515625" style="525" bestFit="1" customWidth="1"/>
    <col min="6155" max="6395" width="9.140625" style="525"/>
    <col min="6396" max="6396" width="25.7109375" style="525" customWidth="1"/>
    <col min="6397" max="6397" width="8.5703125" style="525" customWidth="1"/>
    <col min="6398" max="6398" width="8.85546875" style="525" customWidth="1"/>
    <col min="6399" max="6399" width="8.28515625" style="525" customWidth="1"/>
    <col min="6400" max="6400" width="9.140625" style="525"/>
    <col min="6401" max="6401" width="25.7109375" style="525" customWidth="1"/>
    <col min="6402" max="6402" width="8.5703125" style="525" customWidth="1"/>
    <col min="6403" max="6403" width="10" style="525" bestFit="1" customWidth="1"/>
    <col min="6404" max="6404" width="8.28515625" style="525" customWidth="1"/>
    <col min="6405" max="6405" width="13.42578125" style="525" bestFit="1" customWidth="1"/>
    <col min="6406" max="6406" width="8.28515625" style="525" customWidth="1"/>
    <col min="6407" max="6407" width="12.140625" style="525" bestFit="1" customWidth="1"/>
    <col min="6408" max="6408" width="8.28515625" style="525" customWidth="1"/>
    <col min="6409" max="6409" width="12.5703125" style="525" bestFit="1" customWidth="1"/>
    <col min="6410" max="6410" width="13.28515625" style="525" bestFit="1" customWidth="1"/>
    <col min="6411" max="6651" width="9.140625" style="525"/>
    <col min="6652" max="6652" width="25.7109375" style="525" customWidth="1"/>
    <col min="6653" max="6653" width="8.5703125" style="525" customWidth="1"/>
    <col min="6654" max="6654" width="8.85546875" style="525" customWidth="1"/>
    <col min="6655" max="6655" width="8.28515625" style="525" customWidth="1"/>
    <col min="6656" max="6656" width="9.140625" style="525"/>
    <col min="6657" max="6657" width="25.7109375" style="525" customWidth="1"/>
    <col min="6658" max="6658" width="8.5703125" style="525" customWidth="1"/>
    <col min="6659" max="6659" width="10" style="525" bestFit="1" customWidth="1"/>
    <col min="6660" max="6660" width="8.28515625" style="525" customWidth="1"/>
    <col min="6661" max="6661" width="13.42578125" style="525" bestFit="1" customWidth="1"/>
    <col min="6662" max="6662" width="8.28515625" style="525" customWidth="1"/>
    <col min="6663" max="6663" width="12.140625" style="525" bestFit="1" customWidth="1"/>
    <col min="6664" max="6664" width="8.28515625" style="525" customWidth="1"/>
    <col min="6665" max="6665" width="12.5703125" style="525" bestFit="1" customWidth="1"/>
    <col min="6666" max="6666" width="13.28515625" style="525" bestFit="1" customWidth="1"/>
    <col min="6667" max="6907" width="9.140625" style="525"/>
    <col min="6908" max="6908" width="25.7109375" style="525" customWidth="1"/>
    <col min="6909" max="6909" width="8.5703125" style="525" customWidth="1"/>
    <col min="6910" max="6910" width="8.85546875" style="525" customWidth="1"/>
    <col min="6911" max="6911" width="8.28515625" style="525" customWidth="1"/>
    <col min="6912" max="6912" width="9.140625" style="525"/>
    <col min="6913" max="6913" width="25.7109375" style="525" customWidth="1"/>
    <col min="6914" max="6914" width="8.5703125" style="525" customWidth="1"/>
    <col min="6915" max="6915" width="10" style="525" bestFit="1" customWidth="1"/>
    <col min="6916" max="6916" width="8.28515625" style="525" customWidth="1"/>
    <col min="6917" max="6917" width="13.42578125" style="525" bestFit="1" customWidth="1"/>
    <col min="6918" max="6918" width="8.28515625" style="525" customWidth="1"/>
    <col min="6919" max="6919" width="12.140625" style="525" bestFit="1" customWidth="1"/>
    <col min="6920" max="6920" width="8.28515625" style="525" customWidth="1"/>
    <col min="6921" max="6921" width="12.5703125" style="525" bestFit="1" customWidth="1"/>
    <col min="6922" max="6922" width="13.28515625" style="525" bestFit="1" customWidth="1"/>
    <col min="6923" max="7163" width="9.140625" style="525"/>
    <col min="7164" max="7164" width="25.7109375" style="525" customWidth="1"/>
    <col min="7165" max="7165" width="8.5703125" style="525" customWidth="1"/>
    <col min="7166" max="7166" width="8.85546875" style="525" customWidth="1"/>
    <col min="7167" max="7167" width="8.28515625" style="525" customWidth="1"/>
    <col min="7168" max="7168" width="9.140625" style="525"/>
    <col min="7169" max="7169" width="25.7109375" style="525" customWidth="1"/>
    <col min="7170" max="7170" width="8.5703125" style="525" customWidth="1"/>
    <col min="7171" max="7171" width="10" style="525" bestFit="1" customWidth="1"/>
    <col min="7172" max="7172" width="8.28515625" style="525" customWidth="1"/>
    <col min="7173" max="7173" width="13.42578125" style="525" bestFit="1" customWidth="1"/>
    <col min="7174" max="7174" width="8.28515625" style="525" customWidth="1"/>
    <col min="7175" max="7175" width="12.140625" style="525" bestFit="1" customWidth="1"/>
    <col min="7176" max="7176" width="8.28515625" style="525" customWidth="1"/>
    <col min="7177" max="7177" width="12.5703125" style="525" bestFit="1" customWidth="1"/>
    <col min="7178" max="7178" width="13.28515625" style="525" bestFit="1" customWidth="1"/>
    <col min="7179" max="7419" width="9.140625" style="525"/>
    <col min="7420" max="7420" width="25.7109375" style="525" customWidth="1"/>
    <col min="7421" max="7421" width="8.5703125" style="525" customWidth="1"/>
    <col min="7422" max="7422" width="8.85546875" style="525" customWidth="1"/>
    <col min="7423" max="7423" width="8.28515625" style="525" customWidth="1"/>
    <col min="7424" max="7424" width="9.140625" style="525"/>
    <col min="7425" max="7425" width="25.7109375" style="525" customWidth="1"/>
    <col min="7426" max="7426" width="8.5703125" style="525" customWidth="1"/>
    <col min="7427" max="7427" width="10" style="525" bestFit="1" customWidth="1"/>
    <col min="7428" max="7428" width="8.28515625" style="525" customWidth="1"/>
    <col min="7429" max="7429" width="13.42578125" style="525" bestFit="1" customWidth="1"/>
    <col min="7430" max="7430" width="8.28515625" style="525" customWidth="1"/>
    <col min="7431" max="7431" width="12.140625" style="525" bestFit="1" customWidth="1"/>
    <col min="7432" max="7432" width="8.28515625" style="525" customWidth="1"/>
    <col min="7433" max="7433" width="12.5703125" style="525" bestFit="1" customWidth="1"/>
    <col min="7434" max="7434" width="13.28515625" style="525" bestFit="1" customWidth="1"/>
    <col min="7435" max="7675" width="9.140625" style="525"/>
    <col min="7676" max="7676" width="25.7109375" style="525" customWidth="1"/>
    <col min="7677" max="7677" width="8.5703125" style="525" customWidth="1"/>
    <col min="7678" max="7678" width="8.85546875" style="525" customWidth="1"/>
    <col min="7679" max="7679" width="8.28515625" style="525" customWidth="1"/>
    <col min="7680" max="7680" width="9.140625" style="525"/>
    <col min="7681" max="7681" width="25.7109375" style="525" customWidth="1"/>
    <col min="7682" max="7682" width="8.5703125" style="525" customWidth="1"/>
    <col min="7683" max="7683" width="10" style="525" bestFit="1" customWidth="1"/>
    <col min="7684" max="7684" width="8.28515625" style="525" customWidth="1"/>
    <col min="7685" max="7685" width="13.42578125" style="525" bestFit="1" customWidth="1"/>
    <col min="7686" max="7686" width="8.28515625" style="525" customWidth="1"/>
    <col min="7687" max="7687" width="12.140625" style="525" bestFit="1" customWidth="1"/>
    <col min="7688" max="7688" width="8.28515625" style="525" customWidth="1"/>
    <col min="7689" max="7689" width="12.5703125" style="525" bestFit="1" customWidth="1"/>
    <col min="7690" max="7690" width="13.28515625" style="525" bestFit="1" customWidth="1"/>
    <col min="7691" max="7931" width="9.140625" style="525"/>
    <col min="7932" max="7932" width="25.7109375" style="525" customWidth="1"/>
    <col min="7933" max="7933" width="8.5703125" style="525" customWidth="1"/>
    <col min="7934" max="7934" width="8.85546875" style="525" customWidth="1"/>
    <col min="7935" max="7935" width="8.28515625" style="525" customWidth="1"/>
    <col min="7936" max="7936" width="9.140625" style="525"/>
    <col min="7937" max="7937" width="25.7109375" style="525" customWidth="1"/>
    <col min="7938" max="7938" width="8.5703125" style="525" customWidth="1"/>
    <col min="7939" max="7939" width="10" style="525" bestFit="1" customWidth="1"/>
    <col min="7940" max="7940" width="8.28515625" style="525" customWidth="1"/>
    <col min="7941" max="7941" width="13.42578125" style="525" bestFit="1" customWidth="1"/>
    <col min="7942" max="7942" width="8.28515625" style="525" customWidth="1"/>
    <col min="7943" max="7943" width="12.140625" style="525" bestFit="1" customWidth="1"/>
    <col min="7944" max="7944" width="8.28515625" style="525" customWidth="1"/>
    <col min="7945" max="7945" width="12.5703125" style="525" bestFit="1" customWidth="1"/>
    <col min="7946" max="7946" width="13.28515625" style="525" bestFit="1" customWidth="1"/>
    <col min="7947" max="8187" width="9.140625" style="525"/>
    <col min="8188" max="8188" width="25.7109375" style="525" customWidth="1"/>
    <col min="8189" max="8189" width="8.5703125" style="525" customWidth="1"/>
    <col min="8190" max="8190" width="8.85546875" style="525" customWidth="1"/>
    <col min="8191" max="8191" width="8.28515625" style="525" customWidth="1"/>
    <col min="8192" max="8192" width="9.140625" style="525"/>
    <col min="8193" max="8193" width="25.7109375" style="525" customWidth="1"/>
    <col min="8194" max="8194" width="8.5703125" style="525" customWidth="1"/>
    <col min="8195" max="8195" width="10" style="525" bestFit="1" customWidth="1"/>
    <col min="8196" max="8196" width="8.28515625" style="525" customWidth="1"/>
    <col min="8197" max="8197" width="13.42578125" style="525" bestFit="1" customWidth="1"/>
    <col min="8198" max="8198" width="8.28515625" style="525" customWidth="1"/>
    <col min="8199" max="8199" width="12.140625" style="525" bestFit="1" customWidth="1"/>
    <col min="8200" max="8200" width="8.28515625" style="525" customWidth="1"/>
    <col min="8201" max="8201" width="12.5703125" style="525" bestFit="1" customWidth="1"/>
    <col min="8202" max="8202" width="13.28515625" style="525" bestFit="1" customWidth="1"/>
    <col min="8203" max="8443" width="9.140625" style="525"/>
    <col min="8444" max="8444" width="25.7109375" style="525" customWidth="1"/>
    <col min="8445" max="8445" width="8.5703125" style="525" customWidth="1"/>
    <col min="8446" max="8446" width="8.85546875" style="525" customWidth="1"/>
    <col min="8447" max="8447" width="8.28515625" style="525" customWidth="1"/>
    <col min="8448" max="8448" width="9.140625" style="525"/>
    <col min="8449" max="8449" width="25.7109375" style="525" customWidth="1"/>
    <col min="8450" max="8450" width="8.5703125" style="525" customWidth="1"/>
    <col min="8451" max="8451" width="10" style="525" bestFit="1" customWidth="1"/>
    <col min="8452" max="8452" width="8.28515625" style="525" customWidth="1"/>
    <col min="8453" max="8453" width="13.42578125" style="525" bestFit="1" customWidth="1"/>
    <col min="8454" max="8454" width="8.28515625" style="525" customWidth="1"/>
    <col min="8455" max="8455" width="12.140625" style="525" bestFit="1" customWidth="1"/>
    <col min="8456" max="8456" width="8.28515625" style="525" customWidth="1"/>
    <col min="8457" max="8457" width="12.5703125" style="525" bestFit="1" customWidth="1"/>
    <col min="8458" max="8458" width="13.28515625" style="525" bestFit="1" customWidth="1"/>
    <col min="8459" max="8699" width="9.140625" style="525"/>
    <col min="8700" max="8700" width="25.7109375" style="525" customWidth="1"/>
    <col min="8701" max="8701" width="8.5703125" style="525" customWidth="1"/>
    <col min="8702" max="8702" width="8.85546875" style="525" customWidth="1"/>
    <col min="8703" max="8703" width="8.28515625" style="525" customWidth="1"/>
    <col min="8704" max="8704" width="9.140625" style="525"/>
    <col min="8705" max="8705" width="25.7109375" style="525" customWidth="1"/>
    <col min="8706" max="8706" width="8.5703125" style="525" customWidth="1"/>
    <col min="8707" max="8707" width="10" style="525" bestFit="1" customWidth="1"/>
    <col min="8708" max="8708" width="8.28515625" style="525" customWidth="1"/>
    <col min="8709" max="8709" width="13.42578125" style="525" bestFit="1" customWidth="1"/>
    <col min="8710" max="8710" width="8.28515625" style="525" customWidth="1"/>
    <col min="8711" max="8711" width="12.140625" style="525" bestFit="1" customWidth="1"/>
    <col min="8712" max="8712" width="8.28515625" style="525" customWidth="1"/>
    <col min="8713" max="8713" width="12.5703125" style="525" bestFit="1" customWidth="1"/>
    <col min="8714" max="8714" width="13.28515625" style="525" bestFit="1" customWidth="1"/>
    <col min="8715" max="8955" width="9.140625" style="525"/>
    <col min="8956" max="8956" width="25.7109375" style="525" customWidth="1"/>
    <col min="8957" max="8957" width="8.5703125" style="525" customWidth="1"/>
    <col min="8958" max="8958" width="8.85546875" style="525" customWidth="1"/>
    <col min="8959" max="8959" width="8.28515625" style="525" customWidth="1"/>
    <col min="8960" max="8960" width="9.140625" style="525"/>
    <col min="8961" max="8961" width="25.7109375" style="525" customWidth="1"/>
    <col min="8962" max="8962" width="8.5703125" style="525" customWidth="1"/>
    <col min="8963" max="8963" width="10" style="525" bestFit="1" customWidth="1"/>
    <col min="8964" max="8964" width="8.28515625" style="525" customWidth="1"/>
    <col min="8965" max="8965" width="13.42578125" style="525" bestFit="1" customWidth="1"/>
    <col min="8966" max="8966" width="8.28515625" style="525" customWidth="1"/>
    <col min="8967" max="8967" width="12.140625" style="525" bestFit="1" customWidth="1"/>
    <col min="8968" max="8968" width="8.28515625" style="525" customWidth="1"/>
    <col min="8969" max="8969" width="12.5703125" style="525" bestFit="1" customWidth="1"/>
    <col min="8970" max="8970" width="13.28515625" style="525" bestFit="1" customWidth="1"/>
    <col min="8971" max="9211" width="9.140625" style="525"/>
    <col min="9212" max="9212" width="25.7109375" style="525" customWidth="1"/>
    <col min="9213" max="9213" width="8.5703125" style="525" customWidth="1"/>
    <col min="9214" max="9214" width="8.85546875" style="525" customWidth="1"/>
    <col min="9215" max="9215" width="8.28515625" style="525" customWidth="1"/>
    <col min="9216" max="9216" width="9.140625" style="525"/>
    <col min="9217" max="9217" width="25.7109375" style="525" customWidth="1"/>
    <col min="9218" max="9218" width="8.5703125" style="525" customWidth="1"/>
    <col min="9219" max="9219" width="10" style="525" bestFit="1" customWidth="1"/>
    <col min="9220" max="9220" width="8.28515625" style="525" customWidth="1"/>
    <col min="9221" max="9221" width="13.42578125" style="525" bestFit="1" customWidth="1"/>
    <col min="9222" max="9222" width="8.28515625" style="525" customWidth="1"/>
    <col min="9223" max="9223" width="12.140625" style="525" bestFit="1" customWidth="1"/>
    <col min="9224" max="9224" width="8.28515625" style="525" customWidth="1"/>
    <col min="9225" max="9225" width="12.5703125" style="525" bestFit="1" customWidth="1"/>
    <col min="9226" max="9226" width="13.28515625" style="525" bestFit="1" customWidth="1"/>
    <col min="9227" max="9467" width="9.140625" style="525"/>
    <col min="9468" max="9468" width="25.7109375" style="525" customWidth="1"/>
    <col min="9469" max="9469" width="8.5703125" style="525" customWidth="1"/>
    <col min="9470" max="9470" width="8.85546875" style="525" customWidth="1"/>
    <col min="9471" max="9471" width="8.28515625" style="525" customWidth="1"/>
    <col min="9472" max="9472" width="9.140625" style="525"/>
    <col min="9473" max="9473" width="25.7109375" style="525" customWidth="1"/>
    <col min="9474" max="9474" width="8.5703125" style="525" customWidth="1"/>
    <col min="9475" max="9475" width="10" style="525" bestFit="1" customWidth="1"/>
    <col min="9476" max="9476" width="8.28515625" style="525" customWidth="1"/>
    <col min="9477" max="9477" width="13.42578125" style="525" bestFit="1" customWidth="1"/>
    <col min="9478" max="9478" width="8.28515625" style="525" customWidth="1"/>
    <col min="9479" max="9479" width="12.140625" style="525" bestFit="1" customWidth="1"/>
    <col min="9480" max="9480" width="8.28515625" style="525" customWidth="1"/>
    <col min="9481" max="9481" width="12.5703125" style="525" bestFit="1" customWidth="1"/>
    <col min="9482" max="9482" width="13.28515625" style="525" bestFit="1" customWidth="1"/>
    <col min="9483" max="9723" width="9.140625" style="525"/>
    <col min="9724" max="9724" width="25.7109375" style="525" customWidth="1"/>
    <col min="9725" max="9725" width="8.5703125" style="525" customWidth="1"/>
    <col min="9726" max="9726" width="8.85546875" style="525" customWidth="1"/>
    <col min="9727" max="9727" width="8.28515625" style="525" customWidth="1"/>
    <col min="9728" max="9728" width="9.140625" style="525"/>
    <col min="9729" max="9729" width="25.7109375" style="525" customWidth="1"/>
    <col min="9730" max="9730" width="8.5703125" style="525" customWidth="1"/>
    <col min="9731" max="9731" width="10" style="525" bestFit="1" customWidth="1"/>
    <col min="9732" max="9732" width="8.28515625" style="525" customWidth="1"/>
    <col min="9733" max="9733" width="13.42578125" style="525" bestFit="1" customWidth="1"/>
    <col min="9734" max="9734" width="8.28515625" style="525" customWidth="1"/>
    <col min="9735" max="9735" width="12.140625" style="525" bestFit="1" customWidth="1"/>
    <col min="9736" max="9736" width="8.28515625" style="525" customWidth="1"/>
    <col min="9737" max="9737" width="12.5703125" style="525" bestFit="1" customWidth="1"/>
    <col min="9738" max="9738" width="13.28515625" style="525" bestFit="1" customWidth="1"/>
    <col min="9739" max="9979" width="9.140625" style="525"/>
    <col min="9980" max="9980" width="25.7109375" style="525" customWidth="1"/>
    <col min="9981" max="9981" width="8.5703125" style="525" customWidth="1"/>
    <col min="9982" max="9982" width="8.85546875" style="525" customWidth="1"/>
    <col min="9983" max="9983" width="8.28515625" style="525" customWidth="1"/>
    <col min="9984" max="9984" width="9.140625" style="525"/>
    <col min="9985" max="9985" width="25.7109375" style="525" customWidth="1"/>
    <col min="9986" max="9986" width="8.5703125" style="525" customWidth="1"/>
    <col min="9987" max="9987" width="10" style="525" bestFit="1" customWidth="1"/>
    <col min="9988" max="9988" width="8.28515625" style="525" customWidth="1"/>
    <col min="9989" max="9989" width="13.42578125" style="525" bestFit="1" customWidth="1"/>
    <col min="9990" max="9990" width="8.28515625" style="525" customWidth="1"/>
    <col min="9991" max="9991" width="12.140625" style="525" bestFit="1" customWidth="1"/>
    <col min="9992" max="9992" width="8.28515625" style="525" customWidth="1"/>
    <col min="9993" max="9993" width="12.5703125" style="525" bestFit="1" customWidth="1"/>
    <col min="9994" max="9994" width="13.28515625" style="525" bestFit="1" customWidth="1"/>
    <col min="9995" max="10235" width="9.140625" style="525"/>
    <col min="10236" max="10236" width="25.7109375" style="525" customWidth="1"/>
    <col min="10237" max="10237" width="8.5703125" style="525" customWidth="1"/>
    <col min="10238" max="10238" width="8.85546875" style="525" customWidth="1"/>
    <col min="10239" max="10239" width="8.28515625" style="525" customWidth="1"/>
    <col min="10240" max="10240" width="9.140625" style="525"/>
    <col min="10241" max="10241" width="25.7109375" style="525" customWidth="1"/>
    <col min="10242" max="10242" width="8.5703125" style="525" customWidth="1"/>
    <col min="10243" max="10243" width="10" style="525" bestFit="1" customWidth="1"/>
    <col min="10244" max="10244" width="8.28515625" style="525" customWidth="1"/>
    <col min="10245" max="10245" width="13.42578125" style="525" bestFit="1" customWidth="1"/>
    <col min="10246" max="10246" width="8.28515625" style="525" customWidth="1"/>
    <col min="10247" max="10247" width="12.140625" style="525" bestFit="1" customWidth="1"/>
    <col min="10248" max="10248" width="8.28515625" style="525" customWidth="1"/>
    <col min="10249" max="10249" width="12.5703125" style="525" bestFit="1" customWidth="1"/>
    <col min="10250" max="10250" width="13.28515625" style="525" bestFit="1" customWidth="1"/>
    <col min="10251" max="10491" width="9.140625" style="525"/>
    <col min="10492" max="10492" width="25.7109375" style="525" customWidth="1"/>
    <col min="10493" max="10493" width="8.5703125" style="525" customWidth="1"/>
    <col min="10494" max="10494" width="8.85546875" style="525" customWidth="1"/>
    <col min="10495" max="10495" width="8.28515625" style="525" customWidth="1"/>
    <col min="10496" max="10496" width="9.140625" style="525"/>
    <col min="10497" max="10497" width="25.7109375" style="525" customWidth="1"/>
    <col min="10498" max="10498" width="8.5703125" style="525" customWidth="1"/>
    <col min="10499" max="10499" width="10" style="525" bestFit="1" customWidth="1"/>
    <col min="10500" max="10500" width="8.28515625" style="525" customWidth="1"/>
    <col min="10501" max="10501" width="13.42578125" style="525" bestFit="1" customWidth="1"/>
    <col min="10502" max="10502" width="8.28515625" style="525" customWidth="1"/>
    <col min="10503" max="10503" width="12.140625" style="525" bestFit="1" customWidth="1"/>
    <col min="10504" max="10504" width="8.28515625" style="525" customWidth="1"/>
    <col min="10505" max="10505" width="12.5703125" style="525" bestFit="1" customWidth="1"/>
    <col min="10506" max="10506" width="13.28515625" style="525" bestFit="1" customWidth="1"/>
    <col min="10507" max="10747" width="9.140625" style="525"/>
    <col min="10748" max="10748" width="25.7109375" style="525" customWidth="1"/>
    <col min="10749" max="10749" width="8.5703125" style="525" customWidth="1"/>
    <col min="10750" max="10750" width="8.85546875" style="525" customWidth="1"/>
    <col min="10751" max="10751" width="8.28515625" style="525" customWidth="1"/>
    <col min="10752" max="10752" width="9.140625" style="525"/>
    <col min="10753" max="10753" width="25.7109375" style="525" customWidth="1"/>
    <col min="10754" max="10754" width="8.5703125" style="525" customWidth="1"/>
    <col min="10755" max="10755" width="10" style="525" bestFit="1" customWidth="1"/>
    <col min="10756" max="10756" width="8.28515625" style="525" customWidth="1"/>
    <col min="10757" max="10757" width="13.42578125" style="525" bestFit="1" customWidth="1"/>
    <col min="10758" max="10758" width="8.28515625" style="525" customWidth="1"/>
    <col min="10759" max="10759" width="12.140625" style="525" bestFit="1" customWidth="1"/>
    <col min="10760" max="10760" width="8.28515625" style="525" customWidth="1"/>
    <col min="10761" max="10761" width="12.5703125" style="525" bestFit="1" customWidth="1"/>
    <col min="10762" max="10762" width="13.28515625" style="525" bestFit="1" customWidth="1"/>
    <col min="10763" max="11003" width="9.140625" style="525"/>
    <col min="11004" max="11004" width="25.7109375" style="525" customWidth="1"/>
    <col min="11005" max="11005" width="8.5703125" style="525" customWidth="1"/>
    <col min="11006" max="11006" width="8.85546875" style="525" customWidth="1"/>
    <col min="11007" max="11007" width="8.28515625" style="525" customWidth="1"/>
    <col min="11008" max="11008" width="9.140625" style="525"/>
    <col min="11009" max="11009" width="25.7109375" style="525" customWidth="1"/>
    <col min="11010" max="11010" width="8.5703125" style="525" customWidth="1"/>
    <col min="11011" max="11011" width="10" style="525" bestFit="1" customWidth="1"/>
    <col min="11012" max="11012" width="8.28515625" style="525" customWidth="1"/>
    <col min="11013" max="11013" width="13.42578125" style="525" bestFit="1" customWidth="1"/>
    <col min="11014" max="11014" width="8.28515625" style="525" customWidth="1"/>
    <col min="11015" max="11015" width="12.140625" style="525" bestFit="1" customWidth="1"/>
    <col min="11016" max="11016" width="8.28515625" style="525" customWidth="1"/>
    <col min="11017" max="11017" width="12.5703125" style="525" bestFit="1" customWidth="1"/>
    <col min="11018" max="11018" width="13.28515625" style="525" bestFit="1" customWidth="1"/>
    <col min="11019" max="11259" width="9.140625" style="525"/>
    <col min="11260" max="11260" width="25.7109375" style="525" customWidth="1"/>
    <col min="11261" max="11261" width="8.5703125" style="525" customWidth="1"/>
    <col min="11262" max="11262" width="8.85546875" style="525" customWidth="1"/>
    <col min="11263" max="11263" width="8.28515625" style="525" customWidth="1"/>
    <col min="11264" max="11264" width="9.140625" style="525"/>
    <col min="11265" max="11265" width="25.7109375" style="525" customWidth="1"/>
    <col min="11266" max="11266" width="8.5703125" style="525" customWidth="1"/>
    <col min="11267" max="11267" width="10" style="525" bestFit="1" customWidth="1"/>
    <col min="11268" max="11268" width="8.28515625" style="525" customWidth="1"/>
    <col min="11269" max="11269" width="13.42578125" style="525" bestFit="1" customWidth="1"/>
    <col min="11270" max="11270" width="8.28515625" style="525" customWidth="1"/>
    <col min="11271" max="11271" width="12.140625" style="525" bestFit="1" customWidth="1"/>
    <col min="11272" max="11272" width="8.28515625" style="525" customWidth="1"/>
    <col min="11273" max="11273" width="12.5703125" style="525" bestFit="1" customWidth="1"/>
    <col min="11274" max="11274" width="13.28515625" style="525" bestFit="1" customWidth="1"/>
    <col min="11275" max="11515" width="9.140625" style="525"/>
    <col min="11516" max="11516" width="25.7109375" style="525" customWidth="1"/>
    <col min="11517" max="11517" width="8.5703125" style="525" customWidth="1"/>
    <col min="11518" max="11518" width="8.85546875" style="525" customWidth="1"/>
    <col min="11519" max="11519" width="8.28515625" style="525" customWidth="1"/>
    <col min="11520" max="11520" width="9.140625" style="525"/>
    <col min="11521" max="11521" width="25.7109375" style="525" customWidth="1"/>
    <col min="11522" max="11522" width="8.5703125" style="525" customWidth="1"/>
    <col min="11523" max="11523" width="10" style="525" bestFit="1" customWidth="1"/>
    <col min="11524" max="11524" width="8.28515625" style="525" customWidth="1"/>
    <col min="11525" max="11525" width="13.42578125" style="525" bestFit="1" customWidth="1"/>
    <col min="11526" max="11526" width="8.28515625" style="525" customWidth="1"/>
    <col min="11527" max="11527" width="12.140625" style="525" bestFit="1" customWidth="1"/>
    <col min="11528" max="11528" width="8.28515625" style="525" customWidth="1"/>
    <col min="11529" max="11529" width="12.5703125" style="525" bestFit="1" customWidth="1"/>
    <col min="11530" max="11530" width="13.28515625" style="525" bestFit="1" customWidth="1"/>
    <col min="11531" max="11771" width="9.140625" style="525"/>
    <col min="11772" max="11772" width="25.7109375" style="525" customWidth="1"/>
    <col min="11773" max="11773" width="8.5703125" style="525" customWidth="1"/>
    <col min="11774" max="11774" width="8.85546875" style="525" customWidth="1"/>
    <col min="11775" max="11775" width="8.28515625" style="525" customWidth="1"/>
    <col min="11776" max="11776" width="9.140625" style="525"/>
    <col min="11777" max="11777" width="25.7109375" style="525" customWidth="1"/>
    <col min="11778" max="11778" width="8.5703125" style="525" customWidth="1"/>
    <col min="11779" max="11779" width="10" style="525" bestFit="1" customWidth="1"/>
    <col min="11780" max="11780" width="8.28515625" style="525" customWidth="1"/>
    <col min="11781" max="11781" width="13.42578125" style="525" bestFit="1" customWidth="1"/>
    <col min="11782" max="11782" width="8.28515625" style="525" customWidth="1"/>
    <col min="11783" max="11783" width="12.140625" style="525" bestFit="1" customWidth="1"/>
    <col min="11784" max="11784" width="8.28515625" style="525" customWidth="1"/>
    <col min="11785" max="11785" width="12.5703125" style="525" bestFit="1" customWidth="1"/>
    <col min="11786" max="11786" width="13.28515625" style="525" bestFit="1" customWidth="1"/>
    <col min="11787" max="12027" width="9.140625" style="525"/>
    <col min="12028" max="12028" width="25.7109375" style="525" customWidth="1"/>
    <col min="12029" max="12029" width="8.5703125" style="525" customWidth="1"/>
    <col min="12030" max="12030" width="8.85546875" style="525" customWidth="1"/>
    <col min="12031" max="12031" width="8.28515625" style="525" customWidth="1"/>
    <col min="12032" max="12032" width="9.140625" style="525"/>
    <col min="12033" max="12033" width="25.7109375" style="525" customWidth="1"/>
    <col min="12034" max="12034" width="8.5703125" style="525" customWidth="1"/>
    <col min="12035" max="12035" width="10" style="525" bestFit="1" customWidth="1"/>
    <col min="12036" max="12036" width="8.28515625" style="525" customWidth="1"/>
    <col min="12037" max="12037" width="13.42578125" style="525" bestFit="1" customWidth="1"/>
    <col min="12038" max="12038" width="8.28515625" style="525" customWidth="1"/>
    <col min="12039" max="12039" width="12.140625" style="525" bestFit="1" customWidth="1"/>
    <col min="12040" max="12040" width="8.28515625" style="525" customWidth="1"/>
    <col min="12041" max="12041" width="12.5703125" style="525" bestFit="1" customWidth="1"/>
    <col min="12042" max="12042" width="13.28515625" style="525" bestFit="1" customWidth="1"/>
    <col min="12043" max="12283" width="9.140625" style="525"/>
    <col min="12284" max="12284" width="25.7109375" style="525" customWidth="1"/>
    <col min="12285" max="12285" width="8.5703125" style="525" customWidth="1"/>
    <col min="12286" max="12286" width="8.85546875" style="525" customWidth="1"/>
    <col min="12287" max="12287" width="8.28515625" style="525" customWidth="1"/>
    <col min="12288" max="12288" width="9.140625" style="525"/>
    <col min="12289" max="12289" width="25.7109375" style="525" customWidth="1"/>
    <col min="12290" max="12290" width="8.5703125" style="525" customWidth="1"/>
    <col min="12291" max="12291" width="10" style="525" bestFit="1" customWidth="1"/>
    <col min="12292" max="12292" width="8.28515625" style="525" customWidth="1"/>
    <col min="12293" max="12293" width="13.42578125" style="525" bestFit="1" customWidth="1"/>
    <col min="12294" max="12294" width="8.28515625" style="525" customWidth="1"/>
    <col min="12295" max="12295" width="12.140625" style="525" bestFit="1" customWidth="1"/>
    <col min="12296" max="12296" width="8.28515625" style="525" customWidth="1"/>
    <col min="12297" max="12297" width="12.5703125" style="525" bestFit="1" customWidth="1"/>
    <col min="12298" max="12298" width="13.28515625" style="525" bestFit="1" customWidth="1"/>
    <col min="12299" max="12539" width="9.140625" style="525"/>
    <col min="12540" max="12540" width="25.7109375" style="525" customWidth="1"/>
    <col min="12541" max="12541" width="8.5703125" style="525" customWidth="1"/>
    <col min="12542" max="12542" width="8.85546875" style="525" customWidth="1"/>
    <col min="12543" max="12543" width="8.28515625" style="525" customWidth="1"/>
    <col min="12544" max="12544" width="9.140625" style="525"/>
    <col min="12545" max="12545" width="25.7109375" style="525" customWidth="1"/>
    <col min="12546" max="12546" width="8.5703125" style="525" customWidth="1"/>
    <col min="12547" max="12547" width="10" style="525" bestFit="1" customWidth="1"/>
    <col min="12548" max="12548" width="8.28515625" style="525" customWidth="1"/>
    <col min="12549" max="12549" width="13.42578125" style="525" bestFit="1" customWidth="1"/>
    <col min="12550" max="12550" width="8.28515625" style="525" customWidth="1"/>
    <col min="12551" max="12551" width="12.140625" style="525" bestFit="1" customWidth="1"/>
    <col min="12552" max="12552" width="8.28515625" style="525" customWidth="1"/>
    <col min="12553" max="12553" width="12.5703125" style="525" bestFit="1" customWidth="1"/>
    <col min="12554" max="12554" width="13.28515625" style="525" bestFit="1" customWidth="1"/>
    <col min="12555" max="12795" width="9.140625" style="525"/>
    <col min="12796" max="12796" width="25.7109375" style="525" customWidth="1"/>
    <col min="12797" max="12797" width="8.5703125" style="525" customWidth="1"/>
    <col min="12798" max="12798" width="8.85546875" style="525" customWidth="1"/>
    <col min="12799" max="12799" width="8.28515625" style="525" customWidth="1"/>
    <col min="12800" max="12800" width="9.140625" style="525"/>
    <col min="12801" max="12801" width="25.7109375" style="525" customWidth="1"/>
    <col min="12802" max="12802" width="8.5703125" style="525" customWidth="1"/>
    <col min="12803" max="12803" width="10" style="525" bestFit="1" customWidth="1"/>
    <col min="12804" max="12804" width="8.28515625" style="525" customWidth="1"/>
    <col min="12805" max="12805" width="13.42578125" style="525" bestFit="1" customWidth="1"/>
    <col min="12806" max="12806" width="8.28515625" style="525" customWidth="1"/>
    <col min="12807" max="12807" width="12.140625" style="525" bestFit="1" customWidth="1"/>
    <col min="12808" max="12808" width="8.28515625" style="525" customWidth="1"/>
    <col min="12809" max="12809" width="12.5703125" style="525" bestFit="1" customWidth="1"/>
    <col min="12810" max="12810" width="13.28515625" style="525" bestFit="1" customWidth="1"/>
    <col min="12811" max="13051" width="9.140625" style="525"/>
    <col min="13052" max="13052" width="25.7109375" style="525" customWidth="1"/>
    <col min="13053" max="13053" width="8.5703125" style="525" customWidth="1"/>
    <col min="13054" max="13054" width="8.85546875" style="525" customWidth="1"/>
    <col min="13055" max="13055" width="8.28515625" style="525" customWidth="1"/>
    <col min="13056" max="13056" width="9.140625" style="525"/>
    <col min="13057" max="13057" width="25.7109375" style="525" customWidth="1"/>
    <col min="13058" max="13058" width="8.5703125" style="525" customWidth="1"/>
    <col min="13059" max="13059" width="10" style="525" bestFit="1" customWidth="1"/>
    <col min="13060" max="13060" width="8.28515625" style="525" customWidth="1"/>
    <col min="13061" max="13061" width="13.42578125" style="525" bestFit="1" customWidth="1"/>
    <col min="13062" max="13062" width="8.28515625" style="525" customWidth="1"/>
    <col min="13063" max="13063" width="12.140625" style="525" bestFit="1" customWidth="1"/>
    <col min="13064" max="13064" width="8.28515625" style="525" customWidth="1"/>
    <col min="13065" max="13065" width="12.5703125" style="525" bestFit="1" customWidth="1"/>
    <col min="13066" max="13066" width="13.28515625" style="525" bestFit="1" customWidth="1"/>
    <col min="13067" max="13307" width="9.140625" style="525"/>
    <col min="13308" max="13308" width="25.7109375" style="525" customWidth="1"/>
    <col min="13309" max="13309" width="8.5703125" style="525" customWidth="1"/>
    <col min="13310" max="13310" width="8.85546875" style="525" customWidth="1"/>
    <col min="13311" max="13311" width="8.28515625" style="525" customWidth="1"/>
    <col min="13312" max="13312" width="9.140625" style="525"/>
    <col min="13313" max="13313" width="25.7109375" style="525" customWidth="1"/>
    <col min="13314" max="13314" width="8.5703125" style="525" customWidth="1"/>
    <col min="13315" max="13315" width="10" style="525" bestFit="1" customWidth="1"/>
    <col min="13316" max="13316" width="8.28515625" style="525" customWidth="1"/>
    <col min="13317" max="13317" width="13.42578125" style="525" bestFit="1" customWidth="1"/>
    <col min="13318" max="13318" width="8.28515625" style="525" customWidth="1"/>
    <col min="13319" max="13319" width="12.140625" style="525" bestFit="1" customWidth="1"/>
    <col min="13320" max="13320" width="8.28515625" style="525" customWidth="1"/>
    <col min="13321" max="13321" width="12.5703125" style="525" bestFit="1" customWidth="1"/>
    <col min="13322" max="13322" width="13.28515625" style="525" bestFit="1" customWidth="1"/>
    <col min="13323" max="13563" width="9.140625" style="525"/>
    <col min="13564" max="13564" width="25.7109375" style="525" customWidth="1"/>
    <col min="13565" max="13565" width="8.5703125" style="525" customWidth="1"/>
    <col min="13566" max="13566" width="8.85546875" style="525" customWidth="1"/>
    <col min="13567" max="13567" width="8.28515625" style="525" customWidth="1"/>
    <col min="13568" max="13568" width="9.140625" style="525"/>
    <col min="13569" max="13569" width="25.7109375" style="525" customWidth="1"/>
    <col min="13570" max="13570" width="8.5703125" style="525" customWidth="1"/>
    <col min="13571" max="13571" width="10" style="525" bestFit="1" customWidth="1"/>
    <col min="13572" max="13572" width="8.28515625" style="525" customWidth="1"/>
    <col min="13573" max="13573" width="13.42578125" style="525" bestFit="1" customWidth="1"/>
    <col min="13574" max="13574" width="8.28515625" style="525" customWidth="1"/>
    <col min="13575" max="13575" width="12.140625" style="525" bestFit="1" customWidth="1"/>
    <col min="13576" max="13576" width="8.28515625" style="525" customWidth="1"/>
    <col min="13577" max="13577" width="12.5703125" style="525" bestFit="1" customWidth="1"/>
    <col min="13578" max="13578" width="13.28515625" style="525" bestFit="1" customWidth="1"/>
    <col min="13579" max="13819" width="9.140625" style="525"/>
    <col min="13820" max="13820" width="25.7109375" style="525" customWidth="1"/>
    <col min="13821" max="13821" width="8.5703125" style="525" customWidth="1"/>
    <col min="13822" max="13822" width="8.85546875" style="525" customWidth="1"/>
    <col min="13823" max="13823" width="8.28515625" style="525" customWidth="1"/>
    <col min="13824" max="13824" width="9.140625" style="525"/>
    <col min="13825" max="13825" width="25.7109375" style="525" customWidth="1"/>
    <col min="13826" max="13826" width="8.5703125" style="525" customWidth="1"/>
    <col min="13827" max="13827" width="10" style="525" bestFit="1" customWidth="1"/>
    <col min="13828" max="13828" width="8.28515625" style="525" customWidth="1"/>
    <col min="13829" max="13829" width="13.42578125" style="525" bestFit="1" customWidth="1"/>
    <col min="13830" max="13830" width="8.28515625" style="525" customWidth="1"/>
    <col min="13831" max="13831" width="12.140625" style="525" bestFit="1" customWidth="1"/>
    <col min="13832" max="13832" width="8.28515625" style="525" customWidth="1"/>
    <col min="13833" max="13833" width="12.5703125" style="525" bestFit="1" customWidth="1"/>
    <col min="13834" max="13834" width="13.28515625" style="525" bestFit="1" customWidth="1"/>
    <col min="13835" max="14075" width="9.140625" style="525"/>
    <col min="14076" max="14076" width="25.7109375" style="525" customWidth="1"/>
    <col min="14077" max="14077" width="8.5703125" style="525" customWidth="1"/>
    <col min="14078" max="14078" width="8.85546875" style="525" customWidth="1"/>
    <col min="14079" max="14079" width="8.28515625" style="525" customWidth="1"/>
    <col min="14080" max="14080" width="9.140625" style="525"/>
    <col min="14081" max="14081" width="25.7109375" style="525" customWidth="1"/>
    <col min="14082" max="14082" width="8.5703125" style="525" customWidth="1"/>
    <col min="14083" max="14083" width="10" style="525" bestFit="1" customWidth="1"/>
    <col min="14084" max="14084" width="8.28515625" style="525" customWidth="1"/>
    <col min="14085" max="14085" width="13.42578125" style="525" bestFit="1" customWidth="1"/>
    <col min="14086" max="14086" width="8.28515625" style="525" customWidth="1"/>
    <col min="14087" max="14087" width="12.140625" style="525" bestFit="1" customWidth="1"/>
    <col min="14088" max="14088" width="8.28515625" style="525" customWidth="1"/>
    <col min="14089" max="14089" width="12.5703125" style="525" bestFit="1" customWidth="1"/>
    <col min="14090" max="14090" width="13.28515625" style="525" bestFit="1" customWidth="1"/>
    <col min="14091" max="14331" width="9.140625" style="525"/>
    <col min="14332" max="14332" width="25.7109375" style="525" customWidth="1"/>
    <col min="14333" max="14333" width="8.5703125" style="525" customWidth="1"/>
    <col min="14334" max="14334" width="8.85546875" style="525" customWidth="1"/>
    <col min="14335" max="14335" width="8.28515625" style="525" customWidth="1"/>
    <col min="14336" max="14336" width="9.140625" style="525"/>
    <col min="14337" max="14337" width="25.7109375" style="525" customWidth="1"/>
    <col min="14338" max="14338" width="8.5703125" style="525" customWidth="1"/>
    <col min="14339" max="14339" width="10" style="525" bestFit="1" customWidth="1"/>
    <col min="14340" max="14340" width="8.28515625" style="525" customWidth="1"/>
    <col min="14341" max="14341" width="13.42578125" style="525" bestFit="1" customWidth="1"/>
    <col min="14342" max="14342" width="8.28515625" style="525" customWidth="1"/>
    <col min="14343" max="14343" width="12.140625" style="525" bestFit="1" customWidth="1"/>
    <col min="14344" max="14344" width="8.28515625" style="525" customWidth="1"/>
    <col min="14345" max="14345" width="12.5703125" style="525" bestFit="1" customWidth="1"/>
    <col min="14346" max="14346" width="13.28515625" style="525" bestFit="1" customWidth="1"/>
    <col min="14347" max="14587" width="9.140625" style="525"/>
    <col min="14588" max="14588" width="25.7109375" style="525" customWidth="1"/>
    <col min="14589" max="14589" width="8.5703125" style="525" customWidth="1"/>
    <col min="14590" max="14590" width="8.85546875" style="525" customWidth="1"/>
    <col min="14591" max="14591" width="8.28515625" style="525" customWidth="1"/>
    <col min="14592" max="14592" width="9.140625" style="525"/>
    <col min="14593" max="14593" width="25.7109375" style="525" customWidth="1"/>
    <col min="14594" max="14594" width="8.5703125" style="525" customWidth="1"/>
    <col min="14595" max="14595" width="10" style="525" bestFit="1" customWidth="1"/>
    <col min="14596" max="14596" width="8.28515625" style="525" customWidth="1"/>
    <col min="14597" max="14597" width="13.42578125" style="525" bestFit="1" customWidth="1"/>
    <col min="14598" max="14598" width="8.28515625" style="525" customWidth="1"/>
    <col min="14599" max="14599" width="12.140625" style="525" bestFit="1" customWidth="1"/>
    <col min="14600" max="14600" width="8.28515625" style="525" customWidth="1"/>
    <col min="14601" max="14601" width="12.5703125" style="525" bestFit="1" customWidth="1"/>
    <col min="14602" max="14602" width="13.28515625" style="525" bestFit="1" customWidth="1"/>
    <col min="14603" max="14843" width="9.140625" style="525"/>
    <col min="14844" max="14844" width="25.7109375" style="525" customWidth="1"/>
    <col min="14845" max="14845" width="8.5703125" style="525" customWidth="1"/>
    <col min="14846" max="14846" width="8.85546875" style="525" customWidth="1"/>
    <col min="14847" max="14847" width="8.28515625" style="525" customWidth="1"/>
    <col min="14848" max="14848" width="9.140625" style="525"/>
    <col min="14849" max="14849" width="25.7109375" style="525" customWidth="1"/>
    <col min="14850" max="14850" width="8.5703125" style="525" customWidth="1"/>
    <col min="14851" max="14851" width="10" style="525" bestFit="1" customWidth="1"/>
    <col min="14852" max="14852" width="8.28515625" style="525" customWidth="1"/>
    <col min="14853" max="14853" width="13.42578125" style="525" bestFit="1" customWidth="1"/>
    <col min="14854" max="14854" width="8.28515625" style="525" customWidth="1"/>
    <col min="14855" max="14855" width="12.140625" style="525" bestFit="1" customWidth="1"/>
    <col min="14856" max="14856" width="8.28515625" style="525" customWidth="1"/>
    <col min="14857" max="14857" width="12.5703125" style="525" bestFit="1" customWidth="1"/>
    <col min="14858" max="14858" width="13.28515625" style="525" bestFit="1" customWidth="1"/>
    <col min="14859" max="15099" width="9.140625" style="525"/>
    <col min="15100" max="15100" width="25.7109375" style="525" customWidth="1"/>
    <col min="15101" max="15101" width="8.5703125" style="525" customWidth="1"/>
    <col min="15102" max="15102" width="8.85546875" style="525" customWidth="1"/>
    <col min="15103" max="15103" width="8.28515625" style="525" customWidth="1"/>
    <col min="15104" max="15104" width="9.140625" style="525"/>
    <col min="15105" max="15105" width="25.7109375" style="525" customWidth="1"/>
    <col min="15106" max="15106" width="8.5703125" style="525" customWidth="1"/>
    <col min="15107" max="15107" width="10" style="525" bestFit="1" customWidth="1"/>
    <col min="15108" max="15108" width="8.28515625" style="525" customWidth="1"/>
    <col min="15109" max="15109" width="13.42578125" style="525" bestFit="1" customWidth="1"/>
    <col min="15110" max="15110" width="8.28515625" style="525" customWidth="1"/>
    <col min="15111" max="15111" width="12.140625" style="525" bestFit="1" customWidth="1"/>
    <col min="15112" max="15112" width="8.28515625" style="525" customWidth="1"/>
    <col min="15113" max="15113" width="12.5703125" style="525" bestFit="1" customWidth="1"/>
    <col min="15114" max="15114" width="13.28515625" style="525" bestFit="1" customWidth="1"/>
    <col min="15115" max="15355" width="9.140625" style="525"/>
    <col min="15356" max="15356" width="25.7109375" style="525" customWidth="1"/>
    <col min="15357" max="15357" width="8.5703125" style="525" customWidth="1"/>
    <col min="15358" max="15358" width="8.85546875" style="525" customWidth="1"/>
    <col min="15359" max="15359" width="8.28515625" style="525" customWidth="1"/>
    <col min="15360" max="15360" width="9.140625" style="525"/>
    <col min="15361" max="15361" width="25.7109375" style="525" customWidth="1"/>
    <col min="15362" max="15362" width="8.5703125" style="525" customWidth="1"/>
    <col min="15363" max="15363" width="10" style="525" bestFit="1" customWidth="1"/>
    <col min="15364" max="15364" width="8.28515625" style="525" customWidth="1"/>
    <col min="15365" max="15365" width="13.42578125" style="525" bestFit="1" customWidth="1"/>
    <col min="15366" max="15366" width="8.28515625" style="525" customWidth="1"/>
    <col min="15367" max="15367" width="12.140625" style="525" bestFit="1" customWidth="1"/>
    <col min="15368" max="15368" width="8.28515625" style="525" customWidth="1"/>
    <col min="15369" max="15369" width="12.5703125" style="525" bestFit="1" customWidth="1"/>
    <col min="15370" max="15370" width="13.28515625" style="525" bestFit="1" customWidth="1"/>
    <col min="15371" max="15611" width="9.140625" style="525"/>
    <col min="15612" max="15612" width="25.7109375" style="525" customWidth="1"/>
    <col min="15613" max="15613" width="8.5703125" style="525" customWidth="1"/>
    <col min="15614" max="15614" width="8.85546875" style="525" customWidth="1"/>
    <col min="15615" max="15615" width="8.28515625" style="525" customWidth="1"/>
    <col min="15616" max="15616" width="9.140625" style="525"/>
    <col min="15617" max="15617" width="25.7109375" style="525" customWidth="1"/>
    <col min="15618" max="15618" width="8.5703125" style="525" customWidth="1"/>
    <col min="15619" max="15619" width="10" style="525" bestFit="1" customWidth="1"/>
    <col min="15620" max="15620" width="8.28515625" style="525" customWidth="1"/>
    <col min="15621" max="15621" width="13.42578125" style="525" bestFit="1" customWidth="1"/>
    <col min="15622" max="15622" width="8.28515625" style="525" customWidth="1"/>
    <col min="15623" max="15623" width="12.140625" style="525" bestFit="1" customWidth="1"/>
    <col min="15624" max="15624" width="8.28515625" style="525" customWidth="1"/>
    <col min="15625" max="15625" width="12.5703125" style="525" bestFit="1" customWidth="1"/>
    <col min="15626" max="15626" width="13.28515625" style="525" bestFit="1" customWidth="1"/>
    <col min="15627" max="15867" width="9.140625" style="525"/>
    <col min="15868" max="15868" width="25.7109375" style="525" customWidth="1"/>
    <col min="15869" max="15869" width="8.5703125" style="525" customWidth="1"/>
    <col min="15870" max="15870" width="8.85546875" style="525" customWidth="1"/>
    <col min="15871" max="15871" width="8.28515625" style="525" customWidth="1"/>
    <col min="15872" max="15872" width="9.140625" style="525"/>
    <col min="15873" max="15873" width="25.7109375" style="525" customWidth="1"/>
    <col min="15874" max="15874" width="8.5703125" style="525" customWidth="1"/>
    <col min="15875" max="15875" width="10" style="525" bestFit="1" customWidth="1"/>
    <col min="15876" max="15876" width="8.28515625" style="525" customWidth="1"/>
    <col min="15877" max="15877" width="13.42578125" style="525" bestFit="1" customWidth="1"/>
    <col min="15878" max="15878" width="8.28515625" style="525" customWidth="1"/>
    <col min="15879" max="15879" width="12.140625" style="525" bestFit="1" customWidth="1"/>
    <col min="15880" max="15880" width="8.28515625" style="525" customWidth="1"/>
    <col min="15881" max="15881" width="12.5703125" style="525" bestFit="1" customWidth="1"/>
    <col min="15882" max="15882" width="13.28515625" style="525" bestFit="1" customWidth="1"/>
    <col min="15883" max="16123" width="9.140625" style="525"/>
    <col min="16124" max="16124" width="25.7109375" style="525" customWidth="1"/>
    <col min="16125" max="16125" width="8.5703125" style="525" customWidth="1"/>
    <col min="16126" max="16126" width="8.85546875" style="525" customWidth="1"/>
    <col min="16127" max="16127" width="8.28515625" style="525" customWidth="1"/>
    <col min="16128" max="16128" width="9.140625" style="525"/>
    <col min="16129" max="16129" width="25.7109375" style="525" customWidth="1"/>
    <col min="16130" max="16130" width="8.5703125" style="525" customWidth="1"/>
    <col min="16131" max="16131" width="10" style="525" bestFit="1" customWidth="1"/>
    <col min="16132" max="16132" width="8.28515625" style="525" customWidth="1"/>
    <col min="16133" max="16133" width="13.42578125" style="525" bestFit="1" customWidth="1"/>
    <col min="16134" max="16134" width="8.28515625" style="525" customWidth="1"/>
    <col min="16135" max="16135" width="12.140625" style="525" bestFit="1" customWidth="1"/>
    <col min="16136" max="16136" width="8.28515625" style="525" customWidth="1"/>
    <col min="16137" max="16137" width="12.5703125" style="525" bestFit="1" customWidth="1"/>
    <col min="16138" max="16138" width="13.28515625" style="525" bestFit="1" customWidth="1"/>
    <col min="16139" max="16379" width="9.140625" style="525"/>
    <col min="16380" max="16380" width="25.7109375" style="525" customWidth="1"/>
    <col min="16381" max="16381" width="8.5703125" style="525" customWidth="1"/>
    <col min="16382" max="16382" width="8.85546875" style="525" customWidth="1"/>
    <col min="16383" max="16383" width="8.28515625" style="525" customWidth="1"/>
    <col min="16384" max="16384" width="9.140625" style="525"/>
  </cols>
  <sheetData>
    <row r="1" spans="1:256">
      <c r="C1" s="525" t="s">
        <v>1667</v>
      </c>
      <c r="G1" s="1388" t="s">
        <v>1020</v>
      </c>
    </row>
    <row r="3" spans="1:256">
      <c r="A3" s="2357"/>
      <c r="B3" s="2357"/>
      <c r="C3" s="2357"/>
      <c r="D3" s="2357"/>
      <c r="E3" s="2357"/>
      <c r="F3" s="2357"/>
      <c r="G3" s="2357"/>
      <c r="H3" s="2357"/>
      <c r="I3" s="2357"/>
    </row>
    <row r="4" spans="1:256">
      <c r="A4" s="2357"/>
      <c r="B4" s="2740" t="s">
        <v>1666</v>
      </c>
      <c r="C4" s="2740"/>
      <c r="D4" s="2740"/>
      <c r="E4" s="2740"/>
      <c r="F4" s="2740"/>
      <c r="G4" s="2740"/>
      <c r="H4" s="2740"/>
      <c r="I4" s="2740"/>
      <c r="J4" s="2740"/>
    </row>
    <row r="5" spans="1:256">
      <c r="A5" s="2357"/>
      <c r="B5" s="2377" t="s">
        <v>1295</v>
      </c>
      <c r="C5" s="2377"/>
      <c r="D5" s="2377"/>
      <c r="E5" s="2377"/>
      <c r="F5" s="2377"/>
      <c r="G5" s="2377"/>
      <c r="H5" s="2377"/>
      <c r="I5" s="2377"/>
      <c r="J5" s="2377"/>
    </row>
    <row r="6" spans="1:256" ht="17.25" thickBot="1">
      <c r="A6" s="2357"/>
      <c r="B6" s="2357"/>
      <c r="C6" s="2357"/>
      <c r="D6" s="2357"/>
      <c r="E6" s="2357"/>
      <c r="F6" s="2357"/>
      <c r="G6" s="2357"/>
      <c r="H6" s="2357"/>
      <c r="I6" s="2357" t="s">
        <v>1263</v>
      </c>
      <c r="J6" s="2357"/>
    </row>
    <row r="7" spans="1:256" ht="17.25" thickTop="1">
      <c r="A7" s="867"/>
      <c r="B7" s="866" t="s">
        <v>1388</v>
      </c>
      <c r="C7" s="866" t="s">
        <v>1388</v>
      </c>
      <c r="D7" s="2767" t="s">
        <v>1292</v>
      </c>
      <c r="E7" s="2768"/>
      <c r="F7" s="2768"/>
      <c r="G7" s="2768"/>
      <c r="H7" s="2768"/>
      <c r="I7" s="2768"/>
      <c r="J7" s="865" t="s">
        <v>1665</v>
      </c>
      <c r="K7" s="2357"/>
      <c r="L7" s="2357"/>
      <c r="M7" s="2357"/>
      <c r="N7" s="2357"/>
      <c r="O7" s="2357"/>
      <c r="P7" s="2357"/>
      <c r="Q7" s="2357"/>
      <c r="R7" s="2357"/>
      <c r="S7" s="2357"/>
      <c r="T7" s="2357"/>
      <c r="U7" s="2357"/>
      <c r="V7" s="2357"/>
      <c r="W7" s="2357"/>
      <c r="X7" s="2357"/>
      <c r="Y7" s="2357"/>
      <c r="Z7" s="2357"/>
      <c r="AA7" s="2357"/>
      <c r="AB7" s="2357"/>
      <c r="AC7" s="2357"/>
      <c r="AD7" s="2357"/>
      <c r="AE7" s="2357"/>
      <c r="AF7" s="2357"/>
      <c r="AG7" s="2357"/>
      <c r="AH7" s="2357"/>
      <c r="AI7" s="2357"/>
      <c r="AJ7" s="2357"/>
      <c r="AK7" s="2357"/>
      <c r="AL7" s="2357"/>
      <c r="AM7" s="2357"/>
      <c r="AN7" s="2357"/>
      <c r="AO7" s="2357"/>
      <c r="AP7" s="2357"/>
      <c r="AQ7" s="2357"/>
      <c r="AR7" s="2357"/>
      <c r="AS7" s="2357"/>
      <c r="AT7" s="2357"/>
      <c r="AU7" s="2357"/>
      <c r="AV7" s="2357"/>
      <c r="AW7" s="2357"/>
      <c r="AX7" s="2357"/>
      <c r="AY7" s="2357"/>
      <c r="AZ7" s="2357"/>
      <c r="BA7" s="2357"/>
      <c r="BB7" s="2357"/>
      <c r="BC7" s="2357"/>
      <c r="BD7" s="2357"/>
      <c r="BE7" s="2357"/>
      <c r="BF7" s="2357"/>
      <c r="BG7" s="2357"/>
      <c r="BH7" s="2357"/>
      <c r="BI7" s="2357"/>
      <c r="BJ7" s="2357"/>
      <c r="BK7" s="2357"/>
      <c r="BL7" s="2357"/>
      <c r="BM7" s="2357"/>
      <c r="BN7" s="2357"/>
      <c r="BO7" s="2357"/>
      <c r="BP7" s="2357"/>
      <c r="BQ7" s="2357"/>
      <c r="BR7" s="2357"/>
      <c r="BS7" s="2357"/>
      <c r="BT7" s="2357"/>
      <c r="BU7" s="2357"/>
      <c r="BV7" s="2357"/>
      <c r="BW7" s="2357"/>
      <c r="BX7" s="2357"/>
      <c r="BY7" s="2357"/>
      <c r="BZ7" s="2357"/>
      <c r="CA7" s="2357"/>
      <c r="CB7" s="2357"/>
      <c r="CC7" s="2357"/>
      <c r="CD7" s="2357"/>
      <c r="CE7" s="2357"/>
      <c r="CF7" s="2357"/>
      <c r="CG7" s="2357"/>
      <c r="CH7" s="2357"/>
      <c r="CI7" s="2357"/>
      <c r="CJ7" s="2357"/>
      <c r="CK7" s="2357"/>
      <c r="CL7" s="2357"/>
      <c r="CM7" s="2357"/>
      <c r="CN7" s="2357"/>
      <c r="CO7" s="2357"/>
      <c r="CP7" s="2357"/>
      <c r="CQ7" s="2357"/>
      <c r="CR7" s="2357"/>
      <c r="CS7" s="2357"/>
      <c r="CT7" s="2357"/>
      <c r="CU7" s="2357"/>
      <c r="CV7" s="2357"/>
      <c r="CW7" s="2357"/>
      <c r="CX7" s="2357"/>
      <c r="CY7" s="2357"/>
      <c r="CZ7" s="2357"/>
      <c r="DA7" s="2357"/>
      <c r="DB7" s="2357"/>
      <c r="DC7" s="2357"/>
      <c r="DD7" s="2357"/>
      <c r="DE7" s="2357"/>
      <c r="DF7" s="2357"/>
      <c r="DG7" s="2357"/>
      <c r="DH7" s="2357"/>
      <c r="DI7" s="2357"/>
      <c r="DJ7" s="2357"/>
      <c r="DK7" s="2357"/>
      <c r="DL7" s="2357"/>
      <c r="DM7" s="2357"/>
      <c r="DN7" s="2357"/>
      <c r="DO7" s="2357"/>
      <c r="DP7" s="2357"/>
      <c r="DQ7" s="2357"/>
      <c r="DR7" s="2357"/>
      <c r="DS7" s="2357"/>
      <c r="DT7" s="2357"/>
      <c r="DU7" s="2357"/>
      <c r="DV7" s="2357"/>
      <c r="DW7" s="2357"/>
      <c r="DX7" s="2357"/>
      <c r="DY7" s="2357"/>
      <c r="DZ7" s="2357"/>
      <c r="EA7" s="2357"/>
      <c r="EB7" s="2357"/>
      <c r="EC7" s="2357"/>
      <c r="ED7" s="2357"/>
      <c r="EE7" s="2357"/>
      <c r="EF7" s="2357"/>
      <c r="EG7" s="2357"/>
      <c r="EH7" s="2357"/>
      <c r="EI7" s="2357"/>
      <c r="EJ7" s="2357"/>
      <c r="EK7" s="2357"/>
      <c r="EL7" s="2357"/>
      <c r="EM7" s="2357"/>
      <c r="EN7" s="2357"/>
      <c r="EO7" s="2357"/>
      <c r="EP7" s="2357"/>
      <c r="EQ7" s="2357"/>
      <c r="ER7" s="2357"/>
      <c r="ES7" s="2357"/>
      <c r="ET7" s="2357"/>
      <c r="EU7" s="2357"/>
      <c r="EV7" s="2357"/>
      <c r="EW7" s="2357"/>
      <c r="EX7" s="2357"/>
      <c r="EY7" s="2357"/>
      <c r="EZ7" s="2357"/>
      <c r="FA7" s="2357"/>
      <c r="FB7" s="2357"/>
      <c r="FC7" s="2357"/>
      <c r="FD7" s="2357"/>
      <c r="FE7" s="2357"/>
      <c r="FF7" s="2357"/>
      <c r="FG7" s="2357"/>
      <c r="FH7" s="2357"/>
      <c r="FI7" s="2357"/>
      <c r="FJ7" s="2357"/>
      <c r="FK7" s="2357"/>
      <c r="FL7" s="2357"/>
      <c r="FM7" s="2357"/>
      <c r="FN7" s="2357"/>
      <c r="FO7" s="2357"/>
      <c r="FP7" s="2357"/>
      <c r="FQ7" s="2357"/>
      <c r="FR7" s="2357"/>
      <c r="FS7" s="2357"/>
      <c r="FT7" s="2357"/>
      <c r="FU7" s="2357"/>
      <c r="FV7" s="2357"/>
      <c r="FW7" s="2357"/>
      <c r="FX7" s="2357"/>
      <c r="FY7" s="2357"/>
      <c r="FZ7" s="2357"/>
      <c r="GA7" s="2357"/>
      <c r="GB7" s="2357"/>
      <c r="GC7" s="2357"/>
      <c r="GD7" s="2357"/>
      <c r="GE7" s="2357"/>
      <c r="GF7" s="2357"/>
      <c r="GG7" s="2357"/>
      <c r="GH7" s="2357"/>
      <c r="GI7" s="2357"/>
      <c r="GJ7" s="2357"/>
      <c r="GK7" s="2357"/>
      <c r="GL7" s="2357"/>
      <c r="GM7" s="2357"/>
      <c r="GN7" s="2357"/>
      <c r="GO7" s="2357"/>
      <c r="GP7" s="2357"/>
      <c r="GQ7" s="2357"/>
      <c r="GR7" s="2357"/>
      <c r="GS7" s="2357"/>
      <c r="GT7" s="2357"/>
      <c r="GU7" s="2357"/>
      <c r="GV7" s="2357"/>
      <c r="GW7" s="2357"/>
      <c r="GX7" s="2357"/>
      <c r="GY7" s="2357"/>
      <c r="GZ7" s="2357"/>
      <c r="HA7" s="2357"/>
      <c r="HB7" s="2357"/>
      <c r="HC7" s="2357"/>
      <c r="HD7" s="2357"/>
      <c r="HE7" s="2357"/>
      <c r="HF7" s="2357"/>
      <c r="HG7" s="2357"/>
      <c r="HH7" s="2357"/>
      <c r="HI7" s="2357"/>
      <c r="HJ7" s="2357"/>
      <c r="HK7" s="2357"/>
      <c r="HL7" s="2357"/>
      <c r="HM7" s="2357"/>
      <c r="HN7" s="2357"/>
      <c r="HO7" s="2357"/>
      <c r="HP7" s="2357"/>
      <c r="HQ7" s="2357"/>
      <c r="HR7" s="2357"/>
      <c r="HS7" s="2357"/>
      <c r="HT7" s="2357"/>
      <c r="HU7" s="2357"/>
      <c r="HV7" s="2357"/>
      <c r="HW7" s="2357"/>
      <c r="HX7" s="2357"/>
      <c r="HY7" s="2357"/>
      <c r="HZ7" s="2357"/>
      <c r="IA7" s="2357"/>
      <c r="IB7" s="2357"/>
      <c r="IC7" s="2357"/>
      <c r="ID7" s="2357"/>
      <c r="IE7" s="2357"/>
      <c r="IF7" s="2357"/>
      <c r="IG7" s="2357"/>
      <c r="IH7" s="2357"/>
      <c r="II7" s="2357"/>
      <c r="IJ7" s="2357"/>
      <c r="IK7" s="2357"/>
      <c r="IL7" s="2357"/>
      <c r="IM7" s="2357"/>
      <c r="IN7" s="2357"/>
      <c r="IO7" s="2357"/>
      <c r="IP7" s="2357"/>
      <c r="IQ7" s="2357"/>
      <c r="IR7" s="2357"/>
      <c r="IS7" s="2357"/>
      <c r="IT7" s="2357"/>
      <c r="IU7" s="2357"/>
      <c r="IV7" s="2357"/>
    </row>
    <row r="8" spans="1:256">
      <c r="A8" s="864" t="s">
        <v>1294</v>
      </c>
      <c r="B8" s="863" t="s">
        <v>1384</v>
      </c>
      <c r="C8" s="863" t="s">
        <v>1290</v>
      </c>
      <c r="D8" s="2773" t="s">
        <v>1035</v>
      </c>
      <c r="E8" s="2774"/>
      <c r="F8" s="2773" t="s">
        <v>1034</v>
      </c>
      <c r="G8" s="2774"/>
      <c r="H8" s="2773" t="s">
        <v>1033</v>
      </c>
      <c r="I8" s="2774"/>
      <c r="J8" s="862" t="s">
        <v>1664</v>
      </c>
      <c r="K8" s="2357"/>
      <c r="L8" s="2357"/>
      <c r="M8" s="2357"/>
      <c r="N8" s="2357"/>
      <c r="O8" s="2357"/>
      <c r="P8" s="2357"/>
      <c r="Q8" s="2357"/>
      <c r="R8" s="2357"/>
      <c r="S8" s="2357"/>
      <c r="T8" s="2357"/>
      <c r="U8" s="2357"/>
      <c r="V8" s="2357"/>
      <c r="W8" s="2357"/>
      <c r="X8" s="2357"/>
      <c r="Y8" s="2357"/>
      <c r="Z8" s="2357"/>
      <c r="AA8" s="2357"/>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357"/>
      <c r="BI8" s="2357"/>
      <c r="BJ8" s="2357"/>
      <c r="BK8" s="2357"/>
      <c r="BL8" s="2357"/>
      <c r="BM8" s="2357"/>
      <c r="BN8" s="2357"/>
      <c r="BO8" s="2357"/>
      <c r="BP8" s="2357"/>
      <c r="BQ8" s="2357"/>
      <c r="BR8" s="2357"/>
      <c r="BS8" s="2357"/>
      <c r="BT8" s="2357"/>
      <c r="BU8" s="2357"/>
      <c r="BV8" s="2357"/>
      <c r="BW8" s="2357"/>
      <c r="BX8" s="2357"/>
      <c r="BY8" s="2357"/>
      <c r="BZ8" s="2357"/>
      <c r="CA8" s="2357"/>
      <c r="CB8" s="2357"/>
      <c r="CC8" s="2357"/>
      <c r="CD8" s="2357"/>
      <c r="CE8" s="2357"/>
      <c r="CF8" s="2357"/>
      <c r="CG8" s="2357"/>
      <c r="CH8" s="2357"/>
      <c r="CI8" s="2357"/>
      <c r="CJ8" s="2357"/>
      <c r="CK8" s="2357"/>
      <c r="CL8" s="2357"/>
      <c r="CM8" s="2357"/>
      <c r="CN8" s="2357"/>
      <c r="CO8" s="2357"/>
      <c r="CP8" s="2357"/>
      <c r="CQ8" s="2357"/>
      <c r="CR8" s="2357"/>
      <c r="CS8" s="2357"/>
      <c r="CT8" s="2357"/>
      <c r="CU8" s="2357"/>
      <c r="CV8" s="2357"/>
      <c r="CW8" s="2357"/>
      <c r="CX8" s="2357"/>
      <c r="CY8" s="2357"/>
      <c r="CZ8" s="2357"/>
      <c r="DA8" s="2357"/>
      <c r="DB8" s="2357"/>
      <c r="DC8" s="2357"/>
      <c r="DD8" s="2357"/>
      <c r="DE8" s="2357"/>
      <c r="DF8" s="2357"/>
      <c r="DG8" s="2357"/>
      <c r="DH8" s="2357"/>
      <c r="DI8" s="2357"/>
      <c r="DJ8" s="2357"/>
      <c r="DK8" s="2357"/>
      <c r="DL8" s="2357"/>
      <c r="DM8" s="2357"/>
      <c r="DN8" s="2357"/>
      <c r="DO8" s="2357"/>
      <c r="DP8" s="2357"/>
      <c r="DQ8" s="2357"/>
      <c r="DR8" s="2357"/>
      <c r="DS8" s="2357"/>
      <c r="DT8" s="2357"/>
      <c r="DU8" s="2357"/>
      <c r="DV8" s="2357"/>
      <c r="DW8" s="2357"/>
      <c r="DX8" s="2357"/>
      <c r="DY8" s="2357"/>
      <c r="DZ8" s="2357"/>
      <c r="EA8" s="2357"/>
      <c r="EB8" s="2357"/>
      <c r="EC8" s="2357"/>
      <c r="ED8" s="2357"/>
      <c r="EE8" s="2357"/>
      <c r="EF8" s="2357"/>
      <c r="EG8" s="2357"/>
      <c r="EH8" s="2357"/>
      <c r="EI8" s="2357"/>
      <c r="EJ8" s="2357"/>
      <c r="EK8" s="2357"/>
      <c r="EL8" s="2357"/>
      <c r="EM8" s="2357"/>
      <c r="EN8" s="2357"/>
      <c r="EO8" s="2357"/>
      <c r="EP8" s="2357"/>
      <c r="EQ8" s="2357"/>
      <c r="ER8" s="2357"/>
      <c r="ES8" s="2357"/>
      <c r="ET8" s="2357"/>
      <c r="EU8" s="2357"/>
      <c r="EV8" s="2357"/>
      <c r="EW8" s="2357"/>
      <c r="EX8" s="2357"/>
      <c r="EY8" s="2357"/>
      <c r="EZ8" s="2357"/>
      <c r="FA8" s="2357"/>
      <c r="FB8" s="2357"/>
      <c r="FC8" s="2357"/>
      <c r="FD8" s="2357"/>
      <c r="FE8" s="2357"/>
      <c r="FF8" s="2357"/>
      <c r="FG8" s="2357"/>
      <c r="FH8" s="2357"/>
      <c r="FI8" s="2357"/>
      <c r="FJ8" s="2357"/>
      <c r="FK8" s="2357"/>
      <c r="FL8" s="2357"/>
      <c r="FM8" s="2357"/>
      <c r="FN8" s="2357"/>
      <c r="FO8" s="2357"/>
      <c r="FP8" s="2357"/>
      <c r="FQ8" s="2357"/>
      <c r="FR8" s="2357"/>
      <c r="FS8" s="2357"/>
      <c r="FT8" s="2357"/>
      <c r="FU8" s="2357"/>
      <c r="FV8" s="2357"/>
      <c r="FW8" s="2357"/>
      <c r="FX8" s="2357"/>
      <c r="FY8" s="2357"/>
      <c r="FZ8" s="2357"/>
      <c r="GA8" s="2357"/>
      <c r="GB8" s="2357"/>
      <c r="GC8" s="2357"/>
      <c r="GD8" s="2357"/>
      <c r="GE8" s="2357"/>
      <c r="GF8" s="2357"/>
      <c r="GG8" s="2357"/>
      <c r="GH8" s="2357"/>
      <c r="GI8" s="2357"/>
      <c r="GJ8" s="2357"/>
      <c r="GK8" s="2357"/>
      <c r="GL8" s="2357"/>
      <c r="GM8" s="2357"/>
      <c r="GN8" s="2357"/>
      <c r="GO8" s="2357"/>
      <c r="GP8" s="2357"/>
      <c r="GQ8" s="2357"/>
      <c r="GR8" s="2357"/>
      <c r="GS8" s="2357"/>
      <c r="GT8" s="2357"/>
      <c r="GU8" s="2357"/>
      <c r="GV8" s="2357"/>
      <c r="GW8" s="2357"/>
      <c r="GX8" s="2357"/>
      <c r="GY8" s="2357"/>
      <c r="GZ8" s="2357"/>
      <c r="HA8" s="2357"/>
      <c r="HB8" s="2357"/>
      <c r="HC8" s="2357"/>
      <c r="HD8" s="2357"/>
      <c r="HE8" s="2357"/>
      <c r="HF8" s="2357"/>
      <c r="HG8" s="2357"/>
      <c r="HH8" s="2357"/>
      <c r="HI8" s="2357"/>
      <c r="HJ8" s="2357"/>
      <c r="HK8" s="2357"/>
      <c r="HL8" s="2357"/>
      <c r="HM8" s="2357"/>
      <c r="HN8" s="2357"/>
      <c r="HO8" s="2357"/>
      <c r="HP8" s="2357"/>
      <c r="HQ8" s="2357"/>
      <c r="HR8" s="2357"/>
      <c r="HS8" s="2357"/>
      <c r="HT8" s="2357"/>
      <c r="HU8" s="2357"/>
      <c r="HV8" s="2357"/>
      <c r="HW8" s="2357"/>
      <c r="HX8" s="2357"/>
      <c r="HY8" s="2357"/>
      <c r="HZ8" s="2357"/>
      <c r="IA8" s="2357"/>
      <c r="IB8" s="2357"/>
      <c r="IC8" s="2357"/>
      <c r="ID8" s="2357"/>
      <c r="IE8" s="2357"/>
      <c r="IF8" s="2357"/>
      <c r="IG8" s="2357"/>
      <c r="IH8" s="2357"/>
      <c r="II8" s="2357"/>
      <c r="IJ8" s="2357"/>
      <c r="IK8" s="2357"/>
      <c r="IL8" s="2357"/>
      <c r="IM8" s="2357"/>
      <c r="IN8" s="2357"/>
      <c r="IO8" s="2357"/>
      <c r="IP8" s="2357"/>
      <c r="IQ8" s="2357"/>
      <c r="IR8" s="2357"/>
      <c r="IS8" s="2357"/>
      <c r="IT8" s="2357"/>
      <c r="IU8" s="2357"/>
      <c r="IV8" s="2357"/>
    </row>
    <row r="9" spans="1:256">
      <c r="A9" s="861"/>
      <c r="B9" s="860" t="s">
        <v>1291</v>
      </c>
      <c r="C9" s="860"/>
      <c r="D9" s="2358" t="s">
        <v>1</v>
      </c>
      <c r="E9" s="2358" t="s">
        <v>4</v>
      </c>
      <c r="F9" s="2358" t="s">
        <v>1</v>
      </c>
      <c r="G9" s="2358" t="s">
        <v>4</v>
      </c>
      <c r="H9" s="2358" t="s">
        <v>1</v>
      </c>
      <c r="I9" s="2360" t="s">
        <v>4</v>
      </c>
      <c r="J9" s="859"/>
      <c r="K9" s="2357"/>
      <c r="L9" s="2357"/>
      <c r="M9" s="2357"/>
      <c r="N9" s="2357"/>
      <c r="O9" s="2357"/>
      <c r="P9" s="2357"/>
      <c r="Q9" s="2357"/>
      <c r="R9" s="2357"/>
      <c r="S9" s="2357"/>
      <c r="T9" s="2357"/>
      <c r="U9" s="2357"/>
      <c r="V9" s="2357"/>
      <c r="W9" s="2357"/>
      <c r="X9" s="2357"/>
      <c r="Y9" s="2357"/>
      <c r="Z9" s="2357"/>
      <c r="AA9" s="2357"/>
      <c r="AB9" s="2357"/>
      <c r="AC9" s="2357"/>
      <c r="AD9" s="2357"/>
      <c r="AE9" s="2357"/>
      <c r="AF9" s="2357"/>
      <c r="AG9" s="2357"/>
      <c r="AH9" s="2357"/>
      <c r="AI9" s="2357"/>
      <c r="AJ9" s="2357"/>
      <c r="AK9" s="2357"/>
      <c r="AL9" s="2357"/>
      <c r="AM9" s="2357"/>
      <c r="AN9" s="2357"/>
      <c r="AO9" s="2357"/>
      <c r="AP9" s="2357"/>
      <c r="AQ9" s="2357"/>
      <c r="AR9" s="2357"/>
      <c r="AS9" s="2357"/>
      <c r="AT9" s="2357"/>
      <c r="AU9" s="2357"/>
      <c r="AV9" s="2357"/>
      <c r="AW9" s="2357"/>
      <c r="AX9" s="2357"/>
      <c r="AY9" s="2357"/>
      <c r="AZ9" s="2357"/>
      <c r="BA9" s="2357"/>
      <c r="BB9" s="2357"/>
      <c r="BC9" s="2357"/>
      <c r="BD9" s="2357"/>
      <c r="BE9" s="2357"/>
      <c r="BF9" s="2357"/>
      <c r="BG9" s="2357"/>
      <c r="BH9" s="2357"/>
      <c r="BI9" s="2357"/>
      <c r="BJ9" s="2357"/>
      <c r="BK9" s="2357"/>
      <c r="BL9" s="2357"/>
      <c r="BM9" s="2357"/>
      <c r="BN9" s="2357"/>
      <c r="BO9" s="2357"/>
      <c r="BP9" s="2357"/>
      <c r="BQ9" s="2357"/>
      <c r="BR9" s="2357"/>
      <c r="BS9" s="2357"/>
      <c r="BT9" s="2357"/>
      <c r="BU9" s="2357"/>
      <c r="BV9" s="2357"/>
      <c r="BW9" s="2357"/>
      <c r="BX9" s="2357"/>
      <c r="BY9" s="2357"/>
      <c r="BZ9" s="2357"/>
      <c r="CA9" s="2357"/>
      <c r="CB9" s="2357"/>
      <c r="CC9" s="2357"/>
      <c r="CD9" s="2357"/>
      <c r="CE9" s="2357"/>
      <c r="CF9" s="2357"/>
      <c r="CG9" s="2357"/>
      <c r="CH9" s="2357"/>
      <c r="CI9" s="2357"/>
      <c r="CJ9" s="2357"/>
      <c r="CK9" s="2357"/>
      <c r="CL9" s="2357"/>
      <c r="CM9" s="2357"/>
      <c r="CN9" s="2357"/>
      <c r="CO9" s="2357"/>
      <c r="CP9" s="2357"/>
      <c r="CQ9" s="2357"/>
      <c r="CR9" s="2357"/>
      <c r="CS9" s="2357"/>
      <c r="CT9" s="2357"/>
      <c r="CU9" s="2357"/>
      <c r="CV9" s="2357"/>
      <c r="CW9" s="2357"/>
      <c r="CX9" s="2357"/>
      <c r="CY9" s="2357"/>
      <c r="CZ9" s="2357"/>
      <c r="DA9" s="2357"/>
      <c r="DB9" s="2357"/>
      <c r="DC9" s="2357"/>
      <c r="DD9" s="2357"/>
      <c r="DE9" s="2357"/>
      <c r="DF9" s="2357"/>
      <c r="DG9" s="2357"/>
      <c r="DH9" s="2357"/>
      <c r="DI9" s="2357"/>
      <c r="DJ9" s="2357"/>
      <c r="DK9" s="2357"/>
      <c r="DL9" s="2357"/>
      <c r="DM9" s="2357"/>
      <c r="DN9" s="2357"/>
      <c r="DO9" s="2357"/>
      <c r="DP9" s="2357"/>
      <c r="DQ9" s="2357"/>
      <c r="DR9" s="2357"/>
      <c r="DS9" s="2357"/>
      <c r="DT9" s="2357"/>
      <c r="DU9" s="2357"/>
      <c r="DV9" s="2357"/>
      <c r="DW9" s="2357"/>
      <c r="DX9" s="2357"/>
      <c r="DY9" s="2357"/>
      <c r="DZ9" s="2357"/>
      <c r="EA9" s="2357"/>
      <c r="EB9" s="2357"/>
      <c r="EC9" s="2357"/>
      <c r="ED9" s="2357"/>
      <c r="EE9" s="2357"/>
      <c r="EF9" s="2357"/>
      <c r="EG9" s="2357"/>
      <c r="EH9" s="2357"/>
      <c r="EI9" s="2357"/>
      <c r="EJ9" s="2357"/>
      <c r="EK9" s="2357"/>
      <c r="EL9" s="2357"/>
      <c r="EM9" s="2357"/>
      <c r="EN9" s="2357"/>
      <c r="EO9" s="2357"/>
      <c r="EP9" s="2357"/>
      <c r="EQ9" s="2357"/>
      <c r="ER9" s="2357"/>
      <c r="ES9" s="2357"/>
      <c r="ET9" s="2357"/>
      <c r="EU9" s="2357"/>
      <c r="EV9" s="2357"/>
      <c r="EW9" s="2357"/>
      <c r="EX9" s="2357"/>
      <c r="EY9" s="2357"/>
      <c r="EZ9" s="2357"/>
      <c r="FA9" s="2357"/>
      <c r="FB9" s="2357"/>
      <c r="FC9" s="2357"/>
      <c r="FD9" s="2357"/>
      <c r="FE9" s="2357"/>
      <c r="FF9" s="2357"/>
      <c r="FG9" s="2357"/>
      <c r="FH9" s="2357"/>
      <c r="FI9" s="2357"/>
      <c r="FJ9" s="2357"/>
      <c r="FK9" s="2357"/>
      <c r="FL9" s="2357"/>
      <c r="FM9" s="2357"/>
      <c r="FN9" s="2357"/>
      <c r="FO9" s="2357"/>
      <c r="FP9" s="2357"/>
      <c r="FQ9" s="2357"/>
      <c r="FR9" s="2357"/>
      <c r="FS9" s="2357"/>
      <c r="FT9" s="2357"/>
      <c r="FU9" s="2357"/>
      <c r="FV9" s="2357"/>
      <c r="FW9" s="2357"/>
      <c r="FX9" s="2357"/>
      <c r="FY9" s="2357"/>
      <c r="FZ9" s="2357"/>
      <c r="GA9" s="2357"/>
      <c r="GB9" s="2357"/>
      <c r="GC9" s="2357"/>
      <c r="GD9" s="2357"/>
      <c r="GE9" s="2357"/>
      <c r="GF9" s="2357"/>
      <c r="GG9" s="2357"/>
      <c r="GH9" s="2357"/>
      <c r="GI9" s="2357"/>
      <c r="GJ9" s="2357"/>
      <c r="GK9" s="2357"/>
      <c r="GL9" s="2357"/>
      <c r="GM9" s="2357"/>
      <c r="GN9" s="2357"/>
      <c r="GO9" s="2357"/>
      <c r="GP9" s="2357"/>
      <c r="GQ9" s="2357"/>
      <c r="GR9" s="2357"/>
      <c r="GS9" s="2357"/>
      <c r="GT9" s="2357"/>
      <c r="GU9" s="2357"/>
      <c r="GV9" s="2357"/>
      <c r="GW9" s="2357"/>
      <c r="GX9" s="2357"/>
      <c r="GY9" s="2357"/>
      <c r="GZ9" s="2357"/>
      <c r="HA9" s="2357"/>
      <c r="HB9" s="2357"/>
      <c r="HC9" s="2357"/>
      <c r="HD9" s="2357"/>
      <c r="HE9" s="2357"/>
      <c r="HF9" s="2357"/>
      <c r="HG9" s="2357"/>
      <c r="HH9" s="2357"/>
      <c r="HI9" s="2357"/>
      <c r="HJ9" s="2357"/>
      <c r="HK9" s="2357"/>
      <c r="HL9" s="2357"/>
      <c r="HM9" s="2357"/>
      <c r="HN9" s="2357"/>
      <c r="HO9" s="2357"/>
      <c r="HP9" s="2357"/>
      <c r="HQ9" s="2357"/>
      <c r="HR9" s="2357"/>
      <c r="HS9" s="2357"/>
      <c r="HT9" s="2357"/>
      <c r="HU9" s="2357"/>
      <c r="HV9" s="2357"/>
      <c r="HW9" s="2357"/>
      <c r="HX9" s="2357"/>
      <c r="HY9" s="2357"/>
      <c r="HZ9" s="2357"/>
      <c r="IA9" s="2357"/>
      <c r="IB9" s="2357"/>
      <c r="IC9" s="2357"/>
      <c r="ID9" s="2357"/>
      <c r="IE9" s="2357"/>
      <c r="IF9" s="2357"/>
      <c r="IG9" s="2357"/>
      <c r="IH9" s="2357"/>
      <c r="II9" s="2357"/>
      <c r="IJ9" s="2357"/>
      <c r="IK9" s="2357"/>
      <c r="IL9" s="2357"/>
      <c r="IM9" s="2357"/>
      <c r="IN9" s="2357"/>
      <c r="IO9" s="2357"/>
      <c r="IP9" s="2357"/>
      <c r="IQ9" s="2357"/>
      <c r="IR9" s="2357"/>
      <c r="IS9" s="2357"/>
      <c r="IT9" s="2357"/>
      <c r="IU9" s="2357"/>
      <c r="IV9" s="2357"/>
    </row>
    <row r="10" spans="1:256">
      <c r="A10" s="858" t="s">
        <v>1351</v>
      </c>
      <c r="B10" s="529"/>
      <c r="C10" s="566"/>
      <c r="D10" s="857"/>
      <c r="E10" s="565">
        <f>SUM(E19+E20)</f>
        <v>153950000</v>
      </c>
      <c r="F10" s="565"/>
      <c r="G10" s="565">
        <f>SUM(G19+G20)</f>
        <v>54900000</v>
      </c>
      <c r="H10" s="857"/>
      <c r="I10" s="565">
        <f>SUM(I19+I20)</f>
        <v>54700000</v>
      </c>
      <c r="J10" s="856">
        <f>SUM(E10:I10)</f>
        <v>263550000</v>
      </c>
    </row>
    <row r="11" spans="1:256">
      <c r="A11" s="848" t="s">
        <v>1648</v>
      </c>
      <c r="B11" s="562" t="s">
        <v>1287</v>
      </c>
      <c r="C11" s="553">
        <v>25000</v>
      </c>
      <c r="D11" s="551">
        <v>3000</v>
      </c>
      <c r="E11" s="551">
        <f>C11*D11</f>
        <v>75000000</v>
      </c>
      <c r="F11" s="551"/>
      <c r="G11" s="551"/>
      <c r="H11" s="551"/>
      <c r="I11" s="821">
        <f>H11*C11</f>
        <v>0</v>
      </c>
      <c r="J11" s="854">
        <f t="shared" ref="J11:J18" si="0">E11+G11+I11</f>
        <v>75000000</v>
      </c>
    </row>
    <row r="12" spans="1:256">
      <c r="A12" s="848" t="s">
        <v>1663</v>
      </c>
      <c r="B12" s="562" t="s">
        <v>1662</v>
      </c>
      <c r="C12" s="553">
        <v>7000</v>
      </c>
      <c r="D12" s="551">
        <v>3000</v>
      </c>
      <c r="E12" s="551">
        <f>C12*D12</f>
        <v>21000000</v>
      </c>
      <c r="F12" s="551"/>
      <c r="G12" s="551"/>
      <c r="H12" s="551"/>
      <c r="I12" s="551"/>
      <c r="J12" s="854">
        <f t="shared" si="0"/>
        <v>21000000</v>
      </c>
    </row>
    <row r="13" spans="1:256">
      <c r="A13" s="848" t="s">
        <v>1661</v>
      </c>
      <c r="B13" s="562" t="s">
        <v>1660</v>
      </c>
      <c r="C13" s="553">
        <v>200000</v>
      </c>
      <c r="D13" s="551">
        <v>100</v>
      </c>
      <c r="E13" s="551">
        <f>C13*D13</f>
        <v>20000000</v>
      </c>
      <c r="F13" s="551">
        <v>30</v>
      </c>
      <c r="G13" s="551">
        <f t="shared" ref="G13:G18" si="1">F13*C13</f>
        <v>6000000</v>
      </c>
      <c r="H13" s="551">
        <v>30</v>
      </c>
      <c r="I13" s="551">
        <f t="shared" ref="I13:I18" si="2">H13*C13</f>
        <v>6000000</v>
      </c>
      <c r="J13" s="854">
        <f t="shared" si="0"/>
        <v>32000000</v>
      </c>
    </row>
    <row r="14" spans="1:256">
      <c r="A14" s="848" t="s">
        <v>1377</v>
      </c>
      <c r="B14" s="562" t="s">
        <v>228</v>
      </c>
      <c r="C14" s="553">
        <v>450000</v>
      </c>
      <c r="D14" s="551">
        <v>10</v>
      </c>
      <c r="E14" s="551">
        <f>C14*D14</f>
        <v>4500000</v>
      </c>
      <c r="F14" s="551">
        <v>10</v>
      </c>
      <c r="G14" s="551">
        <f t="shared" si="1"/>
        <v>4500000</v>
      </c>
      <c r="H14" s="551">
        <v>10</v>
      </c>
      <c r="I14" s="551">
        <f t="shared" si="2"/>
        <v>4500000</v>
      </c>
      <c r="J14" s="854">
        <f t="shared" si="0"/>
        <v>13500000</v>
      </c>
    </row>
    <row r="15" spans="1:256">
      <c r="A15" s="848" t="s">
        <v>1376</v>
      </c>
      <c r="B15" s="562" t="s">
        <v>11</v>
      </c>
      <c r="C15" s="553">
        <v>15000</v>
      </c>
      <c r="D15" s="551">
        <v>150</v>
      </c>
      <c r="E15" s="551">
        <f>C15*D15</f>
        <v>2250000</v>
      </c>
      <c r="F15" s="551">
        <v>100</v>
      </c>
      <c r="G15" s="551">
        <f t="shared" si="1"/>
        <v>1500000</v>
      </c>
      <c r="H15" s="551">
        <v>100</v>
      </c>
      <c r="I15" s="551">
        <f t="shared" si="2"/>
        <v>1500000</v>
      </c>
      <c r="J15" s="854">
        <f t="shared" si="0"/>
        <v>5250000</v>
      </c>
    </row>
    <row r="16" spans="1:256">
      <c r="A16" s="848" t="s">
        <v>1372</v>
      </c>
      <c r="B16" s="562" t="s">
        <v>11</v>
      </c>
      <c r="C16" s="553">
        <v>1000</v>
      </c>
      <c r="D16" s="551">
        <v>100</v>
      </c>
      <c r="E16" s="551">
        <f>D16*C16</f>
        <v>100000</v>
      </c>
      <c r="F16" s="551"/>
      <c r="G16" s="551">
        <f t="shared" si="1"/>
        <v>0</v>
      </c>
      <c r="H16" s="551"/>
      <c r="I16" s="551">
        <f t="shared" si="2"/>
        <v>0</v>
      </c>
      <c r="J16" s="854">
        <f t="shared" si="0"/>
        <v>100000</v>
      </c>
    </row>
    <row r="17" spans="1:10">
      <c r="A17" s="848" t="s">
        <v>1443</v>
      </c>
      <c r="B17" s="562" t="s">
        <v>513</v>
      </c>
      <c r="C17" s="553">
        <v>200000</v>
      </c>
      <c r="D17" s="551">
        <v>20</v>
      </c>
      <c r="E17" s="551">
        <f>D17*C17</f>
        <v>4000000</v>
      </c>
      <c r="F17" s="551">
        <v>25</v>
      </c>
      <c r="G17" s="551">
        <f t="shared" si="1"/>
        <v>5000000</v>
      </c>
      <c r="H17" s="551">
        <v>25</v>
      </c>
      <c r="I17" s="551">
        <f t="shared" si="2"/>
        <v>5000000</v>
      </c>
      <c r="J17" s="854">
        <f t="shared" si="0"/>
        <v>14000000</v>
      </c>
    </row>
    <row r="18" spans="1:10">
      <c r="A18" s="848" t="s">
        <v>1659</v>
      </c>
      <c r="B18" s="562" t="s">
        <v>511</v>
      </c>
      <c r="C18" s="553">
        <v>250000</v>
      </c>
      <c r="D18" s="551">
        <v>60</v>
      </c>
      <c r="E18" s="551">
        <f>D18*C18</f>
        <v>15000000</v>
      </c>
      <c r="F18" s="551">
        <v>90</v>
      </c>
      <c r="G18" s="551">
        <f t="shared" si="1"/>
        <v>22500000</v>
      </c>
      <c r="H18" s="551">
        <v>120</v>
      </c>
      <c r="I18" s="551">
        <f t="shared" si="2"/>
        <v>30000000</v>
      </c>
      <c r="J18" s="854">
        <f t="shared" si="0"/>
        <v>67500000</v>
      </c>
    </row>
    <row r="19" spans="1:10" ht="17.25">
      <c r="A19" s="853" t="s">
        <v>1344</v>
      </c>
      <c r="B19" s="852"/>
      <c r="C19" s="851"/>
      <c r="D19" s="555"/>
      <c r="E19" s="555">
        <f>SUM(E11:E18)</f>
        <v>141850000</v>
      </c>
      <c r="F19" s="555"/>
      <c r="G19" s="555">
        <f>SUM(G11:G18)</f>
        <v>39500000</v>
      </c>
      <c r="H19" s="555"/>
      <c r="I19" s="555">
        <f>SUM(I11:I18)</f>
        <v>47000000</v>
      </c>
      <c r="J19" s="855">
        <f>SUM(J11:J18)</f>
        <v>228350000</v>
      </c>
    </row>
    <row r="20" spans="1:10">
      <c r="A20" s="848" t="s">
        <v>1658</v>
      </c>
      <c r="B20" s="562" t="s">
        <v>1270</v>
      </c>
      <c r="C20" s="553"/>
      <c r="D20" s="551"/>
      <c r="E20" s="551">
        <f>110000000*11%</f>
        <v>12100000</v>
      </c>
      <c r="F20" s="551"/>
      <c r="G20" s="551">
        <f>140000000*11%</f>
        <v>15400000</v>
      </c>
      <c r="H20" s="551"/>
      <c r="I20" s="551">
        <f>70000000*11%</f>
        <v>7700000</v>
      </c>
      <c r="J20" s="854">
        <f>SUM(E20:I20)</f>
        <v>35200000</v>
      </c>
    </row>
    <row r="21" spans="1:10" ht="17.25">
      <c r="A21" s="853" t="s">
        <v>1341</v>
      </c>
      <c r="B21" s="852"/>
      <c r="C21" s="851"/>
      <c r="D21" s="555"/>
      <c r="E21" s="850">
        <f>E22</f>
        <v>0</v>
      </c>
      <c r="F21" s="850"/>
      <c r="G21" s="555">
        <f>G22</f>
        <v>125000000</v>
      </c>
      <c r="H21" s="849"/>
      <c r="I21" s="555">
        <f>I22</f>
        <v>175000000</v>
      </c>
      <c r="J21" s="847">
        <f>J22</f>
        <v>300000000</v>
      </c>
    </row>
    <row r="22" spans="1:10">
      <c r="A22" s="848" t="s">
        <v>1657</v>
      </c>
      <c r="B22" s="562" t="s">
        <v>1270</v>
      </c>
      <c r="C22" s="553">
        <v>5000</v>
      </c>
      <c r="D22" s="551">
        <v>0</v>
      </c>
      <c r="E22" s="551">
        <f>D22*C22</f>
        <v>0</v>
      </c>
      <c r="F22" s="551">
        <v>25000</v>
      </c>
      <c r="G22" s="551">
        <f>F22*C22</f>
        <v>125000000</v>
      </c>
      <c r="H22" s="551">
        <v>35000</v>
      </c>
      <c r="I22" s="551">
        <f>H22*C22</f>
        <v>175000000</v>
      </c>
      <c r="J22" s="847">
        <f>E22+G22+I22</f>
        <v>300000000</v>
      </c>
    </row>
    <row r="23" spans="1:10">
      <c r="A23" s="846" t="s">
        <v>1337</v>
      </c>
      <c r="B23" s="550"/>
      <c r="C23" s="794"/>
      <c r="D23" s="547"/>
      <c r="E23" s="845">
        <f>E21-E10</f>
        <v>-153950000</v>
      </c>
      <c r="F23" s="547"/>
      <c r="G23" s="844">
        <f>G21-G10</f>
        <v>70100000</v>
      </c>
      <c r="H23" s="547"/>
      <c r="I23" s="844">
        <f>I21-I10</f>
        <v>120300000</v>
      </c>
      <c r="J23" s="843">
        <f>J21-J10</f>
        <v>36450000</v>
      </c>
    </row>
    <row r="24" spans="1:10" ht="17.25" thickBot="1">
      <c r="A24" s="814" t="s">
        <v>1269</v>
      </c>
      <c r="B24" s="842"/>
      <c r="C24" s="841"/>
      <c r="D24" s="840"/>
      <c r="E24" s="840"/>
      <c r="F24" s="840"/>
      <c r="G24" s="840"/>
      <c r="H24" s="840"/>
      <c r="I24" s="840"/>
      <c r="J24" s="839">
        <f>J23/J21</f>
        <v>0.1215</v>
      </c>
    </row>
    <row r="25" spans="1:10" ht="17.25" thickTop="1">
      <c r="A25" s="805" t="s">
        <v>1268</v>
      </c>
    </row>
    <row r="26" spans="1:10">
      <c r="A26" s="525" t="s">
        <v>1656</v>
      </c>
    </row>
    <row r="27" spans="1:10">
      <c r="A27" s="525" t="s">
        <v>1655</v>
      </c>
    </row>
  </sheetData>
  <mergeCells count="6">
    <mergeCell ref="D8:E8"/>
    <mergeCell ref="F8:G8"/>
    <mergeCell ref="H8:I8"/>
    <mergeCell ref="B4:J4"/>
    <mergeCell ref="B5:J5"/>
    <mergeCell ref="D7:I7"/>
  </mergeCells>
  <pageMargins left="1" right="0.5" top="0.75" bottom="0.75" header="0.48" footer="0.5"/>
  <pageSetup paperSize="9" orientation="landscape" r:id="rId1"/>
  <headerFooter>
    <oddFooter>&amp;CTrang</oddFooter>
  </headerFooter>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IV39"/>
  <sheetViews>
    <sheetView zoomScaleNormal="100" workbookViewId="0">
      <selection activeCell="H20" sqref="H20"/>
    </sheetView>
  </sheetViews>
  <sheetFormatPr defaultRowHeight="16.5"/>
  <cols>
    <col min="1" max="1" width="31.28515625" style="525" customWidth="1"/>
    <col min="2" max="2" width="12.28515625" style="525" customWidth="1"/>
    <col min="3" max="3" width="12.42578125" style="525" customWidth="1"/>
    <col min="4" max="4" width="14.140625" style="525" customWidth="1"/>
    <col min="5" max="6" width="17.42578125" style="525" customWidth="1"/>
    <col min="7" max="256" width="9.140625" style="525"/>
    <col min="257" max="257" width="31.28515625" style="525" customWidth="1"/>
    <col min="258" max="258" width="12.28515625" style="525" customWidth="1"/>
    <col min="259" max="259" width="12.42578125" style="525" customWidth="1"/>
    <col min="260" max="260" width="14.140625" style="525" customWidth="1"/>
    <col min="261" max="262" width="17.42578125" style="525" customWidth="1"/>
    <col min="263" max="512" width="9.140625" style="525"/>
    <col min="513" max="513" width="31.28515625" style="525" customWidth="1"/>
    <col min="514" max="514" width="12.28515625" style="525" customWidth="1"/>
    <col min="515" max="515" width="12.42578125" style="525" customWidth="1"/>
    <col min="516" max="516" width="14.140625" style="525" customWidth="1"/>
    <col min="517" max="518" width="17.42578125" style="525" customWidth="1"/>
    <col min="519" max="768" width="9.140625" style="525"/>
    <col min="769" max="769" width="31.28515625" style="525" customWidth="1"/>
    <col min="770" max="770" width="12.28515625" style="525" customWidth="1"/>
    <col min="771" max="771" width="12.42578125" style="525" customWidth="1"/>
    <col min="772" max="772" width="14.140625" style="525" customWidth="1"/>
    <col min="773" max="774" width="17.42578125" style="525" customWidth="1"/>
    <col min="775" max="1024" width="9.140625" style="525"/>
    <col min="1025" max="1025" width="31.28515625" style="525" customWidth="1"/>
    <col min="1026" max="1026" width="12.28515625" style="525" customWidth="1"/>
    <col min="1027" max="1027" width="12.42578125" style="525" customWidth="1"/>
    <col min="1028" max="1028" width="14.140625" style="525" customWidth="1"/>
    <col min="1029" max="1030" width="17.42578125" style="525" customWidth="1"/>
    <col min="1031" max="1280" width="9.140625" style="525"/>
    <col min="1281" max="1281" width="31.28515625" style="525" customWidth="1"/>
    <col min="1282" max="1282" width="12.28515625" style="525" customWidth="1"/>
    <col min="1283" max="1283" width="12.42578125" style="525" customWidth="1"/>
    <col min="1284" max="1284" width="14.140625" style="525" customWidth="1"/>
    <col min="1285" max="1286" width="17.42578125" style="525" customWidth="1"/>
    <col min="1287" max="1536" width="9.140625" style="525"/>
    <col min="1537" max="1537" width="31.28515625" style="525" customWidth="1"/>
    <col min="1538" max="1538" width="12.28515625" style="525" customWidth="1"/>
    <col min="1539" max="1539" width="12.42578125" style="525" customWidth="1"/>
    <col min="1540" max="1540" width="14.140625" style="525" customWidth="1"/>
    <col min="1541" max="1542" width="17.42578125" style="525" customWidth="1"/>
    <col min="1543" max="1792" width="9.140625" style="525"/>
    <col min="1793" max="1793" width="31.28515625" style="525" customWidth="1"/>
    <col min="1794" max="1794" width="12.28515625" style="525" customWidth="1"/>
    <col min="1795" max="1795" width="12.42578125" style="525" customWidth="1"/>
    <col min="1796" max="1796" width="14.140625" style="525" customWidth="1"/>
    <col min="1797" max="1798" width="17.42578125" style="525" customWidth="1"/>
    <col min="1799" max="2048" width="9.140625" style="525"/>
    <col min="2049" max="2049" width="31.28515625" style="525" customWidth="1"/>
    <col min="2050" max="2050" width="12.28515625" style="525" customWidth="1"/>
    <col min="2051" max="2051" width="12.42578125" style="525" customWidth="1"/>
    <col min="2052" max="2052" width="14.140625" style="525" customWidth="1"/>
    <col min="2053" max="2054" width="17.42578125" style="525" customWidth="1"/>
    <col min="2055" max="2304" width="9.140625" style="525"/>
    <col min="2305" max="2305" width="31.28515625" style="525" customWidth="1"/>
    <col min="2306" max="2306" width="12.28515625" style="525" customWidth="1"/>
    <col min="2307" max="2307" width="12.42578125" style="525" customWidth="1"/>
    <col min="2308" max="2308" width="14.140625" style="525" customWidth="1"/>
    <col min="2309" max="2310" width="17.42578125" style="525" customWidth="1"/>
    <col min="2311" max="2560" width="9.140625" style="525"/>
    <col min="2561" max="2561" width="31.28515625" style="525" customWidth="1"/>
    <col min="2562" max="2562" width="12.28515625" style="525" customWidth="1"/>
    <col min="2563" max="2563" width="12.42578125" style="525" customWidth="1"/>
    <col min="2564" max="2564" width="14.140625" style="525" customWidth="1"/>
    <col min="2565" max="2566" width="17.42578125" style="525" customWidth="1"/>
    <col min="2567" max="2816" width="9.140625" style="525"/>
    <col min="2817" max="2817" width="31.28515625" style="525" customWidth="1"/>
    <col min="2818" max="2818" width="12.28515625" style="525" customWidth="1"/>
    <col min="2819" max="2819" width="12.42578125" style="525" customWidth="1"/>
    <col min="2820" max="2820" width="14.140625" style="525" customWidth="1"/>
    <col min="2821" max="2822" width="17.42578125" style="525" customWidth="1"/>
    <col min="2823" max="3072" width="9.140625" style="525"/>
    <col min="3073" max="3073" width="31.28515625" style="525" customWidth="1"/>
    <col min="3074" max="3074" width="12.28515625" style="525" customWidth="1"/>
    <col min="3075" max="3075" width="12.42578125" style="525" customWidth="1"/>
    <col min="3076" max="3076" width="14.140625" style="525" customWidth="1"/>
    <col min="3077" max="3078" width="17.42578125" style="525" customWidth="1"/>
    <col min="3079" max="3328" width="9.140625" style="525"/>
    <col min="3329" max="3329" width="31.28515625" style="525" customWidth="1"/>
    <col min="3330" max="3330" width="12.28515625" style="525" customWidth="1"/>
    <col min="3331" max="3331" width="12.42578125" style="525" customWidth="1"/>
    <col min="3332" max="3332" width="14.140625" style="525" customWidth="1"/>
    <col min="3333" max="3334" width="17.42578125" style="525" customWidth="1"/>
    <col min="3335" max="3584" width="9.140625" style="525"/>
    <col min="3585" max="3585" width="31.28515625" style="525" customWidth="1"/>
    <col min="3586" max="3586" width="12.28515625" style="525" customWidth="1"/>
    <col min="3587" max="3587" width="12.42578125" style="525" customWidth="1"/>
    <col min="3588" max="3588" width="14.140625" style="525" customWidth="1"/>
    <col min="3589" max="3590" width="17.42578125" style="525" customWidth="1"/>
    <col min="3591" max="3840" width="9.140625" style="525"/>
    <col min="3841" max="3841" width="31.28515625" style="525" customWidth="1"/>
    <col min="3842" max="3842" width="12.28515625" style="525" customWidth="1"/>
    <col min="3843" max="3843" width="12.42578125" style="525" customWidth="1"/>
    <col min="3844" max="3844" width="14.140625" style="525" customWidth="1"/>
    <col min="3845" max="3846" width="17.42578125" style="525" customWidth="1"/>
    <col min="3847" max="4096" width="9.140625" style="525"/>
    <col min="4097" max="4097" width="31.28515625" style="525" customWidth="1"/>
    <col min="4098" max="4098" width="12.28515625" style="525" customWidth="1"/>
    <col min="4099" max="4099" width="12.42578125" style="525" customWidth="1"/>
    <col min="4100" max="4100" width="14.140625" style="525" customWidth="1"/>
    <col min="4101" max="4102" width="17.42578125" style="525" customWidth="1"/>
    <col min="4103" max="4352" width="9.140625" style="525"/>
    <col min="4353" max="4353" width="31.28515625" style="525" customWidth="1"/>
    <col min="4354" max="4354" width="12.28515625" style="525" customWidth="1"/>
    <col min="4355" max="4355" width="12.42578125" style="525" customWidth="1"/>
    <col min="4356" max="4356" width="14.140625" style="525" customWidth="1"/>
    <col min="4357" max="4358" width="17.42578125" style="525" customWidth="1"/>
    <col min="4359" max="4608" width="9.140625" style="525"/>
    <col min="4609" max="4609" width="31.28515625" style="525" customWidth="1"/>
    <col min="4610" max="4610" width="12.28515625" style="525" customWidth="1"/>
    <col min="4611" max="4611" width="12.42578125" style="525" customWidth="1"/>
    <col min="4612" max="4612" width="14.140625" style="525" customWidth="1"/>
    <col min="4613" max="4614" width="17.42578125" style="525" customWidth="1"/>
    <col min="4615" max="4864" width="9.140625" style="525"/>
    <col min="4865" max="4865" width="31.28515625" style="525" customWidth="1"/>
    <col min="4866" max="4866" width="12.28515625" style="525" customWidth="1"/>
    <col min="4867" max="4867" width="12.42578125" style="525" customWidth="1"/>
    <col min="4868" max="4868" width="14.140625" style="525" customWidth="1"/>
    <col min="4869" max="4870" width="17.42578125" style="525" customWidth="1"/>
    <col min="4871" max="5120" width="9.140625" style="525"/>
    <col min="5121" max="5121" width="31.28515625" style="525" customWidth="1"/>
    <col min="5122" max="5122" width="12.28515625" style="525" customWidth="1"/>
    <col min="5123" max="5123" width="12.42578125" style="525" customWidth="1"/>
    <col min="5124" max="5124" width="14.140625" style="525" customWidth="1"/>
    <col min="5125" max="5126" width="17.42578125" style="525" customWidth="1"/>
    <col min="5127" max="5376" width="9.140625" style="525"/>
    <col min="5377" max="5377" width="31.28515625" style="525" customWidth="1"/>
    <col min="5378" max="5378" width="12.28515625" style="525" customWidth="1"/>
    <col min="5379" max="5379" width="12.42578125" style="525" customWidth="1"/>
    <col min="5380" max="5380" width="14.140625" style="525" customWidth="1"/>
    <col min="5381" max="5382" width="17.42578125" style="525" customWidth="1"/>
    <col min="5383" max="5632" width="9.140625" style="525"/>
    <col min="5633" max="5633" width="31.28515625" style="525" customWidth="1"/>
    <col min="5634" max="5634" width="12.28515625" style="525" customWidth="1"/>
    <col min="5635" max="5635" width="12.42578125" style="525" customWidth="1"/>
    <col min="5636" max="5636" width="14.140625" style="525" customWidth="1"/>
    <col min="5637" max="5638" width="17.42578125" style="525" customWidth="1"/>
    <col min="5639" max="5888" width="9.140625" style="525"/>
    <col min="5889" max="5889" width="31.28515625" style="525" customWidth="1"/>
    <col min="5890" max="5890" width="12.28515625" style="525" customWidth="1"/>
    <col min="5891" max="5891" width="12.42578125" style="525" customWidth="1"/>
    <col min="5892" max="5892" width="14.140625" style="525" customWidth="1"/>
    <col min="5893" max="5894" width="17.42578125" style="525" customWidth="1"/>
    <col min="5895" max="6144" width="9.140625" style="525"/>
    <col min="6145" max="6145" width="31.28515625" style="525" customWidth="1"/>
    <col min="6146" max="6146" width="12.28515625" style="525" customWidth="1"/>
    <col min="6147" max="6147" width="12.42578125" style="525" customWidth="1"/>
    <col min="6148" max="6148" width="14.140625" style="525" customWidth="1"/>
    <col min="6149" max="6150" width="17.42578125" style="525" customWidth="1"/>
    <col min="6151" max="6400" width="9.140625" style="525"/>
    <col min="6401" max="6401" width="31.28515625" style="525" customWidth="1"/>
    <col min="6402" max="6402" width="12.28515625" style="525" customWidth="1"/>
    <col min="6403" max="6403" width="12.42578125" style="525" customWidth="1"/>
    <col min="6404" max="6404" width="14.140625" style="525" customWidth="1"/>
    <col min="6405" max="6406" width="17.42578125" style="525" customWidth="1"/>
    <col min="6407" max="6656" width="9.140625" style="525"/>
    <col min="6657" max="6657" width="31.28515625" style="525" customWidth="1"/>
    <col min="6658" max="6658" width="12.28515625" style="525" customWidth="1"/>
    <col min="6659" max="6659" width="12.42578125" style="525" customWidth="1"/>
    <col min="6660" max="6660" width="14.140625" style="525" customWidth="1"/>
    <col min="6661" max="6662" width="17.42578125" style="525" customWidth="1"/>
    <col min="6663" max="6912" width="9.140625" style="525"/>
    <col min="6913" max="6913" width="31.28515625" style="525" customWidth="1"/>
    <col min="6914" max="6914" width="12.28515625" style="525" customWidth="1"/>
    <col min="6915" max="6915" width="12.42578125" style="525" customWidth="1"/>
    <col min="6916" max="6916" width="14.140625" style="525" customWidth="1"/>
    <col min="6917" max="6918" width="17.42578125" style="525" customWidth="1"/>
    <col min="6919" max="7168" width="9.140625" style="525"/>
    <col min="7169" max="7169" width="31.28515625" style="525" customWidth="1"/>
    <col min="7170" max="7170" width="12.28515625" style="525" customWidth="1"/>
    <col min="7171" max="7171" width="12.42578125" style="525" customWidth="1"/>
    <col min="7172" max="7172" width="14.140625" style="525" customWidth="1"/>
    <col min="7173" max="7174" width="17.42578125" style="525" customWidth="1"/>
    <col min="7175" max="7424" width="9.140625" style="525"/>
    <col min="7425" max="7425" width="31.28515625" style="525" customWidth="1"/>
    <col min="7426" max="7426" width="12.28515625" style="525" customWidth="1"/>
    <col min="7427" max="7427" width="12.42578125" style="525" customWidth="1"/>
    <col min="7428" max="7428" width="14.140625" style="525" customWidth="1"/>
    <col min="7429" max="7430" width="17.42578125" style="525" customWidth="1"/>
    <col min="7431" max="7680" width="9.140625" style="525"/>
    <col min="7681" max="7681" width="31.28515625" style="525" customWidth="1"/>
    <col min="7682" max="7682" width="12.28515625" style="525" customWidth="1"/>
    <col min="7683" max="7683" width="12.42578125" style="525" customWidth="1"/>
    <col min="7684" max="7684" width="14.140625" style="525" customWidth="1"/>
    <col min="7685" max="7686" width="17.42578125" style="525" customWidth="1"/>
    <col min="7687" max="7936" width="9.140625" style="525"/>
    <col min="7937" max="7937" width="31.28515625" style="525" customWidth="1"/>
    <col min="7938" max="7938" width="12.28515625" style="525" customWidth="1"/>
    <col min="7939" max="7939" width="12.42578125" style="525" customWidth="1"/>
    <col min="7940" max="7940" width="14.140625" style="525" customWidth="1"/>
    <col min="7941" max="7942" width="17.42578125" style="525" customWidth="1"/>
    <col min="7943" max="8192" width="9.140625" style="525"/>
    <col min="8193" max="8193" width="31.28515625" style="525" customWidth="1"/>
    <col min="8194" max="8194" width="12.28515625" style="525" customWidth="1"/>
    <col min="8195" max="8195" width="12.42578125" style="525" customWidth="1"/>
    <col min="8196" max="8196" width="14.140625" style="525" customWidth="1"/>
    <col min="8197" max="8198" width="17.42578125" style="525" customWidth="1"/>
    <col min="8199" max="8448" width="9.140625" style="525"/>
    <col min="8449" max="8449" width="31.28515625" style="525" customWidth="1"/>
    <col min="8450" max="8450" width="12.28515625" style="525" customWidth="1"/>
    <col min="8451" max="8451" width="12.42578125" style="525" customWidth="1"/>
    <col min="8452" max="8452" width="14.140625" style="525" customWidth="1"/>
    <col min="8453" max="8454" width="17.42578125" style="525" customWidth="1"/>
    <col min="8455" max="8704" width="9.140625" style="525"/>
    <col min="8705" max="8705" width="31.28515625" style="525" customWidth="1"/>
    <col min="8706" max="8706" width="12.28515625" style="525" customWidth="1"/>
    <col min="8707" max="8707" width="12.42578125" style="525" customWidth="1"/>
    <col min="8708" max="8708" width="14.140625" style="525" customWidth="1"/>
    <col min="8709" max="8710" width="17.42578125" style="525" customWidth="1"/>
    <col min="8711" max="8960" width="9.140625" style="525"/>
    <col min="8961" max="8961" width="31.28515625" style="525" customWidth="1"/>
    <col min="8962" max="8962" width="12.28515625" style="525" customWidth="1"/>
    <col min="8963" max="8963" width="12.42578125" style="525" customWidth="1"/>
    <col min="8964" max="8964" width="14.140625" style="525" customWidth="1"/>
    <col min="8965" max="8966" width="17.42578125" style="525" customWidth="1"/>
    <col min="8967" max="9216" width="9.140625" style="525"/>
    <col min="9217" max="9217" width="31.28515625" style="525" customWidth="1"/>
    <col min="9218" max="9218" width="12.28515625" style="525" customWidth="1"/>
    <col min="9219" max="9219" width="12.42578125" style="525" customWidth="1"/>
    <col min="9220" max="9220" width="14.140625" style="525" customWidth="1"/>
    <col min="9221" max="9222" width="17.42578125" style="525" customWidth="1"/>
    <col min="9223" max="9472" width="9.140625" style="525"/>
    <col min="9473" max="9473" width="31.28515625" style="525" customWidth="1"/>
    <col min="9474" max="9474" width="12.28515625" style="525" customWidth="1"/>
    <col min="9475" max="9475" width="12.42578125" style="525" customWidth="1"/>
    <col min="9476" max="9476" width="14.140625" style="525" customWidth="1"/>
    <col min="9477" max="9478" width="17.42578125" style="525" customWidth="1"/>
    <col min="9479" max="9728" width="9.140625" style="525"/>
    <col min="9729" max="9729" width="31.28515625" style="525" customWidth="1"/>
    <col min="9730" max="9730" width="12.28515625" style="525" customWidth="1"/>
    <col min="9731" max="9731" width="12.42578125" style="525" customWidth="1"/>
    <col min="9732" max="9732" width="14.140625" style="525" customWidth="1"/>
    <col min="9733" max="9734" width="17.42578125" style="525" customWidth="1"/>
    <col min="9735" max="9984" width="9.140625" style="525"/>
    <col min="9985" max="9985" width="31.28515625" style="525" customWidth="1"/>
    <col min="9986" max="9986" width="12.28515625" style="525" customWidth="1"/>
    <col min="9987" max="9987" width="12.42578125" style="525" customWidth="1"/>
    <col min="9988" max="9988" width="14.140625" style="525" customWidth="1"/>
    <col min="9989" max="9990" width="17.42578125" style="525" customWidth="1"/>
    <col min="9991" max="10240" width="9.140625" style="525"/>
    <col min="10241" max="10241" width="31.28515625" style="525" customWidth="1"/>
    <col min="10242" max="10242" width="12.28515625" style="525" customWidth="1"/>
    <col min="10243" max="10243" width="12.42578125" style="525" customWidth="1"/>
    <col min="10244" max="10244" width="14.140625" style="525" customWidth="1"/>
    <col min="10245" max="10246" width="17.42578125" style="525" customWidth="1"/>
    <col min="10247" max="10496" width="9.140625" style="525"/>
    <col min="10497" max="10497" width="31.28515625" style="525" customWidth="1"/>
    <col min="10498" max="10498" width="12.28515625" style="525" customWidth="1"/>
    <col min="10499" max="10499" width="12.42578125" style="525" customWidth="1"/>
    <col min="10500" max="10500" width="14.140625" style="525" customWidth="1"/>
    <col min="10501" max="10502" width="17.42578125" style="525" customWidth="1"/>
    <col min="10503" max="10752" width="9.140625" style="525"/>
    <col min="10753" max="10753" width="31.28515625" style="525" customWidth="1"/>
    <col min="10754" max="10754" width="12.28515625" style="525" customWidth="1"/>
    <col min="10755" max="10755" width="12.42578125" style="525" customWidth="1"/>
    <col min="10756" max="10756" width="14.140625" style="525" customWidth="1"/>
    <col min="10757" max="10758" width="17.42578125" style="525" customWidth="1"/>
    <col min="10759" max="11008" width="9.140625" style="525"/>
    <col min="11009" max="11009" width="31.28515625" style="525" customWidth="1"/>
    <col min="11010" max="11010" width="12.28515625" style="525" customWidth="1"/>
    <col min="11011" max="11011" width="12.42578125" style="525" customWidth="1"/>
    <col min="11012" max="11012" width="14.140625" style="525" customWidth="1"/>
    <col min="11013" max="11014" width="17.42578125" style="525" customWidth="1"/>
    <col min="11015" max="11264" width="9.140625" style="525"/>
    <col min="11265" max="11265" width="31.28515625" style="525" customWidth="1"/>
    <col min="11266" max="11266" width="12.28515625" style="525" customWidth="1"/>
    <col min="11267" max="11267" width="12.42578125" style="525" customWidth="1"/>
    <col min="11268" max="11268" width="14.140625" style="525" customWidth="1"/>
    <col min="11269" max="11270" width="17.42578125" style="525" customWidth="1"/>
    <col min="11271" max="11520" width="9.140625" style="525"/>
    <col min="11521" max="11521" width="31.28515625" style="525" customWidth="1"/>
    <col min="11522" max="11522" width="12.28515625" style="525" customWidth="1"/>
    <col min="11523" max="11523" width="12.42578125" style="525" customWidth="1"/>
    <col min="11524" max="11524" width="14.140625" style="525" customWidth="1"/>
    <col min="11525" max="11526" width="17.42578125" style="525" customWidth="1"/>
    <col min="11527" max="11776" width="9.140625" style="525"/>
    <col min="11777" max="11777" width="31.28515625" style="525" customWidth="1"/>
    <col min="11778" max="11778" width="12.28515625" style="525" customWidth="1"/>
    <col min="11779" max="11779" width="12.42578125" style="525" customWidth="1"/>
    <col min="11780" max="11780" width="14.140625" style="525" customWidth="1"/>
    <col min="11781" max="11782" width="17.42578125" style="525" customWidth="1"/>
    <col min="11783" max="12032" width="9.140625" style="525"/>
    <col min="12033" max="12033" width="31.28515625" style="525" customWidth="1"/>
    <col min="12034" max="12034" width="12.28515625" style="525" customWidth="1"/>
    <col min="12035" max="12035" width="12.42578125" style="525" customWidth="1"/>
    <col min="12036" max="12036" width="14.140625" style="525" customWidth="1"/>
    <col min="12037" max="12038" width="17.42578125" style="525" customWidth="1"/>
    <col min="12039" max="12288" width="9.140625" style="525"/>
    <col min="12289" max="12289" width="31.28515625" style="525" customWidth="1"/>
    <col min="12290" max="12290" width="12.28515625" style="525" customWidth="1"/>
    <col min="12291" max="12291" width="12.42578125" style="525" customWidth="1"/>
    <col min="12292" max="12292" width="14.140625" style="525" customWidth="1"/>
    <col min="12293" max="12294" width="17.42578125" style="525" customWidth="1"/>
    <col min="12295" max="12544" width="9.140625" style="525"/>
    <col min="12545" max="12545" width="31.28515625" style="525" customWidth="1"/>
    <col min="12546" max="12546" width="12.28515625" style="525" customWidth="1"/>
    <col min="12547" max="12547" width="12.42578125" style="525" customWidth="1"/>
    <col min="12548" max="12548" width="14.140625" style="525" customWidth="1"/>
    <col min="12549" max="12550" width="17.42578125" style="525" customWidth="1"/>
    <col min="12551" max="12800" width="9.140625" style="525"/>
    <col min="12801" max="12801" width="31.28515625" style="525" customWidth="1"/>
    <col min="12802" max="12802" width="12.28515625" style="525" customWidth="1"/>
    <col min="12803" max="12803" width="12.42578125" style="525" customWidth="1"/>
    <col min="12804" max="12804" width="14.140625" style="525" customWidth="1"/>
    <col min="12805" max="12806" width="17.42578125" style="525" customWidth="1"/>
    <col min="12807" max="13056" width="9.140625" style="525"/>
    <col min="13057" max="13057" width="31.28515625" style="525" customWidth="1"/>
    <col min="13058" max="13058" width="12.28515625" style="525" customWidth="1"/>
    <col min="13059" max="13059" width="12.42578125" style="525" customWidth="1"/>
    <col min="13060" max="13060" width="14.140625" style="525" customWidth="1"/>
    <col min="13061" max="13062" width="17.42578125" style="525" customWidth="1"/>
    <col min="13063" max="13312" width="9.140625" style="525"/>
    <col min="13313" max="13313" width="31.28515625" style="525" customWidth="1"/>
    <col min="13314" max="13314" width="12.28515625" style="525" customWidth="1"/>
    <col min="13315" max="13315" width="12.42578125" style="525" customWidth="1"/>
    <col min="13316" max="13316" width="14.140625" style="525" customWidth="1"/>
    <col min="13317" max="13318" width="17.42578125" style="525" customWidth="1"/>
    <col min="13319" max="13568" width="9.140625" style="525"/>
    <col min="13569" max="13569" width="31.28515625" style="525" customWidth="1"/>
    <col min="13570" max="13570" width="12.28515625" style="525" customWidth="1"/>
    <col min="13571" max="13571" width="12.42578125" style="525" customWidth="1"/>
    <col min="13572" max="13572" width="14.140625" style="525" customWidth="1"/>
    <col min="13573" max="13574" width="17.42578125" style="525" customWidth="1"/>
    <col min="13575" max="13824" width="9.140625" style="525"/>
    <col min="13825" max="13825" width="31.28515625" style="525" customWidth="1"/>
    <col min="13826" max="13826" width="12.28515625" style="525" customWidth="1"/>
    <col min="13827" max="13827" width="12.42578125" style="525" customWidth="1"/>
    <col min="13828" max="13828" width="14.140625" style="525" customWidth="1"/>
    <col min="13829" max="13830" width="17.42578125" style="525" customWidth="1"/>
    <col min="13831" max="14080" width="9.140625" style="525"/>
    <col min="14081" max="14081" width="31.28515625" style="525" customWidth="1"/>
    <col min="14082" max="14082" width="12.28515625" style="525" customWidth="1"/>
    <col min="14083" max="14083" width="12.42578125" style="525" customWidth="1"/>
    <col min="14084" max="14084" width="14.140625" style="525" customWidth="1"/>
    <col min="14085" max="14086" width="17.42578125" style="525" customWidth="1"/>
    <col min="14087" max="14336" width="9.140625" style="525"/>
    <col min="14337" max="14337" width="31.28515625" style="525" customWidth="1"/>
    <col min="14338" max="14338" width="12.28515625" style="525" customWidth="1"/>
    <col min="14339" max="14339" width="12.42578125" style="525" customWidth="1"/>
    <col min="14340" max="14340" width="14.140625" style="525" customWidth="1"/>
    <col min="14341" max="14342" width="17.42578125" style="525" customWidth="1"/>
    <col min="14343" max="14592" width="9.140625" style="525"/>
    <col min="14593" max="14593" width="31.28515625" style="525" customWidth="1"/>
    <col min="14594" max="14594" width="12.28515625" style="525" customWidth="1"/>
    <col min="14595" max="14595" width="12.42578125" style="525" customWidth="1"/>
    <col min="14596" max="14596" width="14.140625" style="525" customWidth="1"/>
    <col min="14597" max="14598" width="17.42578125" style="525" customWidth="1"/>
    <col min="14599" max="14848" width="9.140625" style="525"/>
    <col min="14849" max="14849" width="31.28515625" style="525" customWidth="1"/>
    <col min="14850" max="14850" width="12.28515625" style="525" customWidth="1"/>
    <col min="14851" max="14851" width="12.42578125" style="525" customWidth="1"/>
    <col min="14852" max="14852" width="14.140625" style="525" customWidth="1"/>
    <col min="14853" max="14854" width="17.42578125" style="525" customWidth="1"/>
    <col min="14855" max="15104" width="9.140625" style="525"/>
    <col min="15105" max="15105" width="31.28515625" style="525" customWidth="1"/>
    <col min="15106" max="15106" width="12.28515625" style="525" customWidth="1"/>
    <col min="15107" max="15107" width="12.42578125" style="525" customWidth="1"/>
    <col min="15108" max="15108" width="14.140625" style="525" customWidth="1"/>
    <col min="15109" max="15110" width="17.42578125" style="525" customWidth="1"/>
    <col min="15111" max="15360" width="9.140625" style="525"/>
    <col min="15361" max="15361" width="31.28515625" style="525" customWidth="1"/>
    <col min="15362" max="15362" width="12.28515625" style="525" customWidth="1"/>
    <col min="15363" max="15363" width="12.42578125" style="525" customWidth="1"/>
    <col min="15364" max="15364" width="14.140625" style="525" customWidth="1"/>
    <col min="15365" max="15366" width="17.42578125" style="525" customWidth="1"/>
    <col min="15367" max="15616" width="9.140625" style="525"/>
    <col min="15617" max="15617" width="31.28515625" style="525" customWidth="1"/>
    <col min="15618" max="15618" width="12.28515625" style="525" customWidth="1"/>
    <col min="15619" max="15619" width="12.42578125" style="525" customWidth="1"/>
    <col min="15620" max="15620" width="14.140625" style="525" customWidth="1"/>
    <col min="15621" max="15622" width="17.42578125" style="525" customWidth="1"/>
    <col min="15623" max="15872" width="9.140625" style="525"/>
    <col min="15873" max="15873" width="31.28515625" style="525" customWidth="1"/>
    <col min="15874" max="15874" width="12.28515625" style="525" customWidth="1"/>
    <col min="15875" max="15875" width="12.42578125" style="525" customWidth="1"/>
    <col min="15876" max="15876" width="14.140625" style="525" customWidth="1"/>
    <col min="15877" max="15878" width="17.42578125" style="525" customWidth="1"/>
    <col min="15879" max="16128" width="9.140625" style="525"/>
    <col min="16129" max="16129" width="31.28515625" style="525" customWidth="1"/>
    <col min="16130" max="16130" width="12.28515625" style="525" customWidth="1"/>
    <col min="16131" max="16131" width="12.42578125" style="525" customWidth="1"/>
    <col min="16132" max="16132" width="14.140625" style="525" customWidth="1"/>
    <col min="16133" max="16134" width="17.42578125" style="525" customWidth="1"/>
    <col min="16135" max="16384" width="9.140625" style="525"/>
  </cols>
  <sheetData>
    <row r="1" spans="1:256">
      <c r="C1" s="525" t="s">
        <v>1654</v>
      </c>
      <c r="G1" s="1388" t="s">
        <v>1020</v>
      </c>
    </row>
    <row r="6" spans="1:256">
      <c r="A6" s="2376" t="s">
        <v>1653</v>
      </c>
      <c r="B6" s="2376"/>
      <c r="C6" s="2376"/>
      <c r="D6" s="2376"/>
      <c r="E6" s="2376"/>
    </row>
    <row r="7" spans="1:256">
      <c r="A7" s="2377" t="s">
        <v>1295</v>
      </c>
      <c r="B7" s="2377"/>
      <c r="C7" s="2377"/>
      <c r="D7" s="2377"/>
      <c r="E7" s="2377"/>
    </row>
    <row r="8" spans="1:256" ht="17.25" thickBot="1">
      <c r="A8" s="807"/>
      <c r="B8" s="802"/>
      <c r="C8" s="801"/>
      <c r="D8" s="800"/>
      <c r="E8" s="2293" t="s">
        <v>1263</v>
      </c>
    </row>
    <row r="9" spans="1:256" ht="17.25" thickTop="1">
      <c r="A9" s="838" t="s">
        <v>1294</v>
      </c>
      <c r="B9" s="837" t="s">
        <v>2</v>
      </c>
      <c r="C9" s="836" t="s">
        <v>1293</v>
      </c>
      <c r="D9" s="2378" t="s">
        <v>1292</v>
      </c>
      <c r="E9" s="2379"/>
      <c r="F9" s="805"/>
      <c r="G9" s="805"/>
      <c r="H9" s="805"/>
      <c r="I9" s="805"/>
      <c r="J9" s="805"/>
      <c r="K9" s="805"/>
      <c r="L9" s="805"/>
      <c r="M9" s="805"/>
      <c r="N9" s="805"/>
      <c r="O9" s="805"/>
      <c r="P9" s="805"/>
      <c r="Q9" s="805"/>
      <c r="R9" s="805"/>
      <c r="S9" s="805"/>
      <c r="T9" s="805"/>
      <c r="U9" s="805"/>
      <c r="V9" s="805"/>
      <c r="W9" s="805"/>
      <c r="X9" s="805"/>
      <c r="Y9" s="805"/>
      <c r="Z9" s="805"/>
      <c r="AA9" s="805"/>
      <c r="AB9" s="805"/>
      <c r="AC9" s="805"/>
      <c r="AD9" s="805"/>
      <c r="AE9" s="805"/>
      <c r="AF9" s="805"/>
      <c r="AG9" s="805"/>
      <c r="AH9" s="805"/>
      <c r="AI9" s="805"/>
      <c r="AJ9" s="805"/>
      <c r="AK9" s="805"/>
      <c r="AL9" s="805"/>
      <c r="AM9" s="805"/>
      <c r="AN9" s="805"/>
      <c r="AO9" s="805"/>
      <c r="AP9" s="805"/>
      <c r="AQ9" s="805"/>
      <c r="AR9" s="805"/>
      <c r="AS9" s="805"/>
      <c r="AT9" s="805"/>
      <c r="AU9" s="805"/>
      <c r="AV9" s="805"/>
      <c r="AW9" s="805"/>
      <c r="AX9" s="805"/>
      <c r="AY9" s="805"/>
      <c r="AZ9" s="805"/>
      <c r="BA9" s="805"/>
      <c r="BB9" s="805"/>
      <c r="BC9" s="805"/>
      <c r="BD9" s="805"/>
      <c r="BE9" s="805"/>
      <c r="BF9" s="805"/>
      <c r="BG9" s="805"/>
      <c r="BH9" s="805"/>
      <c r="BI9" s="805"/>
      <c r="BJ9" s="805"/>
      <c r="BK9" s="805"/>
      <c r="BL9" s="805"/>
      <c r="BM9" s="805"/>
      <c r="BN9" s="805"/>
      <c r="BO9" s="805"/>
      <c r="BP9" s="805"/>
      <c r="BQ9" s="805"/>
      <c r="BR9" s="805"/>
      <c r="BS9" s="805"/>
      <c r="BT9" s="805"/>
      <c r="BU9" s="805"/>
      <c r="BV9" s="805"/>
      <c r="BW9" s="805"/>
      <c r="BX9" s="805"/>
      <c r="BY9" s="805"/>
      <c r="BZ9" s="805"/>
      <c r="CA9" s="805"/>
      <c r="CB9" s="805"/>
      <c r="CC9" s="805"/>
      <c r="CD9" s="805"/>
      <c r="CE9" s="805"/>
      <c r="CF9" s="805"/>
      <c r="CG9" s="805"/>
      <c r="CH9" s="805"/>
      <c r="CI9" s="805"/>
      <c r="CJ9" s="805"/>
      <c r="CK9" s="805"/>
      <c r="CL9" s="805"/>
      <c r="CM9" s="805"/>
      <c r="CN9" s="805"/>
      <c r="CO9" s="805"/>
      <c r="CP9" s="805"/>
      <c r="CQ9" s="805"/>
      <c r="CR9" s="805"/>
      <c r="CS9" s="805"/>
      <c r="CT9" s="805"/>
      <c r="CU9" s="805"/>
      <c r="CV9" s="805"/>
      <c r="CW9" s="805"/>
      <c r="CX9" s="805"/>
      <c r="CY9" s="805"/>
      <c r="CZ9" s="805"/>
      <c r="DA9" s="805"/>
      <c r="DB9" s="805"/>
      <c r="DC9" s="805"/>
      <c r="DD9" s="805"/>
      <c r="DE9" s="805"/>
      <c r="DF9" s="805"/>
      <c r="DG9" s="805"/>
      <c r="DH9" s="805"/>
      <c r="DI9" s="805"/>
      <c r="DJ9" s="805"/>
      <c r="DK9" s="805"/>
      <c r="DL9" s="805"/>
      <c r="DM9" s="805"/>
      <c r="DN9" s="805"/>
      <c r="DO9" s="805"/>
      <c r="DP9" s="805"/>
      <c r="DQ9" s="805"/>
      <c r="DR9" s="805"/>
      <c r="DS9" s="805"/>
      <c r="DT9" s="805"/>
      <c r="DU9" s="805"/>
      <c r="DV9" s="805"/>
      <c r="DW9" s="805"/>
      <c r="DX9" s="805"/>
      <c r="DY9" s="805"/>
      <c r="DZ9" s="805"/>
      <c r="EA9" s="805"/>
      <c r="EB9" s="805"/>
      <c r="EC9" s="805"/>
      <c r="ED9" s="805"/>
      <c r="EE9" s="805"/>
      <c r="EF9" s="805"/>
      <c r="EG9" s="805"/>
      <c r="EH9" s="805"/>
      <c r="EI9" s="805"/>
      <c r="EJ9" s="805"/>
      <c r="EK9" s="805"/>
      <c r="EL9" s="805"/>
      <c r="EM9" s="805"/>
      <c r="EN9" s="805"/>
      <c r="EO9" s="805"/>
      <c r="EP9" s="805"/>
      <c r="EQ9" s="805"/>
      <c r="ER9" s="805"/>
      <c r="ES9" s="805"/>
      <c r="ET9" s="805"/>
      <c r="EU9" s="805"/>
      <c r="EV9" s="805"/>
      <c r="EW9" s="805"/>
      <c r="EX9" s="805"/>
      <c r="EY9" s="805"/>
      <c r="EZ9" s="805"/>
      <c r="FA9" s="805"/>
      <c r="FB9" s="805"/>
      <c r="FC9" s="805"/>
      <c r="FD9" s="805"/>
      <c r="FE9" s="805"/>
      <c r="FF9" s="805"/>
      <c r="FG9" s="805"/>
      <c r="FH9" s="805"/>
      <c r="FI9" s="805"/>
      <c r="FJ9" s="805"/>
      <c r="FK9" s="805"/>
      <c r="FL9" s="805"/>
      <c r="FM9" s="805"/>
      <c r="FN9" s="805"/>
      <c r="FO9" s="805"/>
      <c r="FP9" s="805"/>
      <c r="FQ9" s="805"/>
      <c r="FR9" s="805"/>
      <c r="FS9" s="805"/>
      <c r="FT9" s="805"/>
      <c r="FU9" s="805"/>
      <c r="FV9" s="805"/>
      <c r="FW9" s="805"/>
      <c r="FX9" s="805"/>
      <c r="FY9" s="805"/>
      <c r="FZ9" s="805"/>
      <c r="GA9" s="805"/>
      <c r="GB9" s="805"/>
      <c r="GC9" s="805"/>
      <c r="GD9" s="805"/>
      <c r="GE9" s="805"/>
      <c r="GF9" s="805"/>
      <c r="GG9" s="805"/>
      <c r="GH9" s="805"/>
      <c r="GI9" s="805"/>
      <c r="GJ9" s="805"/>
      <c r="GK9" s="805"/>
      <c r="GL9" s="805"/>
      <c r="GM9" s="805"/>
      <c r="GN9" s="805"/>
      <c r="GO9" s="805"/>
      <c r="GP9" s="805"/>
      <c r="GQ9" s="805"/>
      <c r="GR9" s="805"/>
      <c r="GS9" s="805"/>
      <c r="GT9" s="805"/>
      <c r="GU9" s="805"/>
      <c r="GV9" s="805"/>
      <c r="GW9" s="805"/>
      <c r="GX9" s="805"/>
      <c r="GY9" s="805"/>
      <c r="GZ9" s="805"/>
      <c r="HA9" s="805"/>
      <c r="HB9" s="805"/>
      <c r="HC9" s="805"/>
      <c r="HD9" s="805"/>
      <c r="HE9" s="805"/>
      <c r="HF9" s="805"/>
      <c r="HG9" s="805"/>
      <c r="HH9" s="805"/>
      <c r="HI9" s="805"/>
      <c r="HJ9" s="805"/>
      <c r="HK9" s="805"/>
      <c r="HL9" s="805"/>
      <c r="HM9" s="805"/>
      <c r="HN9" s="805"/>
      <c r="HO9" s="805"/>
      <c r="HP9" s="805"/>
      <c r="HQ9" s="805"/>
      <c r="HR9" s="805"/>
      <c r="HS9" s="805"/>
      <c r="HT9" s="805"/>
      <c r="HU9" s="805"/>
      <c r="HV9" s="805"/>
      <c r="HW9" s="805"/>
      <c r="HX9" s="805"/>
      <c r="HY9" s="805"/>
      <c r="HZ9" s="805"/>
      <c r="IA9" s="805"/>
      <c r="IB9" s="805"/>
      <c r="IC9" s="805"/>
      <c r="ID9" s="805"/>
      <c r="IE9" s="805"/>
      <c r="IF9" s="805"/>
      <c r="IG9" s="805"/>
      <c r="IH9" s="805"/>
      <c r="II9" s="805"/>
      <c r="IJ9" s="805"/>
      <c r="IK9" s="805"/>
      <c r="IL9" s="805"/>
      <c r="IM9" s="805"/>
      <c r="IN9" s="805"/>
      <c r="IO9" s="805"/>
      <c r="IP9" s="805"/>
      <c r="IQ9" s="805"/>
      <c r="IR9" s="805"/>
      <c r="IS9" s="805"/>
      <c r="IT9" s="805"/>
      <c r="IU9" s="805"/>
      <c r="IV9" s="805"/>
    </row>
    <row r="10" spans="1:256" ht="17.25">
      <c r="A10" s="835"/>
      <c r="B10" s="834" t="s">
        <v>1291</v>
      </c>
      <c r="C10" s="833" t="s">
        <v>1290</v>
      </c>
      <c r="D10" s="832" t="s">
        <v>1</v>
      </c>
      <c r="E10" s="831" t="s">
        <v>4</v>
      </c>
      <c r="F10" s="805"/>
      <c r="G10" s="805"/>
      <c r="H10" s="805"/>
      <c r="I10" s="805"/>
      <c r="J10" s="805"/>
      <c r="K10" s="805"/>
      <c r="L10" s="805"/>
      <c r="M10" s="805"/>
      <c r="N10" s="805"/>
      <c r="O10" s="805"/>
      <c r="P10" s="805"/>
      <c r="Q10" s="805"/>
      <c r="R10" s="805"/>
      <c r="S10" s="805"/>
      <c r="T10" s="805"/>
      <c r="U10" s="805"/>
      <c r="V10" s="805"/>
      <c r="W10" s="805"/>
      <c r="X10" s="805"/>
      <c r="Y10" s="805"/>
      <c r="Z10" s="805"/>
      <c r="AA10" s="805"/>
      <c r="AB10" s="805"/>
      <c r="AC10" s="805"/>
      <c r="AD10" s="805"/>
      <c r="AE10" s="805"/>
      <c r="AF10" s="805"/>
      <c r="AG10" s="805"/>
      <c r="AH10" s="805"/>
      <c r="AI10" s="805"/>
      <c r="AJ10" s="805"/>
      <c r="AK10" s="805"/>
      <c r="AL10" s="805"/>
      <c r="AM10" s="805"/>
      <c r="AN10" s="805"/>
      <c r="AO10" s="805"/>
      <c r="AP10" s="805"/>
      <c r="AQ10" s="805"/>
      <c r="AR10" s="805"/>
      <c r="AS10" s="805"/>
      <c r="AT10" s="805"/>
      <c r="AU10" s="805"/>
      <c r="AV10" s="805"/>
      <c r="AW10" s="805"/>
      <c r="AX10" s="805"/>
      <c r="AY10" s="805"/>
      <c r="AZ10" s="805"/>
      <c r="BA10" s="805"/>
      <c r="BB10" s="805"/>
      <c r="BC10" s="805"/>
      <c r="BD10" s="805"/>
      <c r="BE10" s="805"/>
      <c r="BF10" s="805"/>
      <c r="BG10" s="805"/>
      <c r="BH10" s="805"/>
      <c r="BI10" s="805"/>
      <c r="BJ10" s="805"/>
      <c r="BK10" s="805"/>
      <c r="BL10" s="805"/>
      <c r="BM10" s="805"/>
      <c r="BN10" s="805"/>
      <c r="BO10" s="805"/>
      <c r="BP10" s="805"/>
      <c r="BQ10" s="805"/>
      <c r="BR10" s="805"/>
      <c r="BS10" s="805"/>
      <c r="BT10" s="805"/>
      <c r="BU10" s="805"/>
      <c r="BV10" s="805"/>
      <c r="BW10" s="805"/>
      <c r="BX10" s="805"/>
      <c r="BY10" s="805"/>
      <c r="BZ10" s="805"/>
      <c r="CA10" s="805"/>
      <c r="CB10" s="805"/>
      <c r="CC10" s="805"/>
      <c r="CD10" s="805"/>
      <c r="CE10" s="805"/>
      <c r="CF10" s="805"/>
      <c r="CG10" s="805"/>
      <c r="CH10" s="805"/>
      <c r="CI10" s="805"/>
      <c r="CJ10" s="805"/>
      <c r="CK10" s="805"/>
      <c r="CL10" s="805"/>
      <c r="CM10" s="805"/>
      <c r="CN10" s="805"/>
      <c r="CO10" s="805"/>
      <c r="CP10" s="805"/>
      <c r="CQ10" s="805"/>
      <c r="CR10" s="805"/>
      <c r="CS10" s="805"/>
      <c r="CT10" s="805"/>
      <c r="CU10" s="805"/>
      <c r="CV10" s="805"/>
      <c r="CW10" s="805"/>
      <c r="CX10" s="805"/>
      <c r="CY10" s="805"/>
      <c r="CZ10" s="805"/>
      <c r="DA10" s="805"/>
      <c r="DB10" s="805"/>
      <c r="DC10" s="805"/>
      <c r="DD10" s="805"/>
      <c r="DE10" s="805"/>
      <c r="DF10" s="805"/>
      <c r="DG10" s="805"/>
      <c r="DH10" s="805"/>
      <c r="DI10" s="805"/>
      <c r="DJ10" s="805"/>
      <c r="DK10" s="805"/>
      <c r="DL10" s="805"/>
      <c r="DM10" s="805"/>
      <c r="DN10" s="805"/>
      <c r="DO10" s="805"/>
      <c r="DP10" s="805"/>
      <c r="DQ10" s="805"/>
      <c r="DR10" s="805"/>
      <c r="DS10" s="805"/>
      <c r="DT10" s="805"/>
      <c r="DU10" s="805"/>
      <c r="DV10" s="805"/>
      <c r="DW10" s="805"/>
      <c r="DX10" s="805"/>
      <c r="DY10" s="805"/>
      <c r="DZ10" s="805"/>
      <c r="EA10" s="805"/>
      <c r="EB10" s="805"/>
      <c r="EC10" s="805"/>
      <c r="ED10" s="805"/>
      <c r="EE10" s="805"/>
      <c r="EF10" s="805"/>
      <c r="EG10" s="805"/>
      <c r="EH10" s="805"/>
      <c r="EI10" s="805"/>
      <c r="EJ10" s="805"/>
      <c r="EK10" s="805"/>
      <c r="EL10" s="805"/>
      <c r="EM10" s="805"/>
      <c r="EN10" s="805"/>
      <c r="EO10" s="805"/>
      <c r="EP10" s="805"/>
      <c r="EQ10" s="805"/>
      <c r="ER10" s="805"/>
      <c r="ES10" s="805"/>
      <c r="ET10" s="805"/>
      <c r="EU10" s="805"/>
      <c r="EV10" s="805"/>
      <c r="EW10" s="805"/>
      <c r="EX10" s="805"/>
      <c r="EY10" s="805"/>
      <c r="EZ10" s="805"/>
      <c r="FA10" s="805"/>
      <c r="FB10" s="805"/>
      <c r="FC10" s="805"/>
      <c r="FD10" s="805"/>
      <c r="FE10" s="805"/>
      <c r="FF10" s="805"/>
      <c r="FG10" s="805"/>
      <c r="FH10" s="805"/>
      <c r="FI10" s="805"/>
      <c r="FJ10" s="805"/>
      <c r="FK10" s="805"/>
      <c r="FL10" s="805"/>
      <c r="FM10" s="805"/>
      <c r="FN10" s="805"/>
      <c r="FO10" s="805"/>
      <c r="FP10" s="805"/>
      <c r="FQ10" s="805"/>
      <c r="FR10" s="805"/>
      <c r="FS10" s="805"/>
      <c r="FT10" s="805"/>
      <c r="FU10" s="805"/>
      <c r="FV10" s="805"/>
      <c r="FW10" s="805"/>
      <c r="FX10" s="805"/>
      <c r="FY10" s="805"/>
      <c r="FZ10" s="805"/>
      <c r="GA10" s="805"/>
      <c r="GB10" s="805"/>
      <c r="GC10" s="805"/>
      <c r="GD10" s="805"/>
      <c r="GE10" s="805"/>
      <c r="GF10" s="805"/>
      <c r="GG10" s="805"/>
      <c r="GH10" s="805"/>
      <c r="GI10" s="805"/>
      <c r="GJ10" s="805"/>
      <c r="GK10" s="805"/>
      <c r="GL10" s="805"/>
      <c r="GM10" s="805"/>
      <c r="GN10" s="805"/>
      <c r="GO10" s="805"/>
      <c r="GP10" s="805"/>
      <c r="GQ10" s="805"/>
      <c r="GR10" s="805"/>
      <c r="GS10" s="805"/>
      <c r="GT10" s="805"/>
      <c r="GU10" s="805"/>
      <c r="GV10" s="805"/>
      <c r="GW10" s="805"/>
      <c r="GX10" s="805"/>
      <c r="GY10" s="805"/>
      <c r="GZ10" s="805"/>
      <c r="HA10" s="805"/>
      <c r="HB10" s="805"/>
      <c r="HC10" s="805"/>
      <c r="HD10" s="805"/>
      <c r="HE10" s="805"/>
      <c r="HF10" s="805"/>
      <c r="HG10" s="805"/>
      <c r="HH10" s="805"/>
      <c r="HI10" s="805"/>
      <c r="HJ10" s="805"/>
      <c r="HK10" s="805"/>
      <c r="HL10" s="805"/>
      <c r="HM10" s="805"/>
      <c r="HN10" s="805"/>
      <c r="HO10" s="805"/>
      <c r="HP10" s="805"/>
      <c r="HQ10" s="805"/>
      <c r="HR10" s="805"/>
      <c r="HS10" s="805"/>
      <c r="HT10" s="805"/>
      <c r="HU10" s="805"/>
      <c r="HV10" s="805"/>
      <c r="HW10" s="805"/>
      <c r="HX10" s="805"/>
      <c r="HY10" s="805"/>
      <c r="HZ10" s="805"/>
      <c r="IA10" s="805"/>
      <c r="IB10" s="805"/>
      <c r="IC10" s="805"/>
      <c r="ID10" s="805"/>
      <c r="IE10" s="805"/>
      <c r="IF10" s="805"/>
      <c r="IG10" s="805"/>
      <c r="IH10" s="805"/>
      <c r="II10" s="805"/>
      <c r="IJ10" s="805"/>
      <c r="IK10" s="805"/>
      <c r="IL10" s="805"/>
      <c r="IM10" s="805"/>
      <c r="IN10" s="805"/>
      <c r="IO10" s="805"/>
      <c r="IP10" s="805"/>
      <c r="IQ10" s="805"/>
      <c r="IR10" s="805"/>
      <c r="IS10" s="805"/>
      <c r="IT10" s="805"/>
      <c r="IU10" s="805"/>
      <c r="IV10" s="805"/>
    </row>
    <row r="11" spans="1:256" ht="17.25">
      <c r="A11" s="819" t="s">
        <v>1289</v>
      </c>
      <c r="B11" s="830"/>
      <c r="C11" s="829"/>
      <c r="D11" s="828"/>
      <c r="E11" s="827">
        <f>E22+E23</f>
        <v>35825000</v>
      </c>
    </row>
    <row r="12" spans="1:256">
      <c r="A12" s="822" t="s">
        <v>1288</v>
      </c>
      <c r="B12" s="818" t="s">
        <v>1306</v>
      </c>
      <c r="C12" s="549">
        <v>1200</v>
      </c>
      <c r="D12" s="821">
        <v>20000</v>
      </c>
      <c r="E12" s="820">
        <f>D12*C12</f>
        <v>24000000</v>
      </c>
    </row>
    <row r="13" spans="1:256">
      <c r="A13" s="822" t="s">
        <v>1286</v>
      </c>
      <c r="B13" s="818" t="s">
        <v>228</v>
      </c>
      <c r="C13" s="549">
        <v>450000</v>
      </c>
      <c r="D13" s="821">
        <v>5</v>
      </c>
      <c r="E13" s="820">
        <f>D13*C13</f>
        <v>2250000</v>
      </c>
    </row>
    <row r="14" spans="1:256">
      <c r="A14" s="822" t="s">
        <v>1285</v>
      </c>
      <c r="B14" s="818" t="s">
        <v>11</v>
      </c>
      <c r="C14" s="549"/>
      <c r="D14" s="816"/>
      <c r="E14" s="815">
        <f>SUM(E15:E18)</f>
        <v>2575000</v>
      </c>
    </row>
    <row r="15" spans="1:256">
      <c r="A15" s="826" t="s">
        <v>1284</v>
      </c>
      <c r="B15" s="818" t="s">
        <v>11</v>
      </c>
      <c r="C15" s="778">
        <v>10000</v>
      </c>
      <c r="D15" s="825">
        <v>35</v>
      </c>
      <c r="E15" s="824">
        <f t="shared" ref="E15:E21" si="0">D15*C15</f>
        <v>350000</v>
      </c>
    </row>
    <row r="16" spans="1:256">
      <c r="A16" s="826" t="s">
        <v>1283</v>
      </c>
      <c r="B16" s="818" t="s">
        <v>11</v>
      </c>
      <c r="C16" s="778">
        <v>3000</v>
      </c>
      <c r="D16" s="825">
        <v>100</v>
      </c>
      <c r="E16" s="824">
        <f t="shared" si="0"/>
        <v>300000</v>
      </c>
    </row>
    <row r="17" spans="1:5">
      <c r="A17" s="826" t="s">
        <v>1282</v>
      </c>
      <c r="B17" s="818" t="s">
        <v>11</v>
      </c>
      <c r="C17" s="778">
        <v>15000</v>
      </c>
      <c r="D17" s="825">
        <v>75</v>
      </c>
      <c r="E17" s="824">
        <f t="shared" si="0"/>
        <v>1125000</v>
      </c>
    </row>
    <row r="18" spans="1:5">
      <c r="A18" s="826" t="s">
        <v>1281</v>
      </c>
      <c r="B18" s="818" t="s">
        <v>11</v>
      </c>
      <c r="C18" s="778">
        <v>10000</v>
      </c>
      <c r="D18" s="825">
        <v>80</v>
      </c>
      <c r="E18" s="824">
        <f t="shared" si="0"/>
        <v>800000</v>
      </c>
    </row>
    <row r="19" spans="1:5">
      <c r="A19" s="822" t="s">
        <v>1280</v>
      </c>
      <c r="B19" s="818" t="s">
        <v>11</v>
      </c>
      <c r="C19" s="549">
        <v>1000</v>
      </c>
      <c r="D19" s="821">
        <v>200</v>
      </c>
      <c r="E19" s="820">
        <f t="shared" si="0"/>
        <v>200000</v>
      </c>
    </row>
    <row r="20" spans="1:5">
      <c r="A20" s="822" t="s">
        <v>1279</v>
      </c>
      <c r="B20" s="818" t="s">
        <v>513</v>
      </c>
      <c r="C20" s="549">
        <v>200000</v>
      </c>
      <c r="D20" s="821">
        <v>5</v>
      </c>
      <c r="E20" s="820">
        <f t="shared" si="0"/>
        <v>1000000</v>
      </c>
    </row>
    <row r="21" spans="1:5">
      <c r="A21" s="822" t="s">
        <v>1278</v>
      </c>
      <c r="B21" s="818" t="s">
        <v>511</v>
      </c>
      <c r="C21" s="549">
        <v>250000</v>
      </c>
      <c r="D21" s="821">
        <v>20</v>
      </c>
      <c r="E21" s="820">
        <f t="shared" si="0"/>
        <v>5000000</v>
      </c>
    </row>
    <row r="22" spans="1:5" ht="17.25">
      <c r="A22" s="819" t="s">
        <v>1277</v>
      </c>
      <c r="B22" s="823"/>
      <c r="C22" s="794"/>
      <c r="D22" s="816"/>
      <c r="E22" s="815">
        <f>SUM(E12:E14)+SUM(E19:E21)</f>
        <v>35025000</v>
      </c>
    </row>
    <row r="23" spans="1:5">
      <c r="A23" s="822" t="s">
        <v>1276</v>
      </c>
      <c r="B23" s="818" t="s">
        <v>1651</v>
      </c>
      <c r="C23" s="549"/>
      <c r="D23" s="821"/>
      <c r="E23" s="820">
        <f>30000000*8%*4/12</f>
        <v>800000</v>
      </c>
    </row>
    <row r="24" spans="1:5" ht="17.25">
      <c r="A24" s="819" t="s">
        <v>1275</v>
      </c>
      <c r="B24" s="823"/>
      <c r="C24" s="794"/>
      <c r="D24" s="816"/>
      <c r="E24" s="815">
        <f>SUM(E26:E27)</f>
        <v>45900000</v>
      </c>
    </row>
    <row r="25" spans="1:5">
      <c r="A25" s="822" t="s">
        <v>1274</v>
      </c>
      <c r="B25" s="818" t="s">
        <v>1273</v>
      </c>
      <c r="C25" s="549"/>
      <c r="D25" s="821">
        <f>20000*85%</f>
        <v>17000</v>
      </c>
      <c r="E25" s="820"/>
    </row>
    <row r="26" spans="1:5">
      <c r="A26" s="822" t="s">
        <v>1272</v>
      </c>
      <c r="B26" s="818" t="s">
        <v>1651</v>
      </c>
      <c r="C26" s="549">
        <v>1700</v>
      </c>
      <c r="D26" s="821">
        <f>D25</f>
        <v>17000</v>
      </c>
      <c r="E26" s="820">
        <f>C26*D25</f>
        <v>28900000</v>
      </c>
    </row>
    <row r="27" spans="1:5">
      <c r="A27" s="822" t="s">
        <v>1652</v>
      </c>
      <c r="B27" s="818" t="s">
        <v>1651</v>
      </c>
      <c r="C27" s="549">
        <v>1000</v>
      </c>
      <c r="D27" s="821">
        <v>17000</v>
      </c>
      <c r="E27" s="820">
        <f>C27*D26</f>
        <v>17000000</v>
      </c>
    </row>
    <row r="28" spans="1:5">
      <c r="A28" s="819" t="s">
        <v>1271</v>
      </c>
      <c r="B28" s="818" t="s">
        <v>1651</v>
      </c>
      <c r="C28" s="817"/>
      <c r="D28" s="816"/>
      <c r="E28" s="815">
        <f>E24-E11</f>
        <v>10075000</v>
      </c>
    </row>
    <row r="29" spans="1:5" ht="17.25" thickBot="1">
      <c r="A29" s="814" t="s">
        <v>1269</v>
      </c>
      <c r="B29" s="813" t="s">
        <v>90</v>
      </c>
      <c r="C29" s="812"/>
      <c r="D29" s="811"/>
      <c r="E29" s="810">
        <f>E28/E24</f>
        <v>0.21949891067538127</v>
      </c>
    </row>
    <row r="30" spans="1:5" ht="17.25" thickTop="1">
      <c r="A30" s="807"/>
      <c r="B30" s="809"/>
      <c r="C30" s="808"/>
      <c r="D30" s="807"/>
      <c r="E30" s="806"/>
    </row>
    <row r="31" spans="1:5" ht="17.25">
      <c r="A31" s="805" t="s">
        <v>1268</v>
      </c>
      <c r="E31" s="804"/>
    </row>
    <row r="32" spans="1:5">
      <c r="A32" s="800" t="s">
        <v>1297</v>
      </c>
      <c r="B32" s="802"/>
      <c r="C32" s="801"/>
      <c r="D32" s="800"/>
      <c r="E32" s="800"/>
    </row>
    <row r="33" spans="1:5">
      <c r="A33" s="800" t="s">
        <v>1266</v>
      </c>
      <c r="B33" s="802"/>
      <c r="C33" s="801"/>
      <c r="D33" s="800"/>
      <c r="E33" s="800"/>
    </row>
    <row r="34" spans="1:5">
      <c r="A34" s="800" t="s">
        <v>1265</v>
      </c>
      <c r="B34" s="802"/>
      <c r="C34" s="801"/>
      <c r="D34" s="800"/>
      <c r="E34" s="800"/>
    </row>
    <row r="35" spans="1:5">
      <c r="A35" s="800"/>
      <c r="B35" s="802"/>
      <c r="C35" s="801"/>
      <c r="D35" s="800"/>
      <c r="E35" s="800"/>
    </row>
    <row r="36" spans="1:5">
      <c r="A36" s="803"/>
      <c r="B36" s="802"/>
      <c r="C36" s="801"/>
      <c r="D36" s="800"/>
      <c r="E36" s="800"/>
    </row>
    <row r="37" spans="1:5">
      <c r="A37" s="800"/>
      <c r="B37" s="802"/>
      <c r="C37" s="801"/>
      <c r="D37" s="800"/>
      <c r="E37" s="800"/>
    </row>
    <row r="38" spans="1:5">
      <c r="A38" s="800"/>
      <c r="B38" s="802"/>
      <c r="C38" s="801"/>
      <c r="D38" s="800"/>
      <c r="E38" s="800"/>
    </row>
    <row r="39" spans="1:5">
      <c r="A39" s="800"/>
      <c r="B39" s="802"/>
      <c r="C39" s="801"/>
      <c r="D39" s="800"/>
      <c r="E39" s="800"/>
    </row>
  </sheetData>
  <mergeCells count="3">
    <mergeCell ref="A6:E6"/>
    <mergeCell ref="A7:E7"/>
    <mergeCell ref="D9:E9"/>
  </mergeCells>
  <pageMargins left="1" right="0.5" top="0.67" bottom="0.75" header="0.5" footer="0.5"/>
  <pageSetup paperSize="9" orientation="portrait" r:id="rId1"/>
  <headerFooter>
    <oddFooter>&amp;CTrang</oddFooter>
  </headerFooter>
  <drawing r:id="rId2"/>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IV40"/>
  <sheetViews>
    <sheetView workbookViewId="0">
      <selection activeCell="C1" sqref="C1"/>
    </sheetView>
  </sheetViews>
  <sheetFormatPr defaultRowHeight="16.5"/>
  <cols>
    <col min="1" max="1" width="31.28515625" style="525" customWidth="1"/>
    <col min="2" max="2" width="12.28515625" style="525" customWidth="1"/>
    <col min="3" max="3" width="12.42578125" style="525" customWidth="1"/>
    <col min="4" max="4" width="14.140625" style="525" customWidth="1"/>
    <col min="5" max="6" width="17.42578125" style="525" customWidth="1"/>
    <col min="7" max="256" width="9.140625" style="525"/>
    <col min="257" max="257" width="31.28515625" style="525" customWidth="1"/>
    <col min="258" max="258" width="12.28515625" style="525" customWidth="1"/>
    <col min="259" max="259" width="12.42578125" style="525" customWidth="1"/>
    <col min="260" max="260" width="14.140625" style="525" customWidth="1"/>
    <col min="261" max="262" width="17.42578125" style="525" customWidth="1"/>
    <col min="263" max="512" width="9.140625" style="525"/>
    <col min="513" max="513" width="31.28515625" style="525" customWidth="1"/>
    <col min="514" max="514" width="12.28515625" style="525" customWidth="1"/>
    <col min="515" max="515" width="12.42578125" style="525" customWidth="1"/>
    <col min="516" max="516" width="14.140625" style="525" customWidth="1"/>
    <col min="517" max="518" width="17.42578125" style="525" customWidth="1"/>
    <col min="519" max="768" width="9.140625" style="525"/>
    <col min="769" max="769" width="31.28515625" style="525" customWidth="1"/>
    <col min="770" max="770" width="12.28515625" style="525" customWidth="1"/>
    <col min="771" max="771" width="12.42578125" style="525" customWidth="1"/>
    <col min="772" max="772" width="14.140625" style="525" customWidth="1"/>
    <col min="773" max="774" width="17.42578125" style="525" customWidth="1"/>
    <col min="775" max="1024" width="9.140625" style="525"/>
    <col min="1025" max="1025" width="31.28515625" style="525" customWidth="1"/>
    <col min="1026" max="1026" width="12.28515625" style="525" customWidth="1"/>
    <col min="1027" max="1027" width="12.42578125" style="525" customWidth="1"/>
    <col min="1028" max="1028" width="14.140625" style="525" customWidth="1"/>
    <col min="1029" max="1030" width="17.42578125" style="525" customWidth="1"/>
    <col min="1031" max="1280" width="9.140625" style="525"/>
    <col min="1281" max="1281" width="31.28515625" style="525" customWidth="1"/>
    <col min="1282" max="1282" width="12.28515625" style="525" customWidth="1"/>
    <col min="1283" max="1283" width="12.42578125" style="525" customWidth="1"/>
    <col min="1284" max="1284" width="14.140625" style="525" customWidth="1"/>
    <col min="1285" max="1286" width="17.42578125" style="525" customWidth="1"/>
    <col min="1287" max="1536" width="9.140625" style="525"/>
    <col min="1537" max="1537" width="31.28515625" style="525" customWidth="1"/>
    <col min="1538" max="1538" width="12.28515625" style="525" customWidth="1"/>
    <col min="1539" max="1539" width="12.42578125" style="525" customWidth="1"/>
    <col min="1540" max="1540" width="14.140625" style="525" customWidth="1"/>
    <col min="1541" max="1542" width="17.42578125" style="525" customWidth="1"/>
    <col min="1543" max="1792" width="9.140625" style="525"/>
    <col min="1793" max="1793" width="31.28515625" style="525" customWidth="1"/>
    <col min="1794" max="1794" width="12.28515625" style="525" customWidth="1"/>
    <col min="1795" max="1795" width="12.42578125" style="525" customWidth="1"/>
    <col min="1796" max="1796" width="14.140625" style="525" customWidth="1"/>
    <col min="1797" max="1798" width="17.42578125" style="525" customWidth="1"/>
    <col min="1799" max="2048" width="9.140625" style="525"/>
    <col min="2049" max="2049" width="31.28515625" style="525" customWidth="1"/>
    <col min="2050" max="2050" width="12.28515625" style="525" customWidth="1"/>
    <col min="2051" max="2051" width="12.42578125" style="525" customWidth="1"/>
    <col min="2052" max="2052" width="14.140625" style="525" customWidth="1"/>
    <col min="2053" max="2054" width="17.42578125" style="525" customWidth="1"/>
    <col min="2055" max="2304" width="9.140625" style="525"/>
    <col min="2305" max="2305" width="31.28515625" style="525" customWidth="1"/>
    <col min="2306" max="2306" width="12.28515625" style="525" customWidth="1"/>
    <col min="2307" max="2307" width="12.42578125" style="525" customWidth="1"/>
    <col min="2308" max="2308" width="14.140625" style="525" customWidth="1"/>
    <col min="2309" max="2310" width="17.42578125" style="525" customWidth="1"/>
    <col min="2311" max="2560" width="9.140625" style="525"/>
    <col min="2561" max="2561" width="31.28515625" style="525" customWidth="1"/>
    <col min="2562" max="2562" width="12.28515625" style="525" customWidth="1"/>
    <col min="2563" max="2563" width="12.42578125" style="525" customWidth="1"/>
    <col min="2564" max="2564" width="14.140625" style="525" customWidth="1"/>
    <col min="2565" max="2566" width="17.42578125" style="525" customWidth="1"/>
    <col min="2567" max="2816" width="9.140625" style="525"/>
    <col min="2817" max="2817" width="31.28515625" style="525" customWidth="1"/>
    <col min="2818" max="2818" width="12.28515625" style="525" customWidth="1"/>
    <col min="2819" max="2819" width="12.42578125" style="525" customWidth="1"/>
    <col min="2820" max="2820" width="14.140625" style="525" customWidth="1"/>
    <col min="2821" max="2822" width="17.42578125" style="525" customWidth="1"/>
    <col min="2823" max="3072" width="9.140625" style="525"/>
    <col min="3073" max="3073" width="31.28515625" style="525" customWidth="1"/>
    <col min="3074" max="3074" width="12.28515625" style="525" customWidth="1"/>
    <col min="3075" max="3075" width="12.42578125" style="525" customWidth="1"/>
    <col min="3076" max="3076" width="14.140625" style="525" customWidth="1"/>
    <col min="3077" max="3078" width="17.42578125" style="525" customWidth="1"/>
    <col min="3079" max="3328" width="9.140625" style="525"/>
    <col min="3329" max="3329" width="31.28515625" style="525" customWidth="1"/>
    <col min="3330" max="3330" width="12.28515625" style="525" customWidth="1"/>
    <col min="3331" max="3331" width="12.42578125" style="525" customWidth="1"/>
    <col min="3332" max="3332" width="14.140625" style="525" customWidth="1"/>
    <col min="3333" max="3334" width="17.42578125" style="525" customWidth="1"/>
    <col min="3335" max="3584" width="9.140625" style="525"/>
    <col min="3585" max="3585" width="31.28515625" style="525" customWidth="1"/>
    <col min="3586" max="3586" width="12.28515625" style="525" customWidth="1"/>
    <col min="3587" max="3587" width="12.42578125" style="525" customWidth="1"/>
    <col min="3588" max="3588" width="14.140625" style="525" customWidth="1"/>
    <col min="3589" max="3590" width="17.42578125" style="525" customWidth="1"/>
    <col min="3591" max="3840" width="9.140625" style="525"/>
    <col min="3841" max="3841" width="31.28515625" style="525" customWidth="1"/>
    <col min="3842" max="3842" width="12.28515625" style="525" customWidth="1"/>
    <col min="3843" max="3843" width="12.42578125" style="525" customWidth="1"/>
    <col min="3844" max="3844" width="14.140625" style="525" customWidth="1"/>
    <col min="3845" max="3846" width="17.42578125" style="525" customWidth="1"/>
    <col min="3847" max="4096" width="9.140625" style="525"/>
    <col min="4097" max="4097" width="31.28515625" style="525" customWidth="1"/>
    <col min="4098" max="4098" width="12.28515625" style="525" customWidth="1"/>
    <col min="4099" max="4099" width="12.42578125" style="525" customWidth="1"/>
    <col min="4100" max="4100" width="14.140625" style="525" customWidth="1"/>
    <col min="4101" max="4102" width="17.42578125" style="525" customWidth="1"/>
    <col min="4103" max="4352" width="9.140625" style="525"/>
    <col min="4353" max="4353" width="31.28515625" style="525" customWidth="1"/>
    <col min="4354" max="4354" width="12.28515625" style="525" customWidth="1"/>
    <col min="4355" max="4355" width="12.42578125" style="525" customWidth="1"/>
    <col min="4356" max="4356" width="14.140625" style="525" customWidth="1"/>
    <col min="4357" max="4358" width="17.42578125" style="525" customWidth="1"/>
    <col min="4359" max="4608" width="9.140625" style="525"/>
    <col min="4609" max="4609" width="31.28515625" style="525" customWidth="1"/>
    <col min="4610" max="4610" width="12.28515625" style="525" customWidth="1"/>
    <col min="4611" max="4611" width="12.42578125" style="525" customWidth="1"/>
    <col min="4612" max="4612" width="14.140625" style="525" customWidth="1"/>
    <col min="4613" max="4614" width="17.42578125" style="525" customWidth="1"/>
    <col min="4615" max="4864" width="9.140625" style="525"/>
    <col min="4865" max="4865" width="31.28515625" style="525" customWidth="1"/>
    <col min="4866" max="4866" width="12.28515625" style="525" customWidth="1"/>
    <col min="4867" max="4867" width="12.42578125" style="525" customWidth="1"/>
    <col min="4868" max="4868" width="14.140625" style="525" customWidth="1"/>
    <col min="4869" max="4870" width="17.42578125" style="525" customWidth="1"/>
    <col min="4871" max="5120" width="9.140625" style="525"/>
    <col min="5121" max="5121" width="31.28515625" style="525" customWidth="1"/>
    <col min="5122" max="5122" width="12.28515625" style="525" customWidth="1"/>
    <col min="5123" max="5123" width="12.42578125" style="525" customWidth="1"/>
    <col min="5124" max="5124" width="14.140625" style="525" customWidth="1"/>
    <col min="5125" max="5126" width="17.42578125" style="525" customWidth="1"/>
    <col min="5127" max="5376" width="9.140625" style="525"/>
    <col min="5377" max="5377" width="31.28515625" style="525" customWidth="1"/>
    <col min="5378" max="5378" width="12.28515625" style="525" customWidth="1"/>
    <col min="5379" max="5379" width="12.42578125" style="525" customWidth="1"/>
    <col min="5380" max="5380" width="14.140625" style="525" customWidth="1"/>
    <col min="5381" max="5382" width="17.42578125" style="525" customWidth="1"/>
    <col min="5383" max="5632" width="9.140625" style="525"/>
    <col min="5633" max="5633" width="31.28515625" style="525" customWidth="1"/>
    <col min="5634" max="5634" width="12.28515625" style="525" customWidth="1"/>
    <col min="5635" max="5635" width="12.42578125" style="525" customWidth="1"/>
    <col min="5636" max="5636" width="14.140625" style="525" customWidth="1"/>
    <col min="5637" max="5638" width="17.42578125" style="525" customWidth="1"/>
    <col min="5639" max="5888" width="9.140625" style="525"/>
    <col min="5889" max="5889" width="31.28515625" style="525" customWidth="1"/>
    <col min="5890" max="5890" width="12.28515625" style="525" customWidth="1"/>
    <col min="5891" max="5891" width="12.42578125" style="525" customWidth="1"/>
    <col min="5892" max="5892" width="14.140625" style="525" customWidth="1"/>
    <col min="5893" max="5894" width="17.42578125" style="525" customWidth="1"/>
    <col min="5895" max="6144" width="9.140625" style="525"/>
    <col min="6145" max="6145" width="31.28515625" style="525" customWidth="1"/>
    <col min="6146" max="6146" width="12.28515625" style="525" customWidth="1"/>
    <col min="6147" max="6147" width="12.42578125" style="525" customWidth="1"/>
    <col min="6148" max="6148" width="14.140625" style="525" customWidth="1"/>
    <col min="6149" max="6150" width="17.42578125" style="525" customWidth="1"/>
    <col min="6151" max="6400" width="9.140625" style="525"/>
    <col min="6401" max="6401" width="31.28515625" style="525" customWidth="1"/>
    <col min="6402" max="6402" width="12.28515625" style="525" customWidth="1"/>
    <col min="6403" max="6403" width="12.42578125" style="525" customWidth="1"/>
    <col min="6404" max="6404" width="14.140625" style="525" customWidth="1"/>
    <col min="6405" max="6406" width="17.42578125" style="525" customWidth="1"/>
    <col min="6407" max="6656" width="9.140625" style="525"/>
    <col min="6657" max="6657" width="31.28515625" style="525" customWidth="1"/>
    <col min="6658" max="6658" width="12.28515625" style="525" customWidth="1"/>
    <col min="6659" max="6659" width="12.42578125" style="525" customWidth="1"/>
    <col min="6660" max="6660" width="14.140625" style="525" customWidth="1"/>
    <col min="6661" max="6662" width="17.42578125" style="525" customWidth="1"/>
    <col min="6663" max="6912" width="9.140625" style="525"/>
    <col min="6913" max="6913" width="31.28515625" style="525" customWidth="1"/>
    <col min="6914" max="6914" width="12.28515625" style="525" customWidth="1"/>
    <col min="6915" max="6915" width="12.42578125" style="525" customWidth="1"/>
    <col min="6916" max="6916" width="14.140625" style="525" customWidth="1"/>
    <col min="6917" max="6918" width="17.42578125" style="525" customWidth="1"/>
    <col min="6919" max="7168" width="9.140625" style="525"/>
    <col min="7169" max="7169" width="31.28515625" style="525" customWidth="1"/>
    <col min="7170" max="7170" width="12.28515625" style="525" customWidth="1"/>
    <col min="7171" max="7171" width="12.42578125" style="525" customWidth="1"/>
    <col min="7172" max="7172" width="14.140625" style="525" customWidth="1"/>
    <col min="7173" max="7174" width="17.42578125" style="525" customWidth="1"/>
    <col min="7175" max="7424" width="9.140625" style="525"/>
    <col min="7425" max="7425" width="31.28515625" style="525" customWidth="1"/>
    <col min="7426" max="7426" width="12.28515625" style="525" customWidth="1"/>
    <col min="7427" max="7427" width="12.42578125" style="525" customWidth="1"/>
    <col min="7428" max="7428" width="14.140625" style="525" customWidth="1"/>
    <col min="7429" max="7430" width="17.42578125" style="525" customWidth="1"/>
    <col min="7431" max="7680" width="9.140625" style="525"/>
    <col min="7681" max="7681" width="31.28515625" style="525" customWidth="1"/>
    <col min="7682" max="7682" width="12.28515625" style="525" customWidth="1"/>
    <col min="7683" max="7683" width="12.42578125" style="525" customWidth="1"/>
    <col min="7684" max="7684" width="14.140625" style="525" customWidth="1"/>
    <col min="7685" max="7686" width="17.42578125" style="525" customWidth="1"/>
    <col min="7687" max="7936" width="9.140625" style="525"/>
    <col min="7937" max="7937" width="31.28515625" style="525" customWidth="1"/>
    <col min="7938" max="7938" width="12.28515625" style="525" customWidth="1"/>
    <col min="7939" max="7939" width="12.42578125" style="525" customWidth="1"/>
    <col min="7940" max="7940" width="14.140625" style="525" customWidth="1"/>
    <col min="7941" max="7942" width="17.42578125" style="525" customWidth="1"/>
    <col min="7943" max="8192" width="9.140625" style="525"/>
    <col min="8193" max="8193" width="31.28515625" style="525" customWidth="1"/>
    <col min="8194" max="8194" width="12.28515625" style="525" customWidth="1"/>
    <col min="8195" max="8195" width="12.42578125" style="525" customWidth="1"/>
    <col min="8196" max="8196" width="14.140625" style="525" customWidth="1"/>
    <col min="8197" max="8198" width="17.42578125" style="525" customWidth="1"/>
    <col min="8199" max="8448" width="9.140625" style="525"/>
    <col min="8449" max="8449" width="31.28515625" style="525" customWidth="1"/>
    <col min="8450" max="8450" width="12.28515625" style="525" customWidth="1"/>
    <col min="8451" max="8451" width="12.42578125" style="525" customWidth="1"/>
    <col min="8452" max="8452" width="14.140625" style="525" customWidth="1"/>
    <col min="8453" max="8454" width="17.42578125" style="525" customWidth="1"/>
    <col min="8455" max="8704" width="9.140625" style="525"/>
    <col min="8705" max="8705" width="31.28515625" style="525" customWidth="1"/>
    <col min="8706" max="8706" width="12.28515625" style="525" customWidth="1"/>
    <col min="8707" max="8707" width="12.42578125" style="525" customWidth="1"/>
    <col min="8708" max="8708" width="14.140625" style="525" customWidth="1"/>
    <col min="8709" max="8710" width="17.42578125" style="525" customWidth="1"/>
    <col min="8711" max="8960" width="9.140625" style="525"/>
    <col min="8961" max="8961" width="31.28515625" style="525" customWidth="1"/>
    <col min="8962" max="8962" width="12.28515625" style="525" customWidth="1"/>
    <col min="8963" max="8963" width="12.42578125" style="525" customWidth="1"/>
    <col min="8964" max="8964" width="14.140625" style="525" customWidth="1"/>
    <col min="8965" max="8966" width="17.42578125" style="525" customWidth="1"/>
    <col min="8967" max="9216" width="9.140625" style="525"/>
    <col min="9217" max="9217" width="31.28515625" style="525" customWidth="1"/>
    <col min="9218" max="9218" width="12.28515625" style="525" customWidth="1"/>
    <col min="9219" max="9219" width="12.42578125" style="525" customWidth="1"/>
    <col min="9220" max="9220" width="14.140625" style="525" customWidth="1"/>
    <col min="9221" max="9222" width="17.42578125" style="525" customWidth="1"/>
    <col min="9223" max="9472" width="9.140625" style="525"/>
    <col min="9473" max="9473" width="31.28515625" style="525" customWidth="1"/>
    <col min="9474" max="9474" width="12.28515625" style="525" customWidth="1"/>
    <col min="9475" max="9475" width="12.42578125" style="525" customWidth="1"/>
    <col min="9476" max="9476" width="14.140625" style="525" customWidth="1"/>
    <col min="9477" max="9478" width="17.42578125" style="525" customWidth="1"/>
    <col min="9479" max="9728" width="9.140625" style="525"/>
    <col min="9729" max="9729" width="31.28515625" style="525" customWidth="1"/>
    <col min="9730" max="9730" width="12.28515625" style="525" customWidth="1"/>
    <col min="9731" max="9731" width="12.42578125" style="525" customWidth="1"/>
    <col min="9732" max="9732" width="14.140625" style="525" customWidth="1"/>
    <col min="9733" max="9734" width="17.42578125" style="525" customWidth="1"/>
    <col min="9735" max="9984" width="9.140625" style="525"/>
    <col min="9985" max="9985" width="31.28515625" style="525" customWidth="1"/>
    <col min="9986" max="9986" width="12.28515625" style="525" customWidth="1"/>
    <col min="9987" max="9987" width="12.42578125" style="525" customWidth="1"/>
    <col min="9988" max="9988" width="14.140625" style="525" customWidth="1"/>
    <col min="9989" max="9990" width="17.42578125" style="525" customWidth="1"/>
    <col min="9991" max="10240" width="9.140625" style="525"/>
    <col min="10241" max="10241" width="31.28515625" style="525" customWidth="1"/>
    <col min="10242" max="10242" width="12.28515625" style="525" customWidth="1"/>
    <col min="10243" max="10243" width="12.42578125" style="525" customWidth="1"/>
    <col min="10244" max="10244" width="14.140625" style="525" customWidth="1"/>
    <col min="10245" max="10246" width="17.42578125" style="525" customWidth="1"/>
    <col min="10247" max="10496" width="9.140625" style="525"/>
    <col min="10497" max="10497" width="31.28515625" style="525" customWidth="1"/>
    <col min="10498" max="10498" width="12.28515625" style="525" customWidth="1"/>
    <col min="10499" max="10499" width="12.42578125" style="525" customWidth="1"/>
    <col min="10500" max="10500" width="14.140625" style="525" customWidth="1"/>
    <col min="10501" max="10502" width="17.42578125" style="525" customWidth="1"/>
    <col min="10503" max="10752" width="9.140625" style="525"/>
    <col min="10753" max="10753" width="31.28515625" style="525" customWidth="1"/>
    <col min="10754" max="10754" width="12.28515625" style="525" customWidth="1"/>
    <col min="10755" max="10755" width="12.42578125" style="525" customWidth="1"/>
    <col min="10756" max="10756" width="14.140625" style="525" customWidth="1"/>
    <col min="10757" max="10758" width="17.42578125" style="525" customWidth="1"/>
    <col min="10759" max="11008" width="9.140625" style="525"/>
    <col min="11009" max="11009" width="31.28515625" style="525" customWidth="1"/>
    <col min="11010" max="11010" width="12.28515625" style="525" customWidth="1"/>
    <col min="11011" max="11011" width="12.42578125" style="525" customWidth="1"/>
    <col min="11012" max="11012" width="14.140625" style="525" customWidth="1"/>
    <col min="11013" max="11014" width="17.42578125" style="525" customWidth="1"/>
    <col min="11015" max="11264" width="9.140625" style="525"/>
    <col min="11265" max="11265" width="31.28515625" style="525" customWidth="1"/>
    <col min="11266" max="11266" width="12.28515625" style="525" customWidth="1"/>
    <col min="11267" max="11267" width="12.42578125" style="525" customWidth="1"/>
    <col min="11268" max="11268" width="14.140625" style="525" customWidth="1"/>
    <col min="11269" max="11270" width="17.42578125" style="525" customWidth="1"/>
    <col min="11271" max="11520" width="9.140625" style="525"/>
    <col min="11521" max="11521" width="31.28515625" style="525" customWidth="1"/>
    <col min="11522" max="11522" width="12.28515625" style="525" customWidth="1"/>
    <col min="11523" max="11523" width="12.42578125" style="525" customWidth="1"/>
    <col min="11524" max="11524" width="14.140625" style="525" customWidth="1"/>
    <col min="11525" max="11526" width="17.42578125" style="525" customWidth="1"/>
    <col min="11527" max="11776" width="9.140625" style="525"/>
    <col min="11777" max="11777" width="31.28515625" style="525" customWidth="1"/>
    <col min="11778" max="11778" width="12.28515625" style="525" customWidth="1"/>
    <col min="11779" max="11779" width="12.42578125" style="525" customWidth="1"/>
    <col min="11780" max="11780" width="14.140625" style="525" customWidth="1"/>
    <col min="11781" max="11782" width="17.42578125" style="525" customWidth="1"/>
    <col min="11783" max="12032" width="9.140625" style="525"/>
    <col min="12033" max="12033" width="31.28515625" style="525" customWidth="1"/>
    <col min="12034" max="12034" width="12.28515625" style="525" customWidth="1"/>
    <col min="12035" max="12035" width="12.42578125" style="525" customWidth="1"/>
    <col min="12036" max="12036" width="14.140625" style="525" customWidth="1"/>
    <col min="12037" max="12038" width="17.42578125" style="525" customWidth="1"/>
    <col min="12039" max="12288" width="9.140625" style="525"/>
    <col min="12289" max="12289" width="31.28515625" style="525" customWidth="1"/>
    <col min="12290" max="12290" width="12.28515625" style="525" customWidth="1"/>
    <col min="12291" max="12291" width="12.42578125" style="525" customWidth="1"/>
    <col min="12292" max="12292" width="14.140625" style="525" customWidth="1"/>
    <col min="12293" max="12294" width="17.42578125" style="525" customWidth="1"/>
    <col min="12295" max="12544" width="9.140625" style="525"/>
    <col min="12545" max="12545" width="31.28515625" style="525" customWidth="1"/>
    <col min="12546" max="12546" width="12.28515625" style="525" customWidth="1"/>
    <col min="12547" max="12547" width="12.42578125" style="525" customWidth="1"/>
    <col min="12548" max="12548" width="14.140625" style="525" customWidth="1"/>
    <col min="12549" max="12550" width="17.42578125" style="525" customWidth="1"/>
    <col min="12551" max="12800" width="9.140625" style="525"/>
    <col min="12801" max="12801" width="31.28515625" style="525" customWidth="1"/>
    <col min="12802" max="12802" width="12.28515625" style="525" customWidth="1"/>
    <col min="12803" max="12803" width="12.42578125" style="525" customWidth="1"/>
    <col min="12804" max="12804" width="14.140625" style="525" customWidth="1"/>
    <col min="12805" max="12806" width="17.42578125" style="525" customWidth="1"/>
    <col min="12807" max="13056" width="9.140625" style="525"/>
    <col min="13057" max="13057" width="31.28515625" style="525" customWidth="1"/>
    <col min="13058" max="13058" width="12.28515625" style="525" customWidth="1"/>
    <col min="13059" max="13059" width="12.42578125" style="525" customWidth="1"/>
    <col min="13060" max="13060" width="14.140625" style="525" customWidth="1"/>
    <col min="13061" max="13062" width="17.42578125" style="525" customWidth="1"/>
    <col min="13063" max="13312" width="9.140625" style="525"/>
    <col min="13313" max="13313" width="31.28515625" style="525" customWidth="1"/>
    <col min="13314" max="13314" width="12.28515625" style="525" customWidth="1"/>
    <col min="13315" max="13315" width="12.42578125" style="525" customWidth="1"/>
    <col min="13316" max="13316" width="14.140625" style="525" customWidth="1"/>
    <col min="13317" max="13318" width="17.42578125" style="525" customWidth="1"/>
    <col min="13319" max="13568" width="9.140625" style="525"/>
    <col min="13569" max="13569" width="31.28515625" style="525" customWidth="1"/>
    <col min="13570" max="13570" width="12.28515625" style="525" customWidth="1"/>
    <col min="13571" max="13571" width="12.42578125" style="525" customWidth="1"/>
    <col min="13572" max="13572" width="14.140625" style="525" customWidth="1"/>
    <col min="13573" max="13574" width="17.42578125" style="525" customWidth="1"/>
    <col min="13575" max="13824" width="9.140625" style="525"/>
    <col min="13825" max="13825" width="31.28515625" style="525" customWidth="1"/>
    <col min="13826" max="13826" width="12.28515625" style="525" customWidth="1"/>
    <col min="13827" max="13827" width="12.42578125" style="525" customWidth="1"/>
    <col min="13828" max="13828" width="14.140625" style="525" customWidth="1"/>
    <col min="13829" max="13830" width="17.42578125" style="525" customWidth="1"/>
    <col min="13831" max="14080" width="9.140625" style="525"/>
    <col min="14081" max="14081" width="31.28515625" style="525" customWidth="1"/>
    <col min="14082" max="14082" width="12.28515625" style="525" customWidth="1"/>
    <col min="14083" max="14083" width="12.42578125" style="525" customWidth="1"/>
    <col min="14084" max="14084" width="14.140625" style="525" customWidth="1"/>
    <col min="14085" max="14086" width="17.42578125" style="525" customWidth="1"/>
    <col min="14087" max="14336" width="9.140625" style="525"/>
    <col min="14337" max="14337" width="31.28515625" style="525" customWidth="1"/>
    <col min="14338" max="14338" width="12.28515625" style="525" customWidth="1"/>
    <col min="14339" max="14339" width="12.42578125" style="525" customWidth="1"/>
    <col min="14340" max="14340" width="14.140625" style="525" customWidth="1"/>
    <col min="14341" max="14342" width="17.42578125" style="525" customWidth="1"/>
    <col min="14343" max="14592" width="9.140625" style="525"/>
    <col min="14593" max="14593" width="31.28515625" style="525" customWidth="1"/>
    <col min="14594" max="14594" width="12.28515625" style="525" customWidth="1"/>
    <col min="14595" max="14595" width="12.42578125" style="525" customWidth="1"/>
    <col min="14596" max="14596" width="14.140625" style="525" customWidth="1"/>
    <col min="14597" max="14598" width="17.42578125" style="525" customWidth="1"/>
    <col min="14599" max="14848" width="9.140625" style="525"/>
    <col min="14849" max="14849" width="31.28515625" style="525" customWidth="1"/>
    <col min="14850" max="14850" width="12.28515625" style="525" customWidth="1"/>
    <col min="14851" max="14851" width="12.42578125" style="525" customWidth="1"/>
    <col min="14852" max="14852" width="14.140625" style="525" customWidth="1"/>
    <col min="14853" max="14854" width="17.42578125" style="525" customWidth="1"/>
    <col min="14855" max="15104" width="9.140625" style="525"/>
    <col min="15105" max="15105" width="31.28515625" style="525" customWidth="1"/>
    <col min="15106" max="15106" width="12.28515625" style="525" customWidth="1"/>
    <col min="15107" max="15107" width="12.42578125" style="525" customWidth="1"/>
    <col min="15108" max="15108" width="14.140625" style="525" customWidth="1"/>
    <col min="15109" max="15110" width="17.42578125" style="525" customWidth="1"/>
    <col min="15111" max="15360" width="9.140625" style="525"/>
    <col min="15361" max="15361" width="31.28515625" style="525" customWidth="1"/>
    <col min="15362" max="15362" width="12.28515625" style="525" customWidth="1"/>
    <col min="15363" max="15363" width="12.42578125" style="525" customWidth="1"/>
    <col min="15364" max="15364" width="14.140625" style="525" customWidth="1"/>
    <col min="15365" max="15366" width="17.42578125" style="525" customWidth="1"/>
    <col min="15367" max="15616" width="9.140625" style="525"/>
    <col min="15617" max="15617" width="31.28515625" style="525" customWidth="1"/>
    <col min="15618" max="15618" width="12.28515625" style="525" customWidth="1"/>
    <col min="15619" max="15619" width="12.42578125" style="525" customWidth="1"/>
    <col min="15620" max="15620" width="14.140625" style="525" customWidth="1"/>
    <col min="15621" max="15622" width="17.42578125" style="525" customWidth="1"/>
    <col min="15623" max="15872" width="9.140625" style="525"/>
    <col min="15873" max="15873" width="31.28515625" style="525" customWidth="1"/>
    <col min="15874" max="15874" width="12.28515625" style="525" customWidth="1"/>
    <col min="15875" max="15875" width="12.42578125" style="525" customWidth="1"/>
    <col min="15876" max="15876" width="14.140625" style="525" customWidth="1"/>
    <col min="15877" max="15878" width="17.42578125" style="525" customWidth="1"/>
    <col min="15879" max="16128" width="9.140625" style="525"/>
    <col min="16129" max="16129" width="31.28515625" style="525" customWidth="1"/>
    <col min="16130" max="16130" width="12.28515625" style="525" customWidth="1"/>
    <col min="16131" max="16131" width="12.42578125" style="525" customWidth="1"/>
    <col min="16132" max="16132" width="14.140625" style="525" customWidth="1"/>
    <col min="16133" max="16134" width="17.42578125" style="525" customWidth="1"/>
    <col min="16135" max="16384" width="9.140625" style="525"/>
  </cols>
  <sheetData>
    <row r="1" spans="1:256" ht="15" customHeight="1">
      <c r="C1" s="525" t="s">
        <v>2341</v>
      </c>
      <c r="G1" s="1388" t="s">
        <v>1020</v>
      </c>
    </row>
    <row r="2" spans="1:256" ht="15" customHeight="1"/>
    <row r="3" spans="1:256" ht="15" customHeight="1"/>
    <row r="4" spans="1:256" ht="15" customHeight="1"/>
    <row r="5" spans="1:256" ht="15" customHeight="1"/>
    <row r="6" spans="1:256" ht="18.75" customHeight="1"/>
    <row r="7" spans="1:256">
      <c r="A7" s="2376" t="s">
        <v>1309</v>
      </c>
      <c r="B7" s="2376"/>
      <c r="C7" s="2376"/>
      <c r="D7" s="2376"/>
      <c r="E7" s="2376"/>
    </row>
    <row r="8" spans="1:256">
      <c r="A8" s="2377" t="s">
        <v>1295</v>
      </c>
      <c r="B8" s="2377"/>
      <c r="C8" s="2377"/>
      <c r="D8" s="2377"/>
      <c r="E8" s="2377"/>
    </row>
    <row r="9" spans="1:256" ht="17.25" thickBot="1">
      <c r="A9" s="807"/>
      <c r="B9" s="802"/>
      <c r="C9" s="801"/>
      <c r="D9" s="800"/>
      <c r="E9" s="1616" t="s">
        <v>1263</v>
      </c>
    </row>
    <row r="10" spans="1:256" ht="17.25" thickTop="1">
      <c r="A10" s="838" t="s">
        <v>1294</v>
      </c>
      <c r="B10" s="837" t="s">
        <v>2</v>
      </c>
      <c r="C10" s="836" t="s">
        <v>1293</v>
      </c>
      <c r="D10" s="2378" t="s">
        <v>1292</v>
      </c>
      <c r="E10" s="2379"/>
      <c r="F10" s="805"/>
      <c r="G10" s="805"/>
      <c r="H10" s="805"/>
      <c r="I10" s="805"/>
      <c r="J10" s="805"/>
      <c r="K10" s="805"/>
      <c r="L10" s="805"/>
      <c r="M10" s="805"/>
      <c r="N10" s="805"/>
      <c r="O10" s="805"/>
      <c r="P10" s="805"/>
      <c r="Q10" s="805"/>
      <c r="R10" s="805"/>
      <c r="S10" s="805"/>
      <c r="T10" s="805"/>
      <c r="U10" s="805"/>
      <c r="V10" s="805"/>
      <c r="W10" s="805"/>
      <c r="X10" s="805"/>
      <c r="Y10" s="805"/>
      <c r="Z10" s="805"/>
      <c r="AA10" s="805"/>
      <c r="AB10" s="805"/>
      <c r="AC10" s="805"/>
      <c r="AD10" s="805"/>
      <c r="AE10" s="805"/>
      <c r="AF10" s="805"/>
      <c r="AG10" s="805"/>
      <c r="AH10" s="805"/>
      <c r="AI10" s="805"/>
      <c r="AJ10" s="805"/>
      <c r="AK10" s="805"/>
      <c r="AL10" s="805"/>
      <c r="AM10" s="805"/>
      <c r="AN10" s="805"/>
      <c r="AO10" s="805"/>
      <c r="AP10" s="805"/>
      <c r="AQ10" s="805"/>
      <c r="AR10" s="805"/>
      <c r="AS10" s="805"/>
      <c r="AT10" s="805"/>
      <c r="AU10" s="805"/>
      <c r="AV10" s="805"/>
      <c r="AW10" s="805"/>
      <c r="AX10" s="805"/>
      <c r="AY10" s="805"/>
      <c r="AZ10" s="805"/>
      <c r="BA10" s="805"/>
      <c r="BB10" s="805"/>
      <c r="BC10" s="805"/>
      <c r="BD10" s="805"/>
      <c r="BE10" s="805"/>
      <c r="BF10" s="805"/>
      <c r="BG10" s="805"/>
      <c r="BH10" s="805"/>
      <c r="BI10" s="805"/>
      <c r="BJ10" s="805"/>
      <c r="BK10" s="805"/>
      <c r="BL10" s="805"/>
      <c r="BM10" s="805"/>
      <c r="BN10" s="805"/>
      <c r="BO10" s="805"/>
      <c r="BP10" s="805"/>
      <c r="BQ10" s="805"/>
      <c r="BR10" s="805"/>
      <c r="BS10" s="805"/>
      <c r="BT10" s="805"/>
      <c r="BU10" s="805"/>
      <c r="BV10" s="805"/>
      <c r="BW10" s="805"/>
      <c r="BX10" s="805"/>
      <c r="BY10" s="805"/>
      <c r="BZ10" s="805"/>
      <c r="CA10" s="805"/>
      <c r="CB10" s="805"/>
      <c r="CC10" s="805"/>
      <c r="CD10" s="805"/>
      <c r="CE10" s="805"/>
      <c r="CF10" s="805"/>
      <c r="CG10" s="805"/>
      <c r="CH10" s="805"/>
      <c r="CI10" s="805"/>
      <c r="CJ10" s="805"/>
      <c r="CK10" s="805"/>
      <c r="CL10" s="805"/>
      <c r="CM10" s="805"/>
      <c r="CN10" s="805"/>
      <c r="CO10" s="805"/>
      <c r="CP10" s="805"/>
      <c r="CQ10" s="805"/>
      <c r="CR10" s="805"/>
      <c r="CS10" s="805"/>
      <c r="CT10" s="805"/>
      <c r="CU10" s="805"/>
      <c r="CV10" s="805"/>
      <c r="CW10" s="805"/>
      <c r="CX10" s="805"/>
      <c r="CY10" s="805"/>
      <c r="CZ10" s="805"/>
      <c r="DA10" s="805"/>
      <c r="DB10" s="805"/>
      <c r="DC10" s="805"/>
      <c r="DD10" s="805"/>
      <c r="DE10" s="805"/>
      <c r="DF10" s="805"/>
      <c r="DG10" s="805"/>
      <c r="DH10" s="805"/>
      <c r="DI10" s="805"/>
      <c r="DJ10" s="805"/>
      <c r="DK10" s="805"/>
      <c r="DL10" s="805"/>
      <c r="DM10" s="805"/>
      <c r="DN10" s="805"/>
      <c r="DO10" s="805"/>
      <c r="DP10" s="805"/>
      <c r="DQ10" s="805"/>
      <c r="DR10" s="805"/>
      <c r="DS10" s="805"/>
      <c r="DT10" s="805"/>
      <c r="DU10" s="805"/>
      <c r="DV10" s="805"/>
      <c r="DW10" s="805"/>
      <c r="DX10" s="805"/>
      <c r="DY10" s="805"/>
      <c r="DZ10" s="805"/>
      <c r="EA10" s="805"/>
      <c r="EB10" s="805"/>
      <c r="EC10" s="805"/>
      <c r="ED10" s="805"/>
      <c r="EE10" s="805"/>
      <c r="EF10" s="805"/>
      <c r="EG10" s="805"/>
      <c r="EH10" s="805"/>
      <c r="EI10" s="805"/>
      <c r="EJ10" s="805"/>
      <c r="EK10" s="805"/>
      <c r="EL10" s="805"/>
      <c r="EM10" s="805"/>
      <c r="EN10" s="805"/>
      <c r="EO10" s="805"/>
      <c r="EP10" s="805"/>
      <c r="EQ10" s="805"/>
      <c r="ER10" s="805"/>
      <c r="ES10" s="805"/>
      <c r="ET10" s="805"/>
      <c r="EU10" s="805"/>
      <c r="EV10" s="805"/>
      <c r="EW10" s="805"/>
      <c r="EX10" s="805"/>
      <c r="EY10" s="805"/>
      <c r="EZ10" s="805"/>
      <c r="FA10" s="805"/>
      <c r="FB10" s="805"/>
      <c r="FC10" s="805"/>
      <c r="FD10" s="805"/>
      <c r="FE10" s="805"/>
      <c r="FF10" s="805"/>
      <c r="FG10" s="805"/>
      <c r="FH10" s="805"/>
      <c r="FI10" s="805"/>
      <c r="FJ10" s="805"/>
      <c r="FK10" s="805"/>
      <c r="FL10" s="805"/>
      <c r="FM10" s="805"/>
      <c r="FN10" s="805"/>
      <c r="FO10" s="805"/>
      <c r="FP10" s="805"/>
      <c r="FQ10" s="805"/>
      <c r="FR10" s="805"/>
      <c r="FS10" s="805"/>
      <c r="FT10" s="805"/>
      <c r="FU10" s="805"/>
      <c r="FV10" s="805"/>
      <c r="FW10" s="805"/>
      <c r="FX10" s="805"/>
      <c r="FY10" s="805"/>
      <c r="FZ10" s="805"/>
      <c r="GA10" s="805"/>
      <c r="GB10" s="805"/>
      <c r="GC10" s="805"/>
      <c r="GD10" s="805"/>
      <c r="GE10" s="805"/>
      <c r="GF10" s="805"/>
      <c r="GG10" s="805"/>
      <c r="GH10" s="805"/>
      <c r="GI10" s="805"/>
      <c r="GJ10" s="805"/>
      <c r="GK10" s="805"/>
      <c r="GL10" s="805"/>
      <c r="GM10" s="805"/>
      <c r="GN10" s="805"/>
      <c r="GO10" s="805"/>
      <c r="GP10" s="805"/>
      <c r="GQ10" s="805"/>
      <c r="GR10" s="805"/>
      <c r="GS10" s="805"/>
      <c r="GT10" s="805"/>
      <c r="GU10" s="805"/>
      <c r="GV10" s="805"/>
      <c r="GW10" s="805"/>
      <c r="GX10" s="805"/>
      <c r="GY10" s="805"/>
      <c r="GZ10" s="805"/>
      <c r="HA10" s="805"/>
      <c r="HB10" s="805"/>
      <c r="HC10" s="805"/>
      <c r="HD10" s="805"/>
      <c r="HE10" s="805"/>
      <c r="HF10" s="805"/>
      <c r="HG10" s="805"/>
      <c r="HH10" s="805"/>
      <c r="HI10" s="805"/>
      <c r="HJ10" s="805"/>
      <c r="HK10" s="805"/>
      <c r="HL10" s="805"/>
      <c r="HM10" s="805"/>
      <c r="HN10" s="805"/>
      <c r="HO10" s="805"/>
      <c r="HP10" s="805"/>
      <c r="HQ10" s="805"/>
      <c r="HR10" s="805"/>
      <c r="HS10" s="805"/>
      <c r="HT10" s="805"/>
      <c r="HU10" s="805"/>
      <c r="HV10" s="805"/>
      <c r="HW10" s="805"/>
      <c r="HX10" s="805"/>
      <c r="HY10" s="805"/>
      <c r="HZ10" s="805"/>
      <c r="IA10" s="805"/>
      <c r="IB10" s="805"/>
      <c r="IC10" s="805"/>
      <c r="ID10" s="805"/>
      <c r="IE10" s="805"/>
      <c r="IF10" s="805"/>
      <c r="IG10" s="805"/>
      <c r="IH10" s="805"/>
      <c r="II10" s="805"/>
      <c r="IJ10" s="805"/>
      <c r="IK10" s="805"/>
      <c r="IL10" s="805"/>
      <c r="IM10" s="805"/>
      <c r="IN10" s="805"/>
      <c r="IO10" s="805"/>
      <c r="IP10" s="805"/>
      <c r="IQ10" s="805"/>
      <c r="IR10" s="805"/>
      <c r="IS10" s="805"/>
      <c r="IT10" s="805"/>
      <c r="IU10" s="805"/>
      <c r="IV10" s="805"/>
    </row>
    <row r="11" spans="1:256" ht="17.25">
      <c r="A11" s="835"/>
      <c r="B11" s="834" t="s">
        <v>1291</v>
      </c>
      <c r="C11" s="833" t="s">
        <v>1290</v>
      </c>
      <c r="D11" s="832" t="s">
        <v>1</v>
      </c>
      <c r="E11" s="831" t="s">
        <v>4</v>
      </c>
      <c r="F11" s="805"/>
      <c r="G11" s="805"/>
      <c r="H11" s="805"/>
      <c r="I11" s="805"/>
      <c r="J11" s="805"/>
      <c r="K11" s="805"/>
      <c r="L11" s="805"/>
      <c r="M11" s="805"/>
      <c r="N11" s="805"/>
      <c r="O11" s="805"/>
      <c r="P11" s="805"/>
      <c r="Q11" s="805"/>
      <c r="R11" s="805"/>
      <c r="S11" s="805"/>
      <c r="T11" s="805"/>
      <c r="U11" s="805"/>
      <c r="V11" s="805"/>
      <c r="W11" s="805"/>
      <c r="X11" s="805"/>
      <c r="Y11" s="805"/>
      <c r="Z11" s="805"/>
      <c r="AA11" s="805"/>
      <c r="AB11" s="805"/>
      <c r="AC11" s="805"/>
      <c r="AD11" s="805"/>
      <c r="AE11" s="805"/>
      <c r="AF11" s="805"/>
      <c r="AG11" s="805"/>
      <c r="AH11" s="805"/>
      <c r="AI11" s="805"/>
      <c r="AJ11" s="805"/>
      <c r="AK11" s="805"/>
      <c r="AL11" s="805"/>
      <c r="AM11" s="805"/>
      <c r="AN11" s="805"/>
      <c r="AO11" s="805"/>
      <c r="AP11" s="805"/>
      <c r="AQ11" s="805"/>
      <c r="AR11" s="805"/>
      <c r="AS11" s="805"/>
      <c r="AT11" s="805"/>
      <c r="AU11" s="805"/>
      <c r="AV11" s="805"/>
      <c r="AW11" s="805"/>
      <c r="AX11" s="805"/>
      <c r="AY11" s="805"/>
      <c r="AZ11" s="805"/>
      <c r="BA11" s="805"/>
      <c r="BB11" s="805"/>
      <c r="BC11" s="805"/>
      <c r="BD11" s="805"/>
      <c r="BE11" s="805"/>
      <c r="BF11" s="805"/>
      <c r="BG11" s="805"/>
      <c r="BH11" s="805"/>
      <c r="BI11" s="805"/>
      <c r="BJ11" s="805"/>
      <c r="BK11" s="805"/>
      <c r="BL11" s="805"/>
      <c r="BM11" s="805"/>
      <c r="BN11" s="805"/>
      <c r="BO11" s="805"/>
      <c r="BP11" s="805"/>
      <c r="BQ11" s="805"/>
      <c r="BR11" s="805"/>
      <c r="BS11" s="805"/>
      <c r="BT11" s="805"/>
      <c r="BU11" s="805"/>
      <c r="BV11" s="805"/>
      <c r="BW11" s="805"/>
      <c r="BX11" s="805"/>
      <c r="BY11" s="805"/>
      <c r="BZ11" s="805"/>
      <c r="CA11" s="805"/>
      <c r="CB11" s="805"/>
      <c r="CC11" s="805"/>
      <c r="CD11" s="805"/>
      <c r="CE11" s="805"/>
      <c r="CF11" s="805"/>
      <c r="CG11" s="805"/>
      <c r="CH11" s="805"/>
      <c r="CI11" s="805"/>
      <c r="CJ11" s="805"/>
      <c r="CK11" s="805"/>
      <c r="CL11" s="805"/>
      <c r="CM11" s="805"/>
      <c r="CN11" s="805"/>
      <c r="CO11" s="805"/>
      <c r="CP11" s="805"/>
      <c r="CQ11" s="805"/>
      <c r="CR11" s="805"/>
      <c r="CS11" s="805"/>
      <c r="CT11" s="805"/>
      <c r="CU11" s="805"/>
      <c r="CV11" s="805"/>
      <c r="CW11" s="805"/>
      <c r="CX11" s="805"/>
      <c r="CY11" s="805"/>
      <c r="CZ11" s="805"/>
      <c r="DA11" s="805"/>
      <c r="DB11" s="805"/>
      <c r="DC11" s="805"/>
      <c r="DD11" s="805"/>
      <c r="DE11" s="805"/>
      <c r="DF11" s="805"/>
      <c r="DG11" s="805"/>
      <c r="DH11" s="805"/>
      <c r="DI11" s="805"/>
      <c r="DJ11" s="805"/>
      <c r="DK11" s="805"/>
      <c r="DL11" s="805"/>
      <c r="DM11" s="805"/>
      <c r="DN11" s="805"/>
      <c r="DO11" s="805"/>
      <c r="DP11" s="805"/>
      <c r="DQ11" s="805"/>
      <c r="DR11" s="805"/>
      <c r="DS11" s="805"/>
      <c r="DT11" s="805"/>
      <c r="DU11" s="805"/>
      <c r="DV11" s="805"/>
      <c r="DW11" s="805"/>
      <c r="DX11" s="805"/>
      <c r="DY11" s="805"/>
      <c r="DZ11" s="805"/>
      <c r="EA11" s="805"/>
      <c r="EB11" s="805"/>
      <c r="EC11" s="805"/>
      <c r="ED11" s="805"/>
      <c r="EE11" s="805"/>
      <c r="EF11" s="805"/>
      <c r="EG11" s="805"/>
      <c r="EH11" s="805"/>
      <c r="EI11" s="805"/>
      <c r="EJ11" s="805"/>
      <c r="EK11" s="805"/>
      <c r="EL11" s="805"/>
      <c r="EM11" s="805"/>
      <c r="EN11" s="805"/>
      <c r="EO11" s="805"/>
      <c r="EP11" s="805"/>
      <c r="EQ11" s="805"/>
      <c r="ER11" s="805"/>
      <c r="ES11" s="805"/>
      <c r="ET11" s="805"/>
      <c r="EU11" s="805"/>
      <c r="EV11" s="805"/>
      <c r="EW11" s="805"/>
      <c r="EX11" s="805"/>
      <c r="EY11" s="805"/>
      <c r="EZ11" s="805"/>
      <c r="FA11" s="805"/>
      <c r="FB11" s="805"/>
      <c r="FC11" s="805"/>
      <c r="FD11" s="805"/>
      <c r="FE11" s="805"/>
      <c r="FF11" s="805"/>
      <c r="FG11" s="805"/>
      <c r="FH11" s="805"/>
      <c r="FI11" s="805"/>
      <c r="FJ11" s="805"/>
      <c r="FK11" s="805"/>
      <c r="FL11" s="805"/>
      <c r="FM11" s="805"/>
      <c r="FN11" s="805"/>
      <c r="FO11" s="805"/>
      <c r="FP11" s="805"/>
      <c r="FQ11" s="805"/>
      <c r="FR11" s="805"/>
      <c r="FS11" s="805"/>
      <c r="FT11" s="805"/>
      <c r="FU11" s="805"/>
      <c r="FV11" s="805"/>
      <c r="FW11" s="805"/>
      <c r="FX11" s="805"/>
      <c r="FY11" s="805"/>
      <c r="FZ11" s="805"/>
      <c r="GA11" s="805"/>
      <c r="GB11" s="805"/>
      <c r="GC11" s="805"/>
      <c r="GD11" s="805"/>
      <c r="GE11" s="805"/>
      <c r="GF11" s="805"/>
      <c r="GG11" s="805"/>
      <c r="GH11" s="805"/>
      <c r="GI11" s="805"/>
      <c r="GJ11" s="805"/>
      <c r="GK11" s="805"/>
      <c r="GL11" s="805"/>
      <c r="GM11" s="805"/>
      <c r="GN11" s="805"/>
      <c r="GO11" s="805"/>
      <c r="GP11" s="805"/>
      <c r="GQ11" s="805"/>
      <c r="GR11" s="805"/>
      <c r="GS11" s="805"/>
      <c r="GT11" s="805"/>
      <c r="GU11" s="805"/>
      <c r="GV11" s="805"/>
      <c r="GW11" s="805"/>
      <c r="GX11" s="805"/>
      <c r="GY11" s="805"/>
      <c r="GZ11" s="805"/>
      <c r="HA11" s="805"/>
      <c r="HB11" s="805"/>
      <c r="HC11" s="805"/>
      <c r="HD11" s="805"/>
      <c r="HE11" s="805"/>
      <c r="HF11" s="805"/>
      <c r="HG11" s="805"/>
      <c r="HH11" s="805"/>
      <c r="HI11" s="805"/>
      <c r="HJ11" s="805"/>
      <c r="HK11" s="805"/>
      <c r="HL11" s="805"/>
      <c r="HM11" s="805"/>
      <c r="HN11" s="805"/>
      <c r="HO11" s="805"/>
      <c r="HP11" s="805"/>
      <c r="HQ11" s="805"/>
      <c r="HR11" s="805"/>
      <c r="HS11" s="805"/>
      <c r="HT11" s="805"/>
      <c r="HU11" s="805"/>
      <c r="HV11" s="805"/>
      <c r="HW11" s="805"/>
      <c r="HX11" s="805"/>
      <c r="HY11" s="805"/>
      <c r="HZ11" s="805"/>
      <c r="IA11" s="805"/>
      <c r="IB11" s="805"/>
      <c r="IC11" s="805"/>
      <c r="ID11" s="805"/>
      <c r="IE11" s="805"/>
      <c r="IF11" s="805"/>
      <c r="IG11" s="805"/>
      <c r="IH11" s="805"/>
      <c r="II11" s="805"/>
      <c r="IJ11" s="805"/>
      <c r="IK11" s="805"/>
      <c r="IL11" s="805"/>
      <c r="IM11" s="805"/>
      <c r="IN11" s="805"/>
      <c r="IO11" s="805"/>
      <c r="IP11" s="805"/>
      <c r="IQ11" s="805"/>
      <c r="IR11" s="805"/>
      <c r="IS11" s="805"/>
      <c r="IT11" s="805"/>
      <c r="IU11" s="805"/>
      <c r="IV11" s="805"/>
    </row>
    <row r="12" spans="1:256" ht="17.25">
      <c r="A12" s="1617" t="s">
        <v>1289</v>
      </c>
      <c r="B12" s="2286"/>
      <c r="C12" s="2287"/>
      <c r="D12" s="2288"/>
      <c r="E12" s="1628">
        <f>E24+E25</f>
        <v>343202000</v>
      </c>
    </row>
    <row r="13" spans="1:256">
      <c r="A13" s="822" t="s">
        <v>1308</v>
      </c>
      <c r="B13" s="2290" t="s">
        <v>5</v>
      </c>
      <c r="C13" s="553">
        <v>12000</v>
      </c>
      <c r="D13" s="528">
        <v>1000</v>
      </c>
      <c r="E13" s="854">
        <f>D13*C13</f>
        <v>12000000</v>
      </c>
    </row>
    <row r="14" spans="1:256">
      <c r="A14" s="822" t="s">
        <v>1307</v>
      </c>
      <c r="B14" s="818" t="s">
        <v>1306</v>
      </c>
      <c r="C14" s="549">
        <v>10000</v>
      </c>
      <c r="D14" s="821">
        <v>30000</v>
      </c>
      <c r="E14" s="820">
        <f>D14*C14</f>
        <v>300000000</v>
      </c>
    </row>
    <row r="15" spans="1:256">
      <c r="A15" s="822" t="s">
        <v>1305</v>
      </c>
      <c r="B15" s="818" t="s">
        <v>228</v>
      </c>
      <c r="C15" s="549">
        <v>450000</v>
      </c>
      <c r="D15" s="821">
        <v>8</v>
      </c>
      <c r="E15" s="820">
        <f>D15*C15</f>
        <v>3600000</v>
      </c>
    </row>
    <row r="16" spans="1:256">
      <c r="A16" s="822" t="s">
        <v>1304</v>
      </c>
      <c r="B16" s="818" t="s">
        <v>11</v>
      </c>
      <c r="C16" s="549"/>
      <c r="D16" s="816"/>
      <c r="E16" s="820">
        <f>SUM(E17:E20)</f>
        <v>3052000</v>
      </c>
    </row>
    <row r="17" spans="1:256">
      <c r="A17" s="826" t="s">
        <v>1284</v>
      </c>
      <c r="B17" s="818" t="s">
        <v>11</v>
      </c>
      <c r="C17" s="778">
        <v>10000</v>
      </c>
      <c r="D17" s="825">
        <v>32</v>
      </c>
      <c r="E17" s="824">
        <f t="shared" ref="E17:E23" si="0">D17*C17</f>
        <v>320000</v>
      </c>
    </row>
    <row r="18" spans="1:256">
      <c r="A18" s="826" t="s">
        <v>1283</v>
      </c>
      <c r="B18" s="818" t="s">
        <v>11</v>
      </c>
      <c r="C18" s="778">
        <v>3000</v>
      </c>
      <c r="D18" s="825">
        <v>94</v>
      </c>
      <c r="E18" s="824">
        <f t="shared" si="0"/>
        <v>282000</v>
      </c>
    </row>
    <row r="19" spans="1:256">
      <c r="A19" s="826" t="s">
        <v>1282</v>
      </c>
      <c r="B19" s="818" t="s">
        <v>11</v>
      </c>
      <c r="C19" s="778">
        <v>15000</v>
      </c>
      <c r="D19" s="825">
        <v>30</v>
      </c>
      <c r="E19" s="824">
        <f t="shared" si="0"/>
        <v>450000</v>
      </c>
    </row>
    <row r="20" spans="1:256">
      <c r="A20" s="826" t="s">
        <v>1281</v>
      </c>
      <c r="B20" s="818" t="s">
        <v>11</v>
      </c>
      <c r="C20" s="778">
        <v>10000</v>
      </c>
      <c r="D20" s="825">
        <v>200</v>
      </c>
      <c r="E20" s="824">
        <f t="shared" si="0"/>
        <v>2000000</v>
      </c>
    </row>
    <row r="21" spans="1:256">
      <c r="A21" s="822" t="s">
        <v>1303</v>
      </c>
      <c r="B21" s="818" t="s">
        <v>11</v>
      </c>
      <c r="C21" s="549">
        <v>1000</v>
      </c>
      <c r="D21" s="821">
        <v>100</v>
      </c>
      <c r="E21" s="820">
        <f t="shared" si="0"/>
        <v>100000</v>
      </c>
    </row>
    <row r="22" spans="1:256">
      <c r="A22" s="822" t="s">
        <v>1302</v>
      </c>
      <c r="B22" s="818" t="s">
        <v>513</v>
      </c>
      <c r="C22" s="549">
        <v>200000</v>
      </c>
      <c r="D22" s="821">
        <v>30</v>
      </c>
      <c r="E22" s="820">
        <f t="shared" si="0"/>
        <v>6000000</v>
      </c>
    </row>
    <row r="23" spans="1:256">
      <c r="A23" s="822" t="s">
        <v>1301</v>
      </c>
      <c r="B23" s="818" t="s">
        <v>511</v>
      </c>
      <c r="C23" s="549">
        <v>250000</v>
      </c>
      <c r="D23" s="821">
        <v>45</v>
      </c>
      <c r="E23" s="820">
        <f t="shared" si="0"/>
        <v>11250000</v>
      </c>
    </row>
    <row r="24" spans="1:256" ht="17.25">
      <c r="A24" s="1617" t="s">
        <v>1277</v>
      </c>
      <c r="B24" s="2289"/>
      <c r="C24" s="774"/>
      <c r="D24" s="1632"/>
      <c r="E24" s="1633">
        <f>SUM(E13:E16)+SUM(E21:E23)</f>
        <v>336002000</v>
      </c>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0"/>
      <c r="BC24" s="540"/>
      <c r="BD24" s="540"/>
      <c r="BE24" s="540"/>
      <c r="BF24" s="540"/>
      <c r="BG24" s="540"/>
      <c r="BH24" s="540"/>
      <c r="BI24" s="540"/>
      <c r="BJ24" s="540"/>
      <c r="BK24" s="540"/>
      <c r="BL24" s="540"/>
      <c r="BM24" s="540"/>
      <c r="BN24" s="540"/>
      <c r="BO24" s="540"/>
      <c r="BP24" s="540"/>
      <c r="BQ24" s="540"/>
      <c r="BR24" s="540"/>
      <c r="BS24" s="540"/>
      <c r="BT24" s="540"/>
      <c r="BU24" s="540"/>
      <c r="BV24" s="540"/>
      <c r="BW24" s="540"/>
      <c r="BX24" s="540"/>
      <c r="BY24" s="540"/>
      <c r="BZ24" s="540"/>
      <c r="CA24" s="540"/>
      <c r="CB24" s="540"/>
      <c r="CC24" s="540"/>
      <c r="CD24" s="540"/>
      <c r="CE24" s="540"/>
      <c r="CF24" s="540"/>
      <c r="CG24" s="540"/>
      <c r="CH24" s="540"/>
      <c r="CI24" s="540"/>
      <c r="CJ24" s="540"/>
      <c r="CK24" s="540"/>
      <c r="CL24" s="540"/>
      <c r="CM24" s="540"/>
      <c r="CN24" s="540"/>
      <c r="CO24" s="540"/>
      <c r="CP24" s="540"/>
      <c r="CQ24" s="540"/>
      <c r="CR24" s="540"/>
      <c r="CS24" s="540"/>
      <c r="CT24" s="540"/>
      <c r="CU24" s="540"/>
      <c r="CV24" s="540"/>
      <c r="CW24" s="540"/>
      <c r="CX24" s="540"/>
      <c r="CY24" s="540"/>
      <c r="CZ24" s="540"/>
      <c r="DA24" s="540"/>
      <c r="DB24" s="540"/>
      <c r="DC24" s="540"/>
      <c r="DD24" s="540"/>
      <c r="DE24" s="540"/>
      <c r="DF24" s="540"/>
      <c r="DG24" s="540"/>
      <c r="DH24" s="540"/>
      <c r="DI24" s="540"/>
      <c r="DJ24" s="540"/>
      <c r="DK24" s="540"/>
      <c r="DL24" s="540"/>
      <c r="DM24" s="540"/>
      <c r="DN24" s="540"/>
      <c r="DO24" s="540"/>
      <c r="DP24" s="540"/>
      <c r="DQ24" s="540"/>
      <c r="DR24" s="540"/>
      <c r="DS24" s="540"/>
      <c r="DT24" s="540"/>
      <c r="DU24" s="540"/>
      <c r="DV24" s="540"/>
      <c r="DW24" s="540"/>
      <c r="DX24" s="540"/>
      <c r="DY24" s="540"/>
      <c r="DZ24" s="540"/>
      <c r="EA24" s="540"/>
      <c r="EB24" s="540"/>
      <c r="EC24" s="540"/>
      <c r="ED24" s="540"/>
      <c r="EE24" s="540"/>
      <c r="EF24" s="540"/>
      <c r="EG24" s="540"/>
      <c r="EH24" s="540"/>
      <c r="EI24" s="540"/>
      <c r="EJ24" s="540"/>
      <c r="EK24" s="540"/>
      <c r="EL24" s="540"/>
      <c r="EM24" s="540"/>
      <c r="EN24" s="540"/>
      <c r="EO24" s="540"/>
      <c r="EP24" s="540"/>
      <c r="EQ24" s="540"/>
      <c r="ER24" s="540"/>
      <c r="ES24" s="540"/>
      <c r="ET24" s="540"/>
      <c r="EU24" s="540"/>
      <c r="EV24" s="540"/>
      <c r="EW24" s="540"/>
      <c r="EX24" s="540"/>
      <c r="EY24" s="540"/>
      <c r="EZ24" s="540"/>
      <c r="FA24" s="540"/>
      <c r="FB24" s="540"/>
      <c r="FC24" s="540"/>
      <c r="FD24" s="540"/>
      <c r="FE24" s="540"/>
      <c r="FF24" s="540"/>
      <c r="FG24" s="540"/>
      <c r="FH24" s="540"/>
      <c r="FI24" s="540"/>
      <c r="FJ24" s="540"/>
      <c r="FK24" s="540"/>
      <c r="FL24" s="540"/>
      <c r="FM24" s="540"/>
      <c r="FN24" s="540"/>
      <c r="FO24" s="540"/>
      <c r="FP24" s="540"/>
      <c r="FQ24" s="540"/>
      <c r="FR24" s="540"/>
      <c r="FS24" s="540"/>
      <c r="FT24" s="540"/>
      <c r="FU24" s="540"/>
      <c r="FV24" s="540"/>
      <c r="FW24" s="540"/>
      <c r="FX24" s="540"/>
      <c r="FY24" s="540"/>
      <c r="FZ24" s="540"/>
      <c r="GA24" s="540"/>
      <c r="GB24" s="540"/>
      <c r="GC24" s="540"/>
      <c r="GD24" s="540"/>
      <c r="GE24" s="540"/>
      <c r="GF24" s="540"/>
      <c r="GG24" s="540"/>
      <c r="GH24" s="540"/>
      <c r="GI24" s="540"/>
      <c r="GJ24" s="540"/>
      <c r="GK24" s="540"/>
      <c r="GL24" s="540"/>
      <c r="GM24" s="540"/>
      <c r="GN24" s="540"/>
      <c r="GO24" s="540"/>
      <c r="GP24" s="540"/>
      <c r="GQ24" s="540"/>
      <c r="GR24" s="540"/>
      <c r="GS24" s="540"/>
      <c r="GT24" s="540"/>
      <c r="GU24" s="540"/>
      <c r="GV24" s="540"/>
      <c r="GW24" s="540"/>
      <c r="GX24" s="540"/>
      <c r="GY24" s="540"/>
      <c r="GZ24" s="540"/>
      <c r="HA24" s="540"/>
      <c r="HB24" s="540"/>
      <c r="HC24" s="540"/>
      <c r="HD24" s="540"/>
      <c r="HE24" s="540"/>
      <c r="HF24" s="540"/>
      <c r="HG24" s="540"/>
      <c r="HH24" s="540"/>
      <c r="HI24" s="540"/>
      <c r="HJ24" s="540"/>
      <c r="HK24" s="540"/>
      <c r="HL24" s="540"/>
      <c r="HM24" s="540"/>
      <c r="HN24" s="540"/>
      <c r="HO24" s="540"/>
      <c r="HP24" s="540"/>
      <c r="HQ24" s="540"/>
      <c r="HR24" s="540"/>
      <c r="HS24" s="540"/>
      <c r="HT24" s="540"/>
      <c r="HU24" s="540"/>
      <c r="HV24" s="540"/>
      <c r="HW24" s="540"/>
      <c r="HX24" s="540"/>
      <c r="HY24" s="540"/>
      <c r="HZ24" s="540"/>
      <c r="IA24" s="540"/>
      <c r="IB24" s="540"/>
      <c r="IC24" s="540"/>
      <c r="ID24" s="540"/>
      <c r="IE24" s="540"/>
      <c r="IF24" s="540"/>
      <c r="IG24" s="540"/>
      <c r="IH24" s="540"/>
      <c r="II24" s="540"/>
      <c r="IJ24" s="540"/>
      <c r="IK24" s="540"/>
      <c r="IL24" s="540"/>
      <c r="IM24" s="540"/>
      <c r="IN24" s="540"/>
      <c r="IO24" s="540"/>
      <c r="IP24" s="540"/>
      <c r="IQ24" s="540"/>
      <c r="IR24" s="540"/>
      <c r="IS24" s="540"/>
      <c r="IT24" s="540"/>
      <c r="IU24" s="540"/>
      <c r="IV24" s="540"/>
    </row>
    <row r="25" spans="1:256">
      <c r="A25" s="822" t="s">
        <v>1300</v>
      </c>
      <c r="B25" s="818" t="s">
        <v>1270</v>
      </c>
      <c r="C25" s="549"/>
      <c r="D25" s="821"/>
      <c r="E25" s="820">
        <f>270000000*8%*4/12</f>
        <v>7200000</v>
      </c>
    </row>
    <row r="26" spans="1:256" ht="17.25">
      <c r="A26" s="1617" t="s">
        <v>1275</v>
      </c>
      <c r="B26" s="2289"/>
      <c r="C26" s="774"/>
      <c r="D26" s="1632"/>
      <c r="E26" s="1633">
        <f>SUM(E28:E28)</f>
        <v>405000000</v>
      </c>
    </row>
    <row r="27" spans="1:256">
      <c r="A27" s="822" t="s">
        <v>1274</v>
      </c>
      <c r="B27" s="818" t="s">
        <v>1273</v>
      </c>
      <c r="C27" s="549"/>
      <c r="D27" s="821">
        <v>27000</v>
      </c>
      <c r="E27" s="820"/>
    </row>
    <row r="28" spans="1:256">
      <c r="A28" s="822" t="s">
        <v>1272</v>
      </c>
      <c r="B28" s="818" t="s">
        <v>1270</v>
      </c>
      <c r="C28" s="549">
        <v>15000</v>
      </c>
      <c r="D28" s="821">
        <f>D27</f>
        <v>27000</v>
      </c>
      <c r="E28" s="820">
        <f>C28*D27</f>
        <v>405000000</v>
      </c>
    </row>
    <row r="29" spans="1:256">
      <c r="A29" s="1617" t="s">
        <v>1271</v>
      </c>
      <c r="B29" s="818" t="s">
        <v>1270</v>
      </c>
      <c r="C29" s="1635"/>
      <c r="D29" s="1632"/>
      <c r="E29" s="1633">
        <f>E26-E12</f>
        <v>61798000</v>
      </c>
    </row>
    <row r="30" spans="1:256" ht="17.25" thickBot="1">
      <c r="A30" s="1623" t="s">
        <v>1269</v>
      </c>
      <c r="B30" s="813" t="s">
        <v>90</v>
      </c>
      <c r="C30" s="812"/>
      <c r="D30" s="811"/>
      <c r="E30" s="1636">
        <f>E29/E26</f>
        <v>0.15258765432098764</v>
      </c>
    </row>
    <row r="31" spans="1:256" ht="17.25" thickTop="1">
      <c r="A31" s="807"/>
      <c r="B31" s="809"/>
      <c r="C31" s="808"/>
      <c r="D31" s="807"/>
      <c r="E31" s="806"/>
    </row>
    <row r="32" spans="1:256" ht="17.25">
      <c r="A32" s="1625" t="s">
        <v>1268</v>
      </c>
      <c r="E32" s="804"/>
    </row>
    <row r="33" spans="1:5">
      <c r="A33" s="800" t="s">
        <v>1299</v>
      </c>
      <c r="B33" s="802"/>
      <c r="C33" s="801"/>
      <c r="D33" s="800"/>
      <c r="E33" s="800"/>
    </row>
    <row r="34" spans="1:5">
      <c r="A34" s="800" t="s">
        <v>1266</v>
      </c>
      <c r="B34" s="802"/>
      <c r="C34" s="801"/>
      <c r="D34" s="800"/>
      <c r="E34" s="800"/>
    </row>
    <row r="35" spans="1:5">
      <c r="A35" s="800" t="s">
        <v>1265</v>
      </c>
      <c r="B35" s="802"/>
      <c r="C35" s="801"/>
      <c r="D35" s="800"/>
      <c r="E35" s="800"/>
    </row>
    <row r="36" spans="1:5">
      <c r="A36" s="800"/>
      <c r="B36" s="802"/>
      <c r="C36" s="801"/>
      <c r="D36" s="800"/>
      <c r="E36" s="800"/>
    </row>
    <row r="37" spans="1:5">
      <c r="A37" s="1637"/>
      <c r="B37" s="802"/>
      <c r="C37" s="801"/>
      <c r="D37" s="800"/>
      <c r="E37" s="800"/>
    </row>
    <row r="38" spans="1:5">
      <c r="A38" s="800"/>
      <c r="B38" s="802"/>
      <c r="C38" s="801"/>
      <c r="D38" s="800"/>
      <c r="E38" s="800"/>
    </row>
    <row r="39" spans="1:5">
      <c r="A39" s="800"/>
      <c r="B39" s="802"/>
      <c r="C39" s="801"/>
      <c r="D39" s="800"/>
      <c r="E39" s="800"/>
    </row>
    <row r="40" spans="1:5">
      <c r="A40" s="800"/>
      <c r="B40" s="802"/>
      <c r="C40" s="801"/>
      <c r="D40" s="800"/>
      <c r="E40" s="800"/>
    </row>
  </sheetData>
  <mergeCells count="3">
    <mergeCell ref="A7:E7"/>
    <mergeCell ref="A8:E8"/>
    <mergeCell ref="D10:E10"/>
  </mergeCells>
  <pageMargins left="1" right="0.5" top="0.75" bottom="0.75" header="0.5" footer="0.5"/>
  <pageSetup paperSize="9" orientation="portrait" r:id="rId1"/>
  <headerFooter>
    <oddFooter>&amp;CTrang</oddFooter>
  </headerFooter>
  <drawing r:id="rId2"/>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G33"/>
  <sheetViews>
    <sheetView zoomScaleNormal="100" workbookViewId="0">
      <selection activeCell="A4" sqref="A4:XFD5"/>
    </sheetView>
  </sheetViews>
  <sheetFormatPr defaultColWidth="9.42578125" defaultRowHeight="16.5"/>
  <cols>
    <col min="1" max="1" width="22.85546875" style="523" customWidth="1"/>
    <col min="2" max="5" width="17" style="523" customWidth="1"/>
    <col min="6" max="254" width="9.140625" style="523" customWidth="1"/>
    <col min="255" max="255" width="22.85546875" style="523" customWidth="1"/>
    <col min="256" max="256" width="9.42578125" style="523"/>
    <col min="257" max="257" width="22.85546875" style="523" customWidth="1"/>
    <col min="258" max="261" width="17" style="523" customWidth="1"/>
    <col min="262" max="510" width="9.140625" style="523" customWidth="1"/>
    <col min="511" max="511" width="22.85546875" style="523" customWidth="1"/>
    <col min="512" max="512" width="9.42578125" style="523"/>
    <col min="513" max="513" width="22.85546875" style="523" customWidth="1"/>
    <col min="514" max="517" width="17" style="523" customWidth="1"/>
    <col min="518" max="766" width="9.140625" style="523" customWidth="1"/>
    <col min="767" max="767" width="22.85546875" style="523" customWidth="1"/>
    <col min="768" max="768" width="9.42578125" style="523"/>
    <col min="769" max="769" width="22.85546875" style="523" customWidth="1"/>
    <col min="770" max="773" width="17" style="523" customWidth="1"/>
    <col min="774" max="1022" width="9.140625" style="523" customWidth="1"/>
    <col min="1023" max="1023" width="22.85546875" style="523" customWidth="1"/>
    <col min="1024" max="1024" width="9.42578125" style="523"/>
    <col min="1025" max="1025" width="22.85546875" style="523" customWidth="1"/>
    <col min="1026" max="1029" width="17" style="523" customWidth="1"/>
    <col min="1030" max="1278" width="9.140625" style="523" customWidth="1"/>
    <col min="1279" max="1279" width="22.85546875" style="523" customWidth="1"/>
    <col min="1280" max="1280" width="9.42578125" style="523"/>
    <col min="1281" max="1281" width="22.85546875" style="523" customWidth="1"/>
    <col min="1282" max="1285" width="17" style="523" customWidth="1"/>
    <col min="1286" max="1534" width="9.140625" style="523" customWidth="1"/>
    <col min="1535" max="1535" width="22.85546875" style="523" customWidth="1"/>
    <col min="1536" max="1536" width="9.42578125" style="523"/>
    <col min="1537" max="1537" width="22.85546875" style="523" customWidth="1"/>
    <col min="1538" max="1541" width="17" style="523" customWidth="1"/>
    <col min="1542" max="1790" width="9.140625" style="523" customWidth="1"/>
    <col min="1791" max="1791" width="22.85546875" style="523" customWidth="1"/>
    <col min="1792" max="1792" width="9.42578125" style="523"/>
    <col min="1793" max="1793" width="22.85546875" style="523" customWidth="1"/>
    <col min="1794" max="1797" width="17" style="523" customWidth="1"/>
    <col min="1798" max="2046" width="9.140625" style="523" customWidth="1"/>
    <col min="2047" max="2047" width="22.85546875" style="523" customWidth="1"/>
    <col min="2048" max="2048" width="9.42578125" style="523"/>
    <col min="2049" max="2049" width="22.85546875" style="523" customWidth="1"/>
    <col min="2050" max="2053" width="17" style="523" customWidth="1"/>
    <col min="2054" max="2302" width="9.140625" style="523" customWidth="1"/>
    <col min="2303" max="2303" width="22.85546875" style="523" customWidth="1"/>
    <col min="2304" max="2304" width="9.42578125" style="523"/>
    <col min="2305" max="2305" width="22.85546875" style="523" customWidth="1"/>
    <col min="2306" max="2309" width="17" style="523" customWidth="1"/>
    <col min="2310" max="2558" width="9.140625" style="523" customWidth="1"/>
    <col min="2559" max="2559" width="22.85546875" style="523" customWidth="1"/>
    <col min="2560" max="2560" width="9.42578125" style="523"/>
    <col min="2561" max="2561" width="22.85546875" style="523" customWidth="1"/>
    <col min="2562" max="2565" width="17" style="523" customWidth="1"/>
    <col min="2566" max="2814" width="9.140625" style="523" customWidth="1"/>
    <col min="2815" max="2815" width="22.85546875" style="523" customWidth="1"/>
    <col min="2816" max="2816" width="9.42578125" style="523"/>
    <col min="2817" max="2817" width="22.85546875" style="523" customWidth="1"/>
    <col min="2818" max="2821" width="17" style="523" customWidth="1"/>
    <col min="2822" max="3070" width="9.140625" style="523" customWidth="1"/>
    <col min="3071" max="3071" width="22.85546875" style="523" customWidth="1"/>
    <col min="3072" max="3072" width="9.42578125" style="523"/>
    <col min="3073" max="3073" width="22.85546875" style="523" customWidth="1"/>
    <col min="3074" max="3077" width="17" style="523" customWidth="1"/>
    <col min="3078" max="3326" width="9.140625" style="523" customWidth="1"/>
    <col min="3327" max="3327" width="22.85546875" style="523" customWidth="1"/>
    <col min="3328" max="3328" width="9.42578125" style="523"/>
    <col min="3329" max="3329" width="22.85546875" style="523" customWidth="1"/>
    <col min="3330" max="3333" width="17" style="523" customWidth="1"/>
    <col min="3334" max="3582" width="9.140625" style="523" customWidth="1"/>
    <col min="3583" max="3583" width="22.85546875" style="523" customWidth="1"/>
    <col min="3584" max="3584" width="9.42578125" style="523"/>
    <col min="3585" max="3585" width="22.85546875" style="523" customWidth="1"/>
    <col min="3586" max="3589" width="17" style="523" customWidth="1"/>
    <col min="3590" max="3838" width="9.140625" style="523" customWidth="1"/>
    <col min="3839" max="3839" width="22.85546875" style="523" customWidth="1"/>
    <col min="3840" max="3840" width="9.42578125" style="523"/>
    <col min="3841" max="3841" width="22.85546875" style="523" customWidth="1"/>
    <col min="3842" max="3845" width="17" style="523" customWidth="1"/>
    <col min="3846" max="4094" width="9.140625" style="523" customWidth="1"/>
    <col min="4095" max="4095" width="22.85546875" style="523" customWidth="1"/>
    <col min="4096" max="4096" width="9.42578125" style="523"/>
    <col min="4097" max="4097" width="22.85546875" style="523" customWidth="1"/>
    <col min="4098" max="4101" width="17" style="523" customWidth="1"/>
    <col min="4102" max="4350" width="9.140625" style="523" customWidth="1"/>
    <col min="4351" max="4351" width="22.85546875" style="523" customWidth="1"/>
    <col min="4352" max="4352" width="9.42578125" style="523"/>
    <col min="4353" max="4353" width="22.85546875" style="523" customWidth="1"/>
    <col min="4354" max="4357" width="17" style="523" customWidth="1"/>
    <col min="4358" max="4606" width="9.140625" style="523" customWidth="1"/>
    <col min="4607" max="4607" width="22.85546875" style="523" customWidth="1"/>
    <col min="4608" max="4608" width="9.42578125" style="523"/>
    <col min="4609" max="4609" width="22.85546875" style="523" customWidth="1"/>
    <col min="4610" max="4613" width="17" style="523" customWidth="1"/>
    <col min="4614" max="4862" width="9.140625" style="523" customWidth="1"/>
    <col min="4863" max="4863" width="22.85546875" style="523" customWidth="1"/>
    <col min="4864" max="4864" width="9.42578125" style="523"/>
    <col min="4865" max="4865" width="22.85546875" style="523" customWidth="1"/>
    <col min="4866" max="4869" width="17" style="523" customWidth="1"/>
    <col min="4870" max="5118" width="9.140625" style="523" customWidth="1"/>
    <col min="5119" max="5119" width="22.85546875" style="523" customWidth="1"/>
    <col min="5120" max="5120" width="9.42578125" style="523"/>
    <col min="5121" max="5121" width="22.85546875" style="523" customWidth="1"/>
    <col min="5122" max="5125" width="17" style="523" customWidth="1"/>
    <col min="5126" max="5374" width="9.140625" style="523" customWidth="1"/>
    <col min="5375" max="5375" width="22.85546875" style="523" customWidth="1"/>
    <col min="5376" max="5376" width="9.42578125" style="523"/>
    <col min="5377" max="5377" width="22.85546875" style="523" customWidth="1"/>
    <col min="5378" max="5381" width="17" style="523" customWidth="1"/>
    <col min="5382" max="5630" width="9.140625" style="523" customWidth="1"/>
    <col min="5631" max="5631" width="22.85546875" style="523" customWidth="1"/>
    <col min="5632" max="5632" width="9.42578125" style="523"/>
    <col min="5633" max="5633" width="22.85546875" style="523" customWidth="1"/>
    <col min="5634" max="5637" width="17" style="523" customWidth="1"/>
    <col min="5638" max="5886" width="9.140625" style="523" customWidth="1"/>
    <col min="5887" max="5887" width="22.85546875" style="523" customWidth="1"/>
    <col min="5888" max="5888" width="9.42578125" style="523"/>
    <col min="5889" max="5889" width="22.85546875" style="523" customWidth="1"/>
    <col min="5890" max="5893" width="17" style="523" customWidth="1"/>
    <col min="5894" max="6142" width="9.140625" style="523" customWidth="1"/>
    <col min="6143" max="6143" width="22.85546875" style="523" customWidth="1"/>
    <col min="6144" max="6144" width="9.42578125" style="523"/>
    <col min="6145" max="6145" width="22.85546875" style="523" customWidth="1"/>
    <col min="6146" max="6149" width="17" style="523" customWidth="1"/>
    <col min="6150" max="6398" width="9.140625" style="523" customWidth="1"/>
    <col min="6399" max="6399" width="22.85546875" style="523" customWidth="1"/>
    <col min="6400" max="6400" width="9.42578125" style="523"/>
    <col min="6401" max="6401" width="22.85546875" style="523" customWidth="1"/>
    <col min="6402" max="6405" width="17" style="523" customWidth="1"/>
    <col min="6406" max="6654" width="9.140625" style="523" customWidth="1"/>
    <col min="6655" max="6655" width="22.85546875" style="523" customWidth="1"/>
    <col min="6656" max="6656" width="9.42578125" style="523"/>
    <col min="6657" max="6657" width="22.85546875" style="523" customWidth="1"/>
    <col min="6658" max="6661" width="17" style="523" customWidth="1"/>
    <col min="6662" max="6910" width="9.140625" style="523" customWidth="1"/>
    <col min="6911" max="6911" width="22.85546875" style="523" customWidth="1"/>
    <col min="6912" max="6912" width="9.42578125" style="523"/>
    <col min="6913" max="6913" width="22.85546875" style="523" customWidth="1"/>
    <col min="6914" max="6917" width="17" style="523" customWidth="1"/>
    <col min="6918" max="7166" width="9.140625" style="523" customWidth="1"/>
    <col min="7167" max="7167" width="22.85546875" style="523" customWidth="1"/>
    <col min="7168" max="7168" width="9.42578125" style="523"/>
    <col min="7169" max="7169" width="22.85546875" style="523" customWidth="1"/>
    <col min="7170" max="7173" width="17" style="523" customWidth="1"/>
    <col min="7174" max="7422" width="9.140625" style="523" customWidth="1"/>
    <col min="7423" max="7423" width="22.85546875" style="523" customWidth="1"/>
    <col min="7424" max="7424" width="9.42578125" style="523"/>
    <col min="7425" max="7425" width="22.85546875" style="523" customWidth="1"/>
    <col min="7426" max="7429" width="17" style="523" customWidth="1"/>
    <col min="7430" max="7678" width="9.140625" style="523" customWidth="1"/>
    <col min="7679" max="7679" width="22.85546875" style="523" customWidth="1"/>
    <col min="7680" max="7680" width="9.42578125" style="523"/>
    <col min="7681" max="7681" width="22.85546875" style="523" customWidth="1"/>
    <col min="7682" max="7685" width="17" style="523" customWidth="1"/>
    <col min="7686" max="7934" width="9.140625" style="523" customWidth="1"/>
    <col min="7935" max="7935" width="22.85546875" style="523" customWidth="1"/>
    <col min="7936" max="7936" width="9.42578125" style="523"/>
    <col min="7937" max="7937" width="22.85546875" style="523" customWidth="1"/>
    <col min="7938" max="7941" width="17" style="523" customWidth="1"/>
    <col min="7942" max="8190" width="9.140625" style="523" customWidth="1"/>
    <col min="8191" max="8191" width="22.85546875" style="523" customWidth="1"/>
    <col min="8192" max="8192" width="9.42578125" style="523"/>
    <col min="8193" max="8193" width="22.85546875" style="523" customWidth="1"/>
    <col min="8194" max="8197" width="17" style="523" customWidth="1"/>
    <col min="8198" max="8446" width="9.140625" style="523" customWidth="1"/>
    <col min="8447" max="8447" width="22.85546875" style="523" customWidth="1"/>
    <col min="8448" max="8448" width="9.42578125" style="523"/>
    <col min="8449" max="8449" width="22.85546875" style="523" customWidth="1"/>
    <col min="8450" max="8453" width="17" style="523" customWidth="1"/>
    <col min="8454" max="8702" width="9.140625" style="523" customWidth="1"/>
    <col min="8703" max="8703" width="22.85546875" style="523" customWidth="1"/>
    <col min="8704" max="8704" width="9.42578125" style="523"/>
    <col min="8705" max="8705" width="22.85546875" style="523" customWidth="1"/>
    <col min="8706" max="8709" width="17" style="523" customWidth="1"/>
    <col min="8710" max="8958" width="9.140625" style="523" customWidth="1"/>
    <col min="8959" max="8959" width="22.85546875" style="523" customWidth="1"/>
    <col min="8960" max="8960" width="9.42578125" style="523"/>
    <col min="8961" max="8961" width="22.85546875" style="523" customWidth="1"/>
    <col min="8962" max="8965" width="17" style="523" customWidth="1"/>
    <col min="8966" max="9214" width="9.140625" style="523" customWidth="1"/>
    <col min="9215" max="9215" width="22.85546875" style="523" customWidth="1"/>
    <col min="9216" max="9216" width="9.42578125" style="523"/>
    <col min="9217" max="9217" width="22.85546875" style="523" customWidth="1"/>
    <col min="9218" max="9221" width="17" style="523" customWidth="1"/>
    <col min="9222" max="9470" width="9.140625" style="523" customWidth="1"/>
    <col min="9471" max="9471" width="22.85546875" style="523" customWidth="1"/>
    <col min="9472" max="9472" width="9.42578125" style="523"/>
    <col min="9473" max="9473" width="22.85546875" style="523" customWidth="1"/>
    <col min="9474" max="9477" width="17" style="523" customWidth="1"/>
    <col min="9478" max="9726" width="9.140625" style="523" customWidth="1"/>
    <col min="9727" max="9727" width="22.85546875" style="523" customWidth="1"/>
    <col min="9728" max="9728" width="9.42578125" style="523"/>
    <col min="9729" max="9729" width="22.85546875" style="523" customWidth="1"/>
    <col min="9730" max="9733" width="17" style="523" customWidth="1"/>
    <col min="9734" max="9982" width="9.140625" style="523" customWidth="1"/>
    <col min="9983" max="9983" width="22.85546875" style="523" customWidth="1"/>
    <col min="9984" max="9984" width="9.42578125" style="523"/>
    <col min="9985" max="9985" width="22.85546875" style="523" customWidth="1"/>
    <col min="9986" max="9989" width="17" style="523" customWidth="1"/>
    <col min="9990" max="10238" width="9.140625" style="523" customWidth="1"/>
    <col min="10239" max="10239" width="22.85546875" style="523" customWidth="1"/>
    <col min="10240" max="10240" width="9.42578125" style="523"/>
    <col min="10241" max="10241" width="22.85546875" style="523" customWidth="1"/>
    <col min="10242" max="10245" width="17" style="523" customWidth="1"/>
    <col min="10246" max="10494" width="9.140625" style="523" customWidth="1"/>
    <col min="10495" max="10495" width="22.85546875" style="523" customWidth="1"/>
    <col min="10496" max="10496" width="9.42578125" style="523"/>
    <col min="10497" max="10497" width="22.85546875" style="523" customWidth="1"/>
    <col min="10498" max="10501" width="17" style="523" customWidth="1"/>
    <col min="10502" max="10750" width="9.140625" style="523" customWidth="1"/>
    <col min="10751" max="10751" width="22.85546875" style="523" customWidth="1"/>
    <col min="10752" max="10752" width="9.42578125" style="523"/>
    <col min="10753" max="10753" width="22.85546875" style="523" customWidth="1"/>
    <col min="10754" max="10757" width="17" style="523" customWidth="1"/>
    <col min="10758" max="11006" width="9.140625" style="523" customWidth="1"/>
    <col min="11007" max="11007" width="22.85546875" style="523" customWidth="1"/>
    <col min="11008" max="11008" width="9.42578125" style="523"/>
    <col min="11009" max="11009" width="22.85546875" style="523" customWidth="1"/>
    <col min="11010" max="11013" width="17" style="523" customWidth="1"/>
    <col min="11014" max="11262" width="9.140625" style="523" customWidth="1"/>
    <col min="11263" max="11263" width="22.85546875" style="523" customWidth="1"/>
    <col min="11264" max="11264" width="9.42578125" style="523"/>
    <col min="11265" max="11265" width="22.85546875" style="523" customWidth="1"/>
    <col min="11266" max="11269" width="17" style="523" customWidth="1"/>
    <col min="11270" max="11518" width="9.140625" style="523" customWidth="1"/>
    <col min="11519" max="11519" width="22.85546875" style="523" customWidth="1"/>
    <col min="11520" max="11520" width="9.42578125" style="523"/>
    <col min="11521" max="11521" width="22.85546875" style="523" customWidth="1"/>
    <col min="11522" max="11525" width="17" style="523" customWidth="1"/>
    <col min="11526" max="11774" width="9.140625" style="523" customWidth="1"/>
    <col min="11775" max="11775" width="22.85546875" style="523" customWidth="1"/>
    <col min="11776" max="11776" width="9.42578125" style="523"/>
    <col min="11777" max="11777" width="22.85546875" style="523" customWidth="1"/>
    <col min="11778" max="11781" width="17" style="523" customWidth="1"/>
    <col min="11782" max="12030" width="9.140625" style="523" customWidth="1"/>
    <col min="12031" max="12031" width="22.85546875" style="523" customWidth="1"/>
    <col min="12032" max="12032" width="9.42578125" style="523"/>
    <col min="12033" max="12033" width="22.85546875" style="523" customWidth="1"/>
    <col min="12034" max="12037" width="17" style="523" customWidth="1"/>
    <col min="12038" max="12286" width="9.140625" style="523" customWidth="1"/>
    <col min="12287" max="12287" width="22.85546875" style="523" customWidth="1"/>
    <col min="12288" max="12288" width="9.42578125" style="523"/>
    <col min="12289" max="12289" width="22.85546875" style="523" customWidth="1"/>
    <col min="12290" max="12293" width="17" style="523" customWidth="1"/>
    <col min="12294" max="12542" width="9.140625" style="523" customWidth="1"/>
    <col min="12543" max="12543" width="22.85546875" style="523" customWidth="1"/>
    <col min="12544" max="12544" width="9.42578125" style="523"/>
    <col min="12545" max="12545" width="22.85546875" style="523" customWidth="1"/>
    <col min="12546" max="12549" width="17" style="523" customWidth="1"/>
    <col min="12550" max="12798" width="9.140625" style="523" customWidth="1"/>
    <col min="12799" max="12799" width="22.85546875" style="523" customWidth="1"/>
    <col min="12800" max="12800" width="9.42578125" style="523"/>
    <col min="12801" max="12801" width="22.85546875" style="523" customWidth="1"/>
    <col min="12802" max="12805" width="17" style="523" customWidth="1"/>
    <col min="12806" max="13054" width="9.140625" style="523" customWidth="1"/>
    <col min="13055" max="13055" width="22.85546875" style="523" customWidth="1"/>
    <col min="13056" max="13056" width="9.42578125" style="523"/>
    <col min="13057" max="13057" width="22.85546875" style="523" customWidth="1"/>
    <col min="13058" max="13061" width="17" style="523" customWidth="1"/>
    <col min="13062" max="13310" width="9.140625" style="523" customWidth="1"/>
    <col min="13311" max="13311" width="22.85546875" style="523" customWidth="1"/>
    <col min="13312" max="13312" width="9.42578125" style="523"/>
    <col min="13313" max="13313" width="22.85546875" style="523" customWidth="1"/>
    <col min="13314" max="13317" width="17" style="523" customWidth="1"/>
    <col min="13318" max="13566" width="9.140625" style="523" customWidth="1"/>
    <col min="13567" max="13567" width="22.85546875" style="523" customWidth="1"/>
    <col min="13568" max="13568" width="9.42578125" style="523"/>
    <col min="13569" max="13569" width="22.85546875" style="523" customWidth="1"/>
    <col min="13570" max="13573" width="17" style="523" customWidth="1"/>
    <col min="13574" max="13822" width="9.140625" style="523" customWidth="1"/>
    <col min="13823" max="13823" width="22.85546875" style="523" customWidth="1"/>
    <col min="13824" max="13824" width="9.42578125" style="523"/>
    <col min="13825" max="13825" width="22.85546875" style="523" customWidth="1"/>
    <col min="13826" max="13829" width="17" style="523" customWidth="1"/>
    <col min="13830" max="14078" width="9.140625" style="523" customWidth="1"/>
    <col min="14079" max="14079" width="22.85546875" style="523" customWidth="1"/>
    <col min="14080" max="14080" width="9.42578125" style="523"/>
    <col min="14081" max="14081" width="22.85546875" style="523" customWidth="1"/>
    <col min="14082" max="14085" width="17" style="523" customWidth="1"/>
    <col min="14086" max="14334" width="9.140625" style="523" customWidth="1"/>
    <col min="14335" max="14335" width="22.85546875" style="523" customWidth="1"/>
    <col min="14336" max="14336" width="9.42578125" style="523"/>
    <col min="14337" max="14337" width="22.85546875" style="523" customWidth="1"/>
    <col min="14338" max="14341" width="17" style="523" customWidth="1"/>
    <col min="14342" max="14590" width="9.140625" style="523" customWidth="1"/>
    <col min="14591" max="14591" width="22.85546875" style="523" customWidth="1"/>
    <col min="14592" max="14592" width="9.42578125" style="523"/>
    <col min="14593" max="14593" width="22.85546875" style="523" customWidth="1"/>
    <col min="14594" max="14597" width="17" style="523" customWidth="1"/>
    <col min="14598" max="14846" width="9.140625" style="523" customWidth="1"/>
    <col min="14847" max="14847" width="22.85546875" style="523" customWidth="1"/>
    <col min="14848" max="14848" width="9.42578125" style="523"/>
    <col min="14849" max="14849" width="22.85546875" style="523" customWidth="1"/>
    <col min="14850" max="14853" width="17" style="523" customWidth="1"/>
    <col min="14854" max="15102" width="9.140625" style="523" customWidth="1"/>
    <col min="15103" max="15103" width="22.85546875" style="523" customWidth="1"/>
    <col min="15104" max="15104" width="9.42578125" style="523"/>
    <col min="15105" max="15105" width="22.85546875" style="523" customWidth="1"/>
    <col min="15106" max="15109" width="17" style="523" customWidth="1"/>
    <col min="15110" max="15358" width="9.140625" style="523" customWidth="1"/>
    <col min="15359" max="15359" width="22.85546875" style="523" customWidth="1"/>
    <col min="15360" max="15360" width="9.42578125" style="523"/>
    <col min="15361" max="15361" width="22.85546875" style="523" customWidth="1"/>
    <col min="15362" max="15365" width="17" style="523" customWidth="1"/>
    <col min="15366" max="15614" width="9.140625" style="523" customWidth="1"/>
    <col min="15615" max="15615" width="22.85546875" style="523" customWidth="1"/>
    <col min="15616" max="15616" width="9.42578125" style="523"/>
    <col min="15617" max="15617" width="22.85546875" style="523" customWidth="1"/>
    <col min="15618" max="15621" width="17" style="523" customWidth="1"/>
    <col min="15622" max="15870" width="9.140625" style="523" customWidth="1"/>
    <col min="15871" max="15871" width="22.85546875" style="523" customWidth="1"/>
    <col min="15872" max="15872" width="9.42578125" style="523"/>
    <col min="15873" max="15873" width="22.85546875" style="523" customWidth="1"/>
    <col min="15874" max="15877" width="17" style="523" customWidth="1"/>
    <col min="15878" max="16126" width="9.140625" style="523" customWidth="1"/>
    <col min="16127" max="16127" width="22.85546875" style="523" customWidth="1"/>
    <col min="16128" max="16128" width="9.42578125" style="523"/>
    <col min="16129" max="16129" width="22.85546875" style="523" customWidth="1"/>
    <col min="16130" max="16133" width="17" style="523" customWidth="1"/>
    <col min="16134" max="16382" width="9.140625" style="523" customWidth="1"/>
    <col min="16383" max="16383" width="22.85546875" style="523" customWidth="1"/>
    <col min="16384" max="16384" width="9.42578125" style="523"/>
  </cols>
  <sheetData>
    <row r="1" spans="1:7">
      <c r="C1" s="523" t="s">
        <v>1650</v>
      </c>
      <c r="G1" s="1383" t="s">
        <v>1020</v>
      </c>
    </row>
    <row r="4" spans="1:7" ht="16.5" customHeight="1"/>
    <row r="5" spans="1:7">
      <c r="A5" s="2402" t="s">
        <v>1649</v>
      </c>
      <c r="B5" s="2402"/>
      <c r="C5" s="2402"/>
      <c r="D5" s="2402"/>
      <c r="E5" s="2402"/>
    </row>
    <row r="6" spans="1:7">
      <c r="A6" s="2780" t="s">
        <v>1295</v>
      </c>
      <c r="B6" s="2780"/>
      <c r="C6" s="2780"/>
      <c r="D6" s="2780"/>
      <c r="E6" s="2780"/>
    </row>
    <row r="7" spans="1:7" ht="17.25" thickBot="1">
      <c r="A7" s="788"/>
      <c r="B7" s="618"/>
      <c r="C7" s="714"/>
      <c r="D7" s="617"/>
      <c r="E7" s="2299" t="s">
        <v>1263</v>
      </c>
    </row>
    <row r="8" spans="1:7" ht="17.25" thickTop="1">
      <c r="A8" s="2781" t="s">
        <v>1294</v>
      </c>
      <c r="B8" s="2784" t="s">
        <v>235</v>
      </c>
      <c r="C8" s="2787" t="s">
        <v>3</v>
      </c>
      <c r="D8" s="2790" t="s">
        <v>1637</v>
      </c>
      <c r="E8" s="2791"/>
    </row>
    <row r="9" spans="1:7">
      <c r="A9" s="2782"/>
      <c r="B9" s="2785"/>
      <c r="C9" s="2788"/>
      <c r="D9" s="2792"/>
      <c r="E9" s="2793"/>
    </row>
    <row r="10" spans="1:7">
      <c r="A10" s="2783"/>
      <c r="B10" s="2786"/>
      <c r="C10" s="2789"/>
      <c r="D10" s="757" t="s">
        <v>1</v>
      </c>
      <c r="E10" s="784" t="s">
        <v>4</v>
      </c>
    </row>
    <row r="11" spans="1:7" ht="17.25">
      <c r="A11" s="793" t="s">
        <v>1289</v>
      </c>
      <c r="B11" s="799"/>
      <c r="C11" s="798"/>
      <c r="D11" s="797"/>
      <c r="E11" s="796">
        <f>E22+E23</f>
        <v>65300000</v>
      </c>
    </row>
    <row r="12" spans="1:7">
      <c r="A12" s="773" t="s">
        <v>1648</v>
      </c>
      <c r="B12" s="769" t="s">
        <v>1287</v>
      </c>
      <c r="C12" s="549">
        <v>3500</v>
      </c>
      <c r="D12" s="772">
        <v>7000</v>
      </c>
      <c r="E12" s="771">
        <f>D12*C12</f>
        <v>24500000</v>
      </c>
    </row>
    <row r="13" spans="1:7">
      <c r="A13" s="773" t="s">
        <v>1286</v>
      </c>
      <c r="B13" s="769" t="s">
        <v>228</v>
      </c>
      <c r="C13" s="549">
        <v>450000</v>
      </c>
      <c r="D13" s="772">
        <v>10</v>
      </c>
      <c r="E13" s="771">
        <f>D13*C13</f>
        <v>4500000</v>
      </c>
    </row>
    <row r="14" spans="1:7">
      <c r="A14" s="773" t="s">
        <v>1285</v>
      </c>
      <c r="B14" s="769"/>
      <c r="C14" s="549"/>
      <c r="D14" s="772"/>
      <c r="E14" s="771">
        <f>SUM(E15:E18)</f>
        <v>4700000</v>
      </c>
    </row>
    <row r="15" spans="1:7">
      <c r="A15" s="779" t="s">
        <v>1284</v>
      </c>
      <c r="B15" s="769" t="s">
        <v>11</v>
      </c>
      <c r="C15" s="778">
        <v>10000</v>
      </c>
      <c r="D15" s="777">
        <v>65</v>
      </c>
      <c r="E15" s="776">
        <f t="shared" ref="E15:E21" si="0">D15*C15</f>
        <v>650000</v>
      </c>
    </row>
    <row r="16" spans="1:7">
      <c r="A16" s="779" t="s">
        <v>1283</v>
      </c>
      <c r="B16" s="769" t="s">
        <v>11</v>
      </c>
      <c r="C16" s="778">
        <v>3000</v>
      </c>
      <c r="D16" s="777">
        <v>140</v>
      </c>
      <c r="E16" s="776">
        <f t="shared" si="0"/>
        <v>420000</v>
      </c>
    </row>
    <row r="17" spans="1:5">
      <c r="A17" s="779" t="s">
        <v>1282</v>
      </c>
      <c r="B17" s="769" t="s">
        <v>11</v>
      </c>
      <c r="C17" s="778">
        <v>15000</v>
      </c>
      <c r="D17" s="777">
        <v>42</v>
      </c>
      <c r="E17" s="776">
        <f t="shared" si="0"/>
        <v>630000</v>
      </c>
    </row>
    <row r="18" spans="1:5">
      <c r="A18" s="779" t="s">
        <v>1347</v>
      </c>
      <c r="B18" s="769" t="s">
        <v>11</v>
      </c>
      <c r="C18" s="778">
        <v>10000</v>
      </c>
      <c r="D18" s="777">
        <v>300</v>
      </c>
      <c r="E18" s="776">
        <f t="shared" si="0"/>
        <v>3000000</v>
      </c>
    </row>
    <row r="19" spans="1:5">
      <c r="A19" s="773" t="s">
        <v>1280</v>
      </c>
      <c r="B19" s="769" t="s">
        <v>11</v>
      </c>
      <c r="C19" s="549">
        <v>1000</v>
      </c>
      <c r="D19" s="772">
        <v>100</v>
      </c>
      <c r="E19" s="771">
        <f t="shared" si="0"/>
        <v>100000</v>
      </c>
    </row>
    <row r="20" spans="1:5">
      <c r="A20" s="773" t="s">
        <v>1647</v>
      </c>
      <c r="B20" s="769" t="s">
        <v>513</v>
      </c>
      <c r="C20" s="549">
        <v>200000</v>
      </c>
      <c r="D20" s="772">
        <v>25</v>
      </c>
      <c r="E20" s="771">
        <f t="shared" si="0"/>
        <v>5000000</v>
      </c>
    </row>
    <row r="21" spans="1:5">
      <c r="A21" s="773" t="s">
        <v>1278</v>
      </c>
      <c r="B21" s="769" t="s">
        <v>511</v>
      </c>
      <c r="C21" s="549">
        <v>250000</v>
      </c>
      <c r="D21" s="772">
        <v>90</v>
      </c>
      <c r="E21" s="771">
        <f t="shared" si="0"/>
        <v>22500000</v>
      </c>
    </row>
    <row r="22" spans="1:5" ht="17.25">
      <c r="A22" s="793" t="s">
        <v>1277</v>
      </c>
      <c r="B22" s="795"/>
      <c r="C22" s="794"/>
      <c r="D22" s="791"/>
      <c r="E22" s="790">
        <f>SUM(E12:E14)+SUM(E19:E21)</f>
        <v>61300000</v>
      </c>
    </row>
    <row r="23" spans="1:5">
      <c r="A23" s="773" t="s">
        <v>1276</v>
      </c>
      <c r="B23" s="769" t="s">
        <v>1645</v>
      </c>
      <c r="C23" s="549"/>
      <c r="D23" s="772"/>
      <c r="E23" s="771">
        <f>50000000*8%</f>
        <v>4000000</v>
      </c>
    </row>
    <row r="24" spans="1:5" ht="17.25">
      <c r="A24" s="793" t="s">
        <v>1275</v>
      </c>
      <c r="B24" s="795"/>
      <c r="C24" s="794"/>
      <c r="D24" s="791"/>
      <c r="E24" s="790">
        <f>E27</f>
        <v>156000000</v>
      </c>
    </row>
    <row r="25" spans="1:5">
      <c r="A25" s="773" t="s">
        <v>1340</v>
      </c>
      <c r="B25" s="769" t="s">
        <v>11</v>
      </c>
      <c r="C25" s="549"/>
      <c r="D25" s="772">
        <v>12000</v>
      </c>
      <c r="E25" s="771"/>
    </row>
    <row r="26" spans="1:5">
      <c r="A26" s="773" t="s">
        <v>1646</v>
      </c>
      <c r="B26" s="769" t="s">
        <v>1273</v>
      </c>
      <c r="C26" s="549"/>
      <c r="D26" s="772"/>
      <c r="E26" s="771"/>
    </row>
    <row r="27" spans="1:5">
      <c r="A27" s="773" t="s">
        <v>1641</v>
      </c>
      <c r="B27" s="769" t="s">
        <v>1645</v>
      </c>
      <c r="C27" s="549">
        <v>13000</v>
      </c>
      <c r="D27" s="772"/>
      <c r="E27" s="771">
        <f>D25*C27</f>
        <v>156000000</v>
      </c>
    </row>
    <row r="28" spans="1:5">
      <c r="A28" s="793" t="s">
        <v>1271</v>
      </c>
      <c r="B28" s="769" t="s">
        <v>1645</v>
      </c>
      <c r="C28" s="792"/>
      <c r="D28" s="791"/>
      <c r="E28" s="790">
        <f>E24-E11</f>
        <v>90700000</v>
      </c>
    </row>
    <row r="29" spans="1:5" ht="17.25" thickBot="1">
      <c r="A29" s="789" t="s">
        <v>1269</v>
      </c>
      <c r="B29" s="586" t="s">
        <v>90</v>
      </c>
      <c r="C29" s="765"/>
      <c r="D29" s="764"/>
      <c r="E29" s="622">
        <f>E28/E24</f>
        <v>0.58141025641025645</v>
      </c>
    </row>
    <row r="30" spans="1:5" ht="18" thickTop="1">
      <c r="A30" s="524" t="s">
        <v>1268</v>
      </c>
      <c r="E30" s="717"/>
    </row>
    <row r="31" spans="1:5">
      <c r="A31" s="617" t="s">
        <v>1644</v>
      </c>
      <c r="B31" s="618"/>
      <c r="C31" s="714"/>
      <c r="D31" s="617"/>
      <c r="E31" s="617"/>
    </row>
    <row r="32" spans="1:5">
      <c r="A32" s="617" t="s">
        <v>1310</v>
      </c>
      <c r="B32" s="618"/>
      <c r="C32" s="714"/>
      <c r="D32" s="617"/>
      <c r="E32" s="617"/>
    </row>
    <row r="33" spans="1:5">
      <c r="A33" s="617" t="s">
        <v>1613</v>
      </c>
      <c r="B33" s="618"/>
      <c r="C33" s="714"/>
      <c r="D33" s="617"/>
      <c r="E33" s="617"/>
    </row>
  </sheetData>
  <mergeCells count="6">
    <mergeCell ref="A5:E5"/>
    <mergeCell ref="A6:E6"/>
    <mergeCell ref="A8:A10"/>
    <mergeCell ref="B8:B10"/>
    <mergeCell ref="C8:C10"/>
    <mergeCell ref="D8:E9"/>
  </mergeCells>
  <pageMargins left="1" right="0.23" top="0.75" bottom="0.75" header="0.5" footer="0.5"/>
  <pageSetup paperSize="9" orientation="portrait" r:id="rId1"/>
  <headerFooter>
    <oddFooter>&amp;CTrang</oddFooter>
  </headerFooter>
  <drawing r:id="rId2"/>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O31"/>
  <sheetViews>
    <sheetView zoomScaleNormal="100" workbookViewId="0">
      <selection activeCell="H20" sqref="H20"/>
    </sheetView>
  </sheetViews>
  <sheetFormatPr defaultRowHeight="16.5"/>
  <cols>
    <col min="1" max="1" width="20.7109375" style="525" customWidth="1"/>
    <col min="2" max="2" width="6.42578125" style="525" bestFit="1" customWidth="1"/>
    <col min="3" max="3" width="13.140625" style="526" bestFit="1" customWidth="1"/>
    <col min="4" max="4" width="8" style="525" bestFit="1" customWidth="1"/>
    <col min="5" max="5" width="15" style="525" bestFit="1" customWidth="1"/>
    <col min="6" max="6" width="8" style="525" bestFit="1" customWidth="1"/>
    <col min="7" max="7" width="13.7109375" style="525" bestFit="1" customWidth="1"/>
    <col min="8" max="8" width="8" style="525" bestFit="1" customWidth="1"/>
    <col min="9" max="9" width="13.7109375" style="525" bestFit="1" customWidth="1"/>
    <col min="10" max="10" width="8" style="525" bestFit="1" customWidth="1"/>
    <col min="11" max="11" width="14.140625" style="525" bestFit="1" customWidth="1"/>
    <col min="12" max="12" width="8" style="525" bestFit="1" customWidth="1"/>
    <col min="13" max="13" width="14.140625" style="525" bestFit="1" customWidth="1"/>
    <col min="14" max="14" width="15.140625" style="525" bestFit="1" customWidth="1"/>
    <col min="15" max="15" width="11.140625" style="525" bestFit="1" customWidth="1"/>
    <col min="16" max="256" width="9.140625" style="525"/>
    <col min="257" max="257" width="20.7109375" style="525" customWidth="1"/>
    <col min="258" max="258" width="6.42578125" style="525" bestFit="1" customWidth="1"/>
    <col min="259" max="259" width="11.5703125" style="525" bestFit="1" customWidth="1"/>
    <col min="260" max="260" width="7.85546875" style="525" bestFit="1" customWidth="1"/>
    <col min="261" max="261" width="13.28515625" style="525" bestFit="1" customWidth="1"/>
    <col min="262" max="262" width="7.85546875" style="525" bestFit="1" customWidth="1"/>
    <col min="263" max="263" width="12" style="525" bestFit="1" customWidth="1"/>
    <col min="264" max="264" width="7.85546875" style="525" bestFit="1" customWidth="1"/>
    <col min="265" max="265" width="13.28515625" style="525" bestFit="1" customWidth="1"/>
    <col min="266" max="266" width="7.85546875" style="525" bestFit="1" customWidth="1"/>
    <col min="267" max="267" width="13.28515625" style="525" bestFit="1" customWidth="1"/>
    <col min="268" max="268" width="7.85546875" style="525" bestFit="1" customWidth="1"/>
    <col min="269" max="269" width="13.28515625" style="525" bestFit="1" customWidth="1"/>
    <col min="270" max="270" width="15" style="525" bestFit="1" customWidth="1"/>
    <col min="271" max="271" width="11.140625" style="525" bestFit="1" customWidth="1"/>
    <col min="272" max="512" width="9.140625" style="525"/>
    <col min="513" max="513" width="20.7109375" style="525" customWidth="1"/>
    <col min="514" max="514" width="6.42578125" style="525" bestFit="1" customWidth="1"/>
    <col min="515" max="515" width="11.5703125" style="525" bestFit="1" customWidth="1"/>
    <col min="516" max="516" width="7.85546875" style="525" bestFit="1" customWidth="1"/>
    <col min="517" max="517" width="13.28515625" style="525" bestFit="1" customWidth="1"/>
    <col min="518" max="518" width="7.85546875" style="525" bestFit="1" customWidth="1"/>
    <col min="519" max="519" width="12" style="525" bestFit="1" customWidth="1"/>
    <col min="520" max="520" width="7.85546875" style="525" bestFit="1" customWidth="1"/>
    <col min="521" max="521" width="13.28515625" style="525" bestFit="1" customWidth="1"/>
    <col min="522" max="522" width="7.85546875" style="525" bestFit="1" customWidth="1"/>
    <col min="523" max="523" width="13.28515625" style="525" bestFit="1" customWidth="1"/>
    <col min="524" max="524" width="7.85546875" style="525" bestFit="1" customWidth="1"/>
    <col min="525" max="525" width="13.28515625" style="525" bestFit="1" customWidth="1"/>
    <col min="526" max="526" width="15" style="525" bestFit="1" customWidth="1"/>
    <col min="527" max="527" width="11.140625" style="525" bestFit="1" customWidth="1"/>
    <col min="528" max="768" width="9.140625" style="525"/>
    <col min="769" max="769" width="20.7109375" style="525" customWidth="1"/>
    <col min="770" max="770" width="6.42578125" style="525" bestFit="1" customWidth="1"/>
    <col min="771" max="771" width="11.5703125" style="525" bestFit="1" customWidth="1"/>
    <col min="772" max="772" width="7.85546875" style="525" bestFit="1" customWidth="1"/>
    <col min="773" max="773" width="13.28515625" style="525" bestFit="1" customWidth="1"/>
    <col min="774" max="774" width="7.85546875" style="525" bestFit="1" customWidth="1"/>
    <col min="775" max="775" width="12" style="525" bestFit="1" customWidth="1"/>
    <col min="776" max="776" width="7.85546875" style="525" bestFit="1" customWidth="1"/>
    <col min="777" max="777" width="13.28515625" style="525" bestFit="1" customWidth="1"/>
    <col min="778" max="778" width="7.85546875" style="525" bestFit="1" customWidth="1"/>
    <col min="779" max="779" width="13.28515625" style="525" bestFit="1" customWidth="1"/>
    <col min="780" max="780" width="7.85546875" style="525" bestFit="1" customWidth="1"/>
    <col min="781" max="781" width="13.28515625" style="525" bestFit="1" customWidth="1"/>
    <col min="782" max="782" width="15" style="525" bestFit="1" customWidth="1"/>
    <col min="783" max="783" width="11.140625" style="525" bestFit="1" customWidth="1"/>
    <col min="784" max="1024" width="9.140625" style="525"/>
    <col min="1025" max="1025" width="20.7109375" style="525" customWidth="1"/>
    <col min="1026" max="1026" width="6.42578125" style="525" bestFit="1" customWidth="1"/>
    <col min="1027" max="1027" width="11.5703125" style="525" bestFit="1" customWidth="1"/>
    <col min="1028" max="1028" width="7.85546875" style="525" bestFit="1" customWidth="1"/>
    <col min="1029" max="1029" width="13.28515625" style="525" bestFit="1" customWidth="1"/>
    <col min="1030" max="1030" width="7.85546875" style="525" bestFit="1" customWidth="1"/>
    <col min="1031" max="1031" width="12" style="525" bestFit="1" customWidth="1"/>
    <col min="1032" max="1032" width="7.85546875" style="525" bestFit="1" customWidth="1"/>
    <col min="1033" max="1033" width="13.28515625" style="525" bestFit="1" customWidth="1"/>
    <col min="1034" max="1034" width="7.85546875" style="525" bestFit="1" customWidth="1"/>
    <col min="1035" max="1035" width="13.28515625" style="525" bestFit="1" customWidth="1"/>
    <col min="1036" max="1036" width="7.85546875" style="525" bestFit="1" customWidth="1"/>
    <col min="1037" max="1037" width="13.28515625" style="525" bestFit="1" customWidth="1"/>
    <col min="1038" max="1038" width="15" style="525" bestFit="1" customWidth="1"/>
    <col min="1039" max="1039" width="11.140625" style="525" bestFit="1" customWidth="1"/>
    <col min="1040" max="1280" width="9.140625" style="525"/>
    <col min="1281" max="1281" width="20.7109375" style="525" customWidth="1"/>
    <col min="1282" max="1282" width="6.42578125" style="525" bestFit="1" customWidth="1"/>
    <col min="1283" max="1283" width="11.5703125" style="525" bestFit="1" customWidth="1"/>
    <col min="1284" max="1284" width="7.85546875" style="525" bestFit="1" customWidth="1"/>
    <col min="1285" max="1285" width="13.28515625" style="525" bestFit="1" customWidth="1"/>
    <col min="1286" max="1286" width="7.85546875" style="525" bestFit="1" customWidth="1"/>
    <col min="1287" max="1287" width="12" style="525" bestFit="1" customWidth="1"/>
    <col min="1288" max="1288" width="7.85546875" style="525" bestFit="1" customWidth="1"/>
    <col min="1289" max="1289" width="13.28515625" style="525" bestFit="1" customWidth="1"/>
    <col min="1290" max="1290" width="7.85546875" style="525" bestFit="1" customWidth="1"/>
    <col min="1291" max="1291" width="13.28515625" style="525" bestFit="1" customWidth="1"/>
    <col min="1292" max="1292" width="7.85546875" style="525" bestFit="1" customWidth="1"/>
    <col min="1293" max="1293" width="13.28515625" style="525" bestFit="1" customWidth="1"/>
    <col min="1294" max="1294" width="15" style="525" bestFit="1" customWidth="1"/>
    <col min="1295" max="1295" width="11.140625" style="525" bestFit="1" customWidth="1"/>
    <col min="1296" max="1536" width="9.140625" style="525"/>
    <col min="1537" max="1537" width="20.7109375" style="525" customWidth="1"/>
    <col min="1538" max="1538" width="6.42578125" style="525" bestFit="1" customWidth="1"/>
    <col min="1539" max="1539" width="11.5703125" style="525" bestFit="1" customWidth="1"/>
    <col min="1540" max="1540" width="7.85546875" style="525" bestFit="1" customWidth="1"/>
    <col min="1541" max="1541" width="13.28515625" style="525" bestFit="1" customWidth="1"/>
    <col min="1542" max="1542" width="7.85546875" style="525" bestFit="1" customWidth="1"/>
    <col min="1543" max="1543" width="12" style="525" bestFit="1" customWidth="1"/>
    <col min="1544" max="1544" width="7.85546875" style="525" bestFit="1" customWidth="1"/>
    <col min="1545" max="1545" width="13.28515625" style="525" bestFit="1" customWidth="1"/>
    <col min="1546" max="1546" width="7.85546875" style="525" bestFit="1" customWidth="1"/>
    <col min="1547" max="1547" width="13.28515625" style="525" bestFit="1" customWidth="1"/>
    <col min="1548" max="1548" width="7.85546875" style="525" bestFit="1" customWidth="1"/>
    <col min="1549" max="1549" width="13.28515625" style="525" bestFit="1" customWidth="1"/>
    <col min="1550" max="1550" width="15" style="525" bestFit="1" customWidth="1"/>
    <col min="1551" max="1551" width="11.140625" style="525" bestFit="1" customWidth="1"/>
    <col min="1552" max="1792" width="9.140625" style="525"/>
    <col min="1793" max="1793" width="20.7109375" style="525" customWidth="1"/>
    <col min="1794" max="1794" width="6.42578125" style="525" bestFit="1" customWidth="1"/>
    <col min="1795" max="1795" width="11.5703125" style="525" bestFit="1" customWidth="1"/>
    <col min="1796" max="1796" width="7.85546875" style="525" bestFit="1" customWidth="1"/>
    <col min="1797" max="1797" width="13.28515625" style="525" bestFit="1" customWidth="1"/>
    <col min="1798" max="1798" width="7.85546875" style="525" bestFit="1" customWidth="1"/>
    <col min="1799" max="1799" width="12" style="525" bestFit="1" customWidth="1"/>
    <col min="1800" max="1800" width="7.85546875" style="525" bestFit="1" customWidth="1"/>
    <col min="1801" max="1801" width="13.28515625" style="525" bestFit="1" customWidth="1"/>
    <col min="1802" max="1802" width="7.85546875" style="525" bestFit="1" customWidth="1"/>
    <col min="1803" max="1803" width="13.28515625" style="525" bestFit="1" customWidth="1"/>
    <col min="1804" max="1804" width="7.85546875" style="525" bestFit="1" customWidth="1"/>
    <col min="1805" max="1805" width="13.28515625" style="525" bestFit="1" customWidth="1"/>
    <col min="1806" max="1806" width="15" style="525" bestFit="1" customWidth="1"/>
    <col min="1807" max="1807" width="11.140625" style="525" bestFit="1" customWidth="1"/>
    <col min="1808" max="2048" width="9.140625" style="525"/>
    <col min="2049" max="2049" width="20.7109375" style="525" customWidth="1"/>
    <col min="2050" max="2050" width="6.42578125" style="525" bestFit="1" customWidth="1"/>
    <col min="2051" max="2051" width="11.5703125" style="525" bestFit="1" customWidth="1"/>
    <col min="2052" max="2052" width="7.85546875" style="525" bestFit="1" customWidth="1"/>
    <col min="2053" max="2053" width="13.28515625" style="525" bestFit="1" customWidth="1"/>
    <col min="2054" max="2054" width="7.85546875" style="525" bestFit="1" customWidth="1"/>
    <col min="2055" max="2055" width="12" style="525" bestFit="1" customWidth="1"/>
    <col min="2056" max="2056" width="7.85546875" style="525" bestFit="1" customWidth="1"/>
    <col min="2057" max="2057" width="13.28515625" style="525" bestFit="1" customWidth="1"/>
    <col min="2058" max="2058" width="7.85546875" style="525" bestFit="1" customWidth="1"/>
    <col min="2059" max="2059" width="13.28515625" style="525" bestFit="1" customWidth="1"/>
    <col min="2060" max="2060" width="7.85546875" style="525" bestFit="1" customWidth="1"/>
    <col min="2061" max="2061" width="13.28515625" style="525" bestFit="1" customWidth="1"/>
    <col min="2062" max="2062" width="15" style="525" bestFit="1" customWidth="1"/>
    <col min="2063" max="2063" width="11.140625" style="525" bestFit="1" customWidth="1"/>
    <col min="2064" max="2304" width="9.140625" style="525"/>
    <col min="2305" max="2305" width="20.7109375" style="525" customWidth="1"/>
    <col min="2306" max="2306" width="6.42578125" style="525" bestFit="1" customWidth="1"/>
    <col min="2307" max="2307" width="11.5703125" style="525" bestFit="1" customWidth="1"/>
    <col min="2308" max="2308" width="7.85546875" style="525" bestFit="1" customWidth="1"/>
    <col min="2309" max="2309" width="13.28515625" style="525" bestFit="1" customWidth="1"/>
    <col min="2310" max="2310" width="7.85546875" style="525" bestFit="1" customWidth="1"/>
    <col min="2311" max="2311" width="12" style="525" bestFit="1" customWidth="1"/>
    <col min="2312" max="2312" width="7.85546875" style="525" bestFit="1" customWidth="1"/>
    <col min="2313" max="2313" width="13.28515625" style="525" bestFit="1" customWidth="1"/>
    <col min="2314" max="2314" width="7.85546875" style="525" bestFit="1" customWidth="1"/>
    <col min="2315" max="2315" width="13.28515625" style="525" bestFit="1" customWidth="1"/>
    <col min="2316" max="2316" width="7.85546875" style="525" bestFit="1" customWidth="1"/>
    <col min="2317" max="2317" width="13.28515625" style="525" bestFit="1" customWidth="1"/>
    <col min="2318" max="2318" width="15" style="525" bestFit="1" customWidth="1"/>
    <col min="2319" max="2319" width="11.140625" style="525" bestFit="1" customWidth="1"/>
    <col min="2320" max="2560" width="9.140625" style="525"/>
    <col min="2561" max="2561" width="20.7109375" style="525" customWidth="1"/>
    <col min="2562" max="2562" width="6.42578125" style="525" bestFit="1" customWidth="1"/>
    <col min="2563" max="2563" width="11.5703125" style="525" bestFit="1" customWidth="1"/>
    <col min="2564" max="2564" width="7.85546875" style="525" bestFit="1" customWidth="1"/>
    <col min="2565" max="2565" width="13.28515625" style="525" bestFit="1" customWidth="1"/>
    <col min="2566" max="2566" width="7.85546875" style="525" bestFit="1" customWidth="1"/>
    <col min="2567" max="2567" width="12" style="525" bestFit="1" customWidth="1"/>
    <col min="2568" max="2568" width="7.85546875" style="525" bestFit="1" customWidth="1"/>
    <col min="2569" max="2569" width="13.28515625" style="525" bestFit="1" customWidth="1"/>
    <col min="2570" max="2570" width="7.85546875" style="525" bestFit="1" customWidth="1"/>
    <col min="2571" max="2571" width="13.28515625" style="525" bestFit="1" customWidth="1"/>
    <col min="2572" max="2572" width="7.85546875" style="525" bestFit="1" customWidth="1"/>
    <col min="2573" max="2573" width="13.28515625" style="525" bestFit="1" customWidth="1"/>
    <col min="2574" max="2574" width="15" style="525" bestFit="1" customWidth="1"/>
    <col min="2575" max="2575" width="11.140625" style="525" bestFit="1" customWidth="1"/>
    <col min="2576" max="2816" width="9.140625" style="525"/>
    <col min="2817" max="2817" width="20.7109375" style="525" customWidth="1"/>
    <col min="2818" max="2818" width="6.42578125" style="525" bestFit="1" customWidth="1"/>
    <col min="2819" max="2819" width="11.5703125" style="525" bestFit="1" customWidth="1"/>
    <col min="2820" max="2820" width="7.85546875" style="525" bestFit="1" customWidth="1"/>
    <col min="2821" max="2821" width="13.28515625" style="525" bestFit="1" customWidth="1"/>
    <col min="2822" max="2822" width="7.85546875" style="525" bestFit="1" customWidth="1"/>
    <col min="2823" max="2823" width="12" style="525" bestFit="1" customWidth="1"/>
    <col min="2824" max="2824" width="7.85546875" style="525" bestFit="1" customWidth="1"/>
    <col min="2825" max="2825" width="13.28515625" style="525" bestFit="1" customWidth="1"/>
    <col min="2826" max="2826" width="7.85546875" style="525" bestFit="1" customWidth="1"/>
    <col min="2827" max="2827" width="13.28515625" style="525" bestFit="1" customWidth="1"/>
    <col min="2828" max="2828" width="7.85546875" style="525" bestFit="1" customWidth="1"/>
    <col min="2829" max="2829" width="13.28515625" style="525" bestFit="1" customWidth="1"/>
    <col min="2830" max="2830" width="15" style="525" bestFit="1" customWidth="1"/>
    <col min="2831" max="2831" width="11.140625" style="525" bestFit="1" customWidth="1"/>
    <col min="2832" max="3072" width="9.140625" style="525"/>
    <col min="3073" max="3073" width="20.7109375" style="525" customWidth="1"/>
    <col min="3074" max="3074" width="6.42578125" style="525" bestFit="1" customWidth="1"/>
    <col min="3075" max="3075" width="11.5703125" style="525" bestFit="1" customWidth="1"/>
    <col min="3076" max="3076" width="7.85546875" style="525" bestFit="1" customWidth="1"/>
    <col min="3077" max="3077" width="13.28515625" style="525" bestFit="1" customWidth="1"/>
    <col min="3078" max="3078" width="7.85546875" style="525" bestFit="1" customWidth="1"/>
    <col min="3079" max="3079" width="12" style="525" bestFit="1" customWidth="1"/>
    <col min="3080" max="3080" width="7.85546875" style="525" bestFit="1" customWidth="1"/>
    <col min="3081" max="3081" width="13.28515625" style="525" bestFit="1" customWidth="1"/>
    <col min="3082" max="3082" width="7.85546875" style="525" bestFit="1" customWidth="1"/>
    <col min="3083" max="3083" width="13.28515625" style="525" bestFit="1" customWidth="1"/>
    <col min="3084" max="3084" width="7.85546875" style="525" bestFit="1" customWidth="1"/>
    <col min="3085" max="3085" width="13.28515625" style="525" bestFit="1" customWidth="1"/>
    <col min="3086" max="3086" width="15" style="525" bestFit="1" customWidth="1"/>
    <col min="3087" max="3087" width="11.140625" style="525" bestFit="1" customWidth="1"/>
    <col min="3088" max="3328" width="9.140625" style="525"/>
    <col min="3329" max="3329" width="20.7109375" style="525" customWidth="1"/>
    <col min="3330" max="3330" width="6.42578125" style="525" bestFit="1" customWidth="1"/>
    <col min="3331" max="3331" width="11.5703125" style="525" bestFit="1" customWidth="1"/>
    <col min="3332" max="3332" width="7.85546875" style="525" bestFit="1" customWidth="1"/>
    <col min="3333" max="3333" width="13.28515625" style="525" bestFit="1" customWidth="1"/>
    <col min="3334" max="3334" width="7.85546875" style="525" bestFit="1" customWidth="1"/>
    <col min="3335" max="3335" width="12" style="525" bestFit="1" customWidth="1"/>
    <col min="3336" max="3336" width="7.85546875" style="525" bestFit="1" customWidth="1"/>
    <col min="3337" max="3337" width="13.28515625" style="525" bestFit="1" customWidth="1"/>
    <col min="3338" max="3338" width="7.85546875" style="525" bestFit="1" customWidth="1"/>
    <col min="3339" max="3339" width="13.28515625" style="525" bestFit="1" customWidth="1"/>
    <col min="3340" max="3340" width="7.85546875" style="525" bestFit="1" customWidth="1"/>
    <col min="3341" max="3341" width="13.28515625" style="525" bestFit="1" customWidth="1"/>
    <col min="3342" max="3342" width="15" style="525" bestFit="1" customWidth="1"/>
    <col min="3343" max="3343" width="11.140625" style="525" bestFit="1" customWidth="1"/>
    <col min="3344" max="3584" width="9.140625" style="525"/>
    <col min="3585" max="3585" width="20.7109375" style="525" customWidth="1"/>
    <col min="3586" max="3586" width="6.42578125" style="525" bestFit="1" customWidth="1"/>
    <col min="3587" max="3587" width="11.5703125" style="525" bestFit="1" customWidth="1"/>
    <col min="3588" max="3588" width="7.85546875" style="525" bestFit="1" customWidth="1"/>
    <col min="3589" max="3589" width="13.28515625" style="525" bestFit="1" customWidth="1"/>
    <col min="3590" max="3590" width="7.85546875" style="525" bestFit="1" customWidth="1"/>
    <col min="3591" max="3591" width="12" style="525" bestFit="1" customWidth="1"/>
    <col min="3592" max="3592" width="7.85546875" style="525" bestFit="1" customWidth="1"/>
    <col min="3593" max="3593" width="13.28515625" style="525" bestFit="1" customWidth="1"/>
    <col min="3594" max="3594" width="7.85546875" style="525" bestFit="1" customWidth="1"/>
    <col min="3595" max="3595" width="13.28515625" style="525" bestFit="1" customWidth="1"/>
    <col min="3596" max="3596" width="7.85546875" style="525" bestFit="1" customWidth="1"/>
    <col min="3597" max="3597" width="13.28515625" style="525" bestFit="1" customWidth="1"/>
    <col min="3598" max="3598" width="15" style="525" bestFit="1" customWidth="1"/>
    <col min="3599" max="3599" width="11.140625" style="525" bestFit="1" customWidth="1"/>
    <col min="3600" max="3840" width="9.140625" style="525"/>
    <col min="3841" max="3841" width="20.7109375" style="525" customWidth="1"/>
    <col min="3842" max="3842" width="6.42578125" style="525" bestFit="1" customWidth="1"/>
    <col min="3843" max="3843" width="11.5703125" style="525" bestFit="1" customWidth="1"/>
    <col min="3844" max="3844" width="7.85546875" style="525" bestFit="1" customWidth="1"/>
    <col min="3845" max="3845" width="13.28515625" style="525" bestFit="1" customWidth="1"/>
    <col min="3846" max="3846" width="7.85546875" style="525" bestFit="1" customWidth="1"/>
    <col min="3847" max="3847" width="12" style="525" bestFit="1" customWidth="1"/>
    <col min="3848" max="3848" width="7.85546875" style="525" bestFit="1" customWidth="1"/>
    <col min="3849" max="3849" width="13.28515625" style="525" bestFit="1" customWidth="1"/>
    <col min="3850" max="3850" width="7.85546875" style="525" bestFit="1" customWidth="1"/>
    <col min="3851" max="3851" width="13.28515625" style="525" bestFit="1" customWidth="1"/>
    <col min="3852" max="3852" width="7.85546875" style="525" bestFit="1" customWidth="1"/>
    <col min="3853" max="3853" width="13.28515625" style="525" bestFit="1" customWidth="1"/>
    <col min="3854" max="3854" width="15" style="525" bestFit="1" customWidth="1"/>
    <col min="3855" max="3855" width="11.140625" style="525" bestFit="1" customWidth="1"/>
    <col min="3856" max="4096" width="9.140625" style="525"/>
    <col min="4097" max="4097" width="20.7109375" style="525" customWidth="1"/>
    <col min="4098" max="4098" width="6.42578125" style="525" bestFit="1" customWidth="1"/>
    <col min="4099" max="4099" width="11.5703125" style="525" bestFit="1" customWidth="1"/>
    <col min="4100" max="4100" width="7.85546875" style="525" bestFit="1" customWidth="1"/>
    <col min="4101" max="4101" width="13.28515625" style="525" bestFit="1" customWidth="1"/>
    <col min="4102" max="4102" width="7.85546875" style="525" bestFit="1" customWidth="1"/>
    <col min="4103" max="4103" width="12" style="525" bestFit="1" customWidth="1"/>
    <col min="4104" max="4104" width="7.85546875" style="525" bestFit="1" customWidth="1"/>
    <col min="4105" max="4105" width="13.28515625" style="525" bestFit="1" customWidth="1"/>
    <col min="4106" max="4106" width="7.85546875" style="525" bestFit="1" customWidth="1"/>
    <col min="4107" max="4107" width="13.28515625" style="525" bestFit="1" customWidth="1"/>
    <col min="4108" max="4108" width="7.85546875" style="525" bestFit="1" customWidth="1"/>
    <col min="4109" max="4109" width="13.28515625" style="525" bestFit="1" customWidth="1"/>
    <col min="4110" max="4110" width="15" style="525" bestFit="1" customWidth="1"/>
    <col min="4111" max="4111" width="11.140625" style="525" bestFit="1" customWidth="1"/>
    <col min="4112" max="4352" width="9.140625" style="525"/>
    <col min="4353" max="4353" width="20.7109375" style="525" customWidth="1"/>
    <col min="4354" max="4354" width="6.42578125" style="525" bestFit="1" customWidth="1"/>
    <col min="4355" max="4355" width="11.5703125" style="525" bestFit="1" customWidth="1"/>
    <col min="4356" max="4356" width="7.85546875" style="525" bestFit="1" customWidth="1"/>
    <col min="4357" max="4357" width="13.28515625" style="525" bestFit="1" customWidth="1"/>
    <col min="4358" max="4358" width="7.85546875" style="525" bestFit="1" customWidth="1"/>
    <col min="4359" max="4359" width="12" style="525" bestFit="1" customWidth="1"/>
    <col min="4360" max="4360" width="7.85546875" style="525" bestFit="1" customWidth="1"/>
    <col min="4361" max="4361" width="13.28515625" style="525" bestFit="1" customWidth="1"/>
    <col min="4362" max="4362" width="7.85546875" style="525" bestFit="1" customWidth="1"/>
    <col min="4363" max="4363" width="13.28515625" style="525" bestFit="1" customWidth="1"/>
    <col min="4364" max="4364" width="7.85546875" style="525" bestFit="1" customWidth="1"/>
    <col min="4365" max="4365" width="13.28515625" style="525" bestFit="1" customWidth="1"/>
    <col min="4366" max="4366" width="15" style="525" bestFit="1" customWidth="1"/>
    <col min="4367" max="4367" width="11.140625" style="525" bestFit="1" customWidth="1"/>
    <col min="4368" max="4608" width="9.140625" style="525"/>
    <col min="4609" max="4609" width="20.7109375" style="525" customWidth="1"/>
    <col min="4610" max="4610" width="6.42578125" style="525" bestFit="1" customWidth="1"/>
    <col min="4611" max="4611" width="11.5703125" style="525" bestFit="1" customWidth="1"/>
    <col min="4612" max="4612" width="7.85546875" style="525" bestFit="1" customWidth="1"/>
    <col min="4613" max="4613" width="13.28515625" style="525" bestFit="1" customWidth="1"/>
    <col min="4614" max="4614" width="7.85546875" style="525" bestFit="1" customWidth="1"/>
    <col min="4615" max="4615" width="12" style="525" bestFit="1" customWidth="1"/>
    <col min="4616" max="4616" width="7.85546875" style="525" bestFit="1" customWidth="1"/>
    <col min="4617" max="4617" width="13.28515625" style="525" bestFit="1" customWidth="1"/>
    <col min="4618" max="4618" width="7.85546875" style="525" bestFit="1" customWidth="1"/>
    <col min="4619" max="4619" width="13.28515625" style="525" bestFit="1" customWidth="1"/>
    <col min="4620" max="4620" width="7.85546875" style="525" bestFit="1" customWidth="1"/>
    <col min="4621" max="4621" width="13.28515625" style="525" bestFit="1" customWidth="1"/>
    <col min="4622" max="4622" width="15" style="525" bestFit="1" customWidth="1"/>
    <col min="4623" max="4623" width="11.140625" style="525" bestFit="1" customWidth="1"/>
    <col min="4624" max="4864" width="9.140625" style="525"/>
    <col min="4865" max="4865" width="20.7109375" style="525" customWidth="1"/>
    <col min="4866" max="4866" width="6.42578125" style="525" bestFit="1" customWidth="1"/>
    <col min="4867" max="4867" width="11.5703125" style="525" bestFit="1" customWidth="1"/>
    <col min="4868" max="4868" width="7.85546875" style="525" bestFit="1" customWidth="1"/>
    <col min="4869" max="4869" width="13.28515625" style="525" bestFit="1" customWidth="1"/>
    <col min="4870" max="4870" width="7.85546875" style="525" bestFit="1" customWidth="1"/>
    <col min="4871" max="4871" width="12" style="525" bestFit="1" customWidth="1"/>
    <col min="4872" max="4872" width="7.85546875" style="525" bestFit="1" customWidth="1"/>
    <col min="4873" max="4873" width="13.28515625" style="525" bestFit="1" customWidth="1"/>
    <col min="4874" max="4874" width="7.85546875" style="525" bestFit="1" customWidth="1"/>
    <col min="4875" max="4875" width="13.28515625" style="525" bestFit="1" customWidth="1"/>
    <col min="4876" max="4876" width="7.85546875" style="525" bestFit="1" customWidth="1"/>
    <col min="4877" max="4877" width="13.28515625" style="525" bestFit="1" customWidth="1"/>
    <col min="4878" max="4878" width="15" style="525" bestFit="1" customWidth="1"/>
    <col min="4879" max="4879" width="11.140625" style="525" bestFit="1" customWidth="1"/>
    <col min="4880" max="5120" width="9.140625" style="525"/>
    <col min="5121" max="5121" width="20.7109375" style="525" customWidth="1"/>
    <col min="5122" max="5122" width="6.42578125" style="525" bestFit="1" customWidth="1"/>
    <col min="5123" max="5123" width="11.5703125" style="525" bestFit="1" customWidth="1"/>
    <col min="5124" max="5124" width="7.85546875" style="525" bestFit="1" customWidth="1"/>
    <col min="5125" max="5125" width="13.28515625" style="525" bestFit="1" customWidth="1"/>
    <col min="5126" max="5126" width="7.85546875" style="525" bestFit="1" customWidth="1"/>
    <col min="5127" max="5127" width="12" style="525" bestFit="1" customWidth="1"/>
    <col min="5128" max="5128" width="7.85546875" style="525" bestFit="1" customWidth="1"/>
    <col min="5129" max="5129" width="13.28515625" style="525" bestFit="1" customWidth="1"/>
    <col min="5130" max="5130" width="7.85546875" style="525" bestFit="1" customWidth="1"/>
    <col min="5131" max="5131" width="13.28515625" style="525" bestFit="1" customWidth="1"/>
    <col min="5132" max="5132" width="7.85546875" style="525" bestFit="1" customWidth="1"/>
    <col min="5133" max="5133" width="13.28515625" style="525" bestFit="1" customWidth="1"/>
    <col min="5134" max="5134" width="15" style="525" bestFit="1" customWidth="1"/>
    <col min="5135" max="5135" width="11.140625" style="525" bestFit="1" customWidth="1"/>
    <col min="5136" max="5376" width="9.140625" style="525"/>
    <col min="5377" max="5377" width="20.7109375" style="525" customWidth="1"/>
    <col min="5378" max="5378" width="6.42578125" style="525" bestFit="1" customWidth="1"/>
    <col min="5379" max="5379" width="11.5703125" style="525" bestFit="1" customWidth="1"/>
    <col min="5380" max="5380" width="7.85546875" style="525" bestFit="1" customWidth="1"/>
    <col min="5381" max="5381" width="13.28515625" style="525" bestFit="1" customWidth="1"/>
    <col min="5382" max="5382" width="7.85546875" style="525" bestFit="1" customWidth="1"/>
    <col min="5383" max="5383" width="12" style="525" bestFit="1" customWidth="1"/>
    <col min="5384" max="5384" width="7.85546875" style="525" bestFit="1" customWidth="1"/>
    <col min="5385" max="5385" width="13.28515625" style="525" bestFit="1" customWidth="1"/>
    <col min="5386" max="5386" width="7.85546875" style="525" bestFit="1" customWidth="1"/>
    <col min="5387" max="5387" width="13.28515625" style="525" bestFit="1" customWidth="1"/>
    <col min="5388" max="5388" width="7.85546875" style="525" bestFit="1" customWidth="1"/>
    <col min="5389" max="5389" width="13.28515625" style="525" bestFit="1" customWidth="1"/>
    <col min="5390" max="5390" width="15" style="525" bestFit="1" customWidth="1"/>
    <col min="5391" max="5391" width="11.140625" style="525" bestFit="1" customWidth="1"/>
    <col min="5392" max="5632" width="9.140625" style="525"/>
    <col min="5633" max="5633" width="20.7109375" style="525" customWidth="1"/>
    <col min="5634" max="5634" width="6.42578125" style="525" bestFit="1" customWidth="1"/>
    <col min="5635" max="5635" width="11.5703125" style="525" bestFit="1" customWidth="1"/>
    <col min="5636" max="5636" width="7.85546875" style="525" bestFit="1" customWidth="1"/>
    <col min="5637" max="5637" width="13.28515625" style="525" bestFit="1" customWidth="1"/>
    <col min="5638" max="5638" width="7.85546875" style="525" bestFit="1" customWidth="1"/>
    <col min="5639" max="5639" width="12" style="525" bestFit="1" customWidth="1"/>
    <col min="5640" max="5640" width="7.85546875" style="525" bestFit="1" customWidth="1"/>
    <col min="5641" max="5641" width="13.28515625" style="525" bestFit="1" customWidth="1"/>
    <col min="5642" max="5642" width="7.85546875" style="525" bestFit="1" customWidth="1"/>
    <col min="5643" max="5643" width="13.28515625" style="525" bestFit="1" customWidth="1"/>
    <col min="5644" max="5644" width="7.85546875" style="525" bestFit="1" customWidth="1"/>
    <col min="5645" max="5645" width="13.28515625" style="525" bestFit="1" customWidth="1"/>
    <col min="5646" max="5646" width="15" style="525" bestFit="1" customWidth="1"/>
    <col min="5647" max="5647" width="11.140625" style="525" bestFit="1" customWidth="1"/>
    <col min="5648" max="5888" width="9.140625" style="525"/>
    <col min="5889" max="5889" width="20.7109375" style="525" customWidth="1"/>
    <col min="5890" max="5890" width="6.42578125" style="525" bestFit="1" customWidth="1"/>
    <col min="5891" max="5891" width="11.5703125" style="525" bestFit="1" customWidth="1"/>
    <col min="5892" max="5892" width="7.85546875" style="525" bestFit="1" customWidth="1"/>
    <col min="5893" max="5893" width="13.28515625" style="525" bestFit="1" customWidth="1"/>
    <col min="5894" max="5894" width="7.85546875" style="525" bestFit="1" customWidth="1"/>
    <col min="5895" max="5895" width="12" style="525" bestFit="1" customWidth="1"/>
    <col min="5896" max="5896" width="7.85546875" style="525" bestFit="1" customWidth="1"/>
    <col min="5897" max="5897" width="13.28515625" style="525" bestFit="1" customWidth="1"/>
    <col min="5898" max="5898" width="7.85546875" style="525" bestFit="1" customWidth="1"/>
    <col min="5899" max="5899" width="13.28515625" style="525" bestFit="1" customWidth="1"/>
    <col min="5900" max="5900" width="7.85546875" style="525" bestFit="1" customWidth="1"/>
    <col min="5901" max="5901" width="13.28515625" style="525" bestFit="1" customWidth="1"/>
    <col min="5902" max="5902" width="15" style="525" bestFit="1" customWidth="1"/>
    <col min="5903" max="5903" width="11.140625" style="525" bestFit="1" customWidth="1"/>
    <col min="5904" max="6144" width="9.140625" style="525"/>
    <col min="6145" max="6145" width="20.7109375" style="525" customWidth="1"/>
    <col min="6146" max="6146" width="6.42578125" style="525" bestFit="1" customWidth="1"/>
    <col min="6147" max="6147" width="11.5703125" style="525" bestFit="1" customWidth="1"/>
    <col min="6148" max="6148" width="7.85546875" style="525" bestFit="1" customWidth="1"/>
    <col min="6149" max="6149" width="13.28515625" style="525" bestFit="1" customWidth="1"/>
    <col min="6150" max="6150" width="7.85546875" style="525" bestFit="1" customWidth="1"/>
    <col min="6151" max="6151" width="12" style="525" bestFit="1" customWidth="1"/>
    <col min="6152" max="6152" width="7.85546875" style="525" bestFit="1" customWidth="1"/>
    <col min="6153" max="6153" width="13.28515625" style="525" bestFit="1" customWidth="1"/>
    <col min="6154" max="6154" width="7.85546875" style="525" bestFit="1" customWidth="1"/>
    <col min="6155" max="6155" width="13.28515625" style="525" bestFit="1" customWidth="1"/>
    <col min="6156" max="6156" width="7.85546875" style="525" bestFit="1" customWidth="1"/>
    <col min="6157" max="6157" width="13.28515625" style="525" bestFit="1" customWidth="1"/>
    <col min="6158" max="6158" width="15" style="525" bestFit="1" customWidth="1"/>
    <col min="6159" max="6159" width="11.140625" style="525" bestFit="1" customWidth="1"/>
    <col min="6160" max="6400" width="9.140625" style="525"/>
    <col min="6401" max="6401" width="20.7109375" style="525" customWidth="1"/>
    <col min="6402" max="6402" width="6.42578125" style="525" bestFit="1" customWidth="1"/>
    <col min="6403" max="6403" width="11.5703125" style="525" bestFit="1" customWidth="1"/>
    <col min="6404" max="6404" width="7.85546875" style="525" bestFit="1" customWidth="1"/>
    <col min="6405" max="6405" width="13.28515625" style="525" bestFit="1" customWidth="1"/>
    <col min="6406" max="6406" width="7.85546875" style="525" bestFit="1" customWidth="1"/>
    <col min="6407" max="6407" width="12" style="525" bestFit="1" customWidth="1"/>
    <col min="6408" max="6408" width="7.85546875" style="525" bestFit="1" customWidth="1"/>
    <col min="6409" max="6409" width="13.28515625" style="525" bestFit="1" customWidth="1"/>
    <col min="6410" max="6410" width="7.85546875" style="525" bestFit="1" customWidth="1"/>
    <col min="6411" max="6411" width="13.28515625" style="525" bestFit="1" customWidth="1"/>
    <col min="6412" max="6412" width="7.85546875" style="525" bestFit="1" customWidth="1"/>
    <col min="6413" max="6413" width="13.28515625" style="525" bestFit="1" customWidth="1"/>
    <col min="6414" max="6414" width="15" style="525" bestFit="1" customWidth="1"/>
    <col min="6415" max="6415" width="11.140625" style="525" bestFit="1" customWidth="1"/>
    <col min="6416" max="6656" width="9.140625" style="525"/>
    <col min="6657" max="6657" width="20.7109375" style="525" customWidth="1"/>
    <col min="6658" max="6658" width="6.42578125" style="525" bestFit="1" customWidth="1"/>
    <col min="6659" max="6659" width="11.5703125" style="525" bestFit="1" customWidth="1"/>
    <col min="6660" max="6660" width="7.85546875" style="525" bestFit="1" customWidth="1"/>
    <col min="6661" max="6661" width="13.28515625" style="525" bestFit="1" customWidth="1"/>
    <col min="6662" max="6662" width="7.85546875" style="525" bestFit="1" customWidth="1"/>
    <col min="6663" max="6663" width="12" style="525" bestFit="1" customWidth="1"/>
    <col min="6664" max="6664" width="7.85546875" style="525" bestFit="1" customWidth="1"/>
    <col min="6665" max="6665" width="13.28515625" style="525" bestFit="1" customWidth="1"/>
    <col min="6666" max="6666" width="7.85546875" style="525" bestFit="1" customWidth="1"/>
    <col min="6667" max="6667" width="13.28515625" style="525" bestFit="1" customWidth="1"/>
    <col min="6668" max="6668" width="7.85546875" style="525" bestFit="1" customWidth="1"/>
    <col min="6669" max="6669" width="13.28515625" style="525" bestFit="1" customWidth="1"/>
    <col min="6670" max="6670" width="15" style="525" bestFit="1" customWidth="1"/>
    <col min="6671" max="6671" width="11.140625" style="525" bestFit="1" customWidth="1"/>
    <col min="6672" max="6912" width="9.140625" style="525"/>
    <col min="6913" max="6913" width="20.7109375" style="525" customWidth="1"/>
    <col min="6914" max="6914" width="6.42578125" style="525" bestFit="1" customWidth="1"/>
    <col min="6915" max="6915" width="11.5703125" style="525" bestFit="1" customWidth="1"/>
    <col min="6916" max="6916" width="7.85546875" style="525" bestFit="1" customWidth="1"/>
    <col min="6917" max="6917" width="13.28515625" style="525" bestFit="1" customWidth="1"/>
    <col min="6918" max="6918" width="7.85546875" style="525" bestFit="1" customWidth="1"/>
    <col min="6919" max="6919" width="12" style="525" bestFit="1" customWidth="1"/>
    <col min="6920" max="6920" width="7.85546875" style="525" bestFit="1" customWidth="1"/>
    <col min="6921" max="6921" width="13.28515625" style="525" bestFit="1" customWidth="1"/>
    <col min="6922" max="6922" width="7.85546875" style="525" bestFit="1" customWidth="1"/>
    <col min="6923" max="6923" width="13.28515625" style="525" bestFit="1" customWidth="1"/>
    <col min="6924" max="6924" width="7.85546875" style="525" bestFit="1" customWidth="1"/>
    <col min="6925" max="6925" width="13.28515625" style="525" bestFit="1" customWidth="1"/>
    <col min="6926" max="6926" width="15" style="525" bestFit="1" customWidth="1"/>
    <col min="6927" max="6927" width="11.140625" style="525" bestFit="1" customWidth="1"/>
    <col min="6928" max="7168" width="9.140625" style="525"/>
    <col min="7169" max="7169" width="20.7109375" style="525" customWidth="1"/>
    <col min="7170" max="7170" width="6.42578125" style="525" bestFit="1" customWidth="1"/>
    <col min="7171" max="7171" width="11.5703125" style="525" bestFit="1" customWidth="1"/>
    <col min="7172" max="7172" width="7.85546875" style="525" bestFit="1" customWidth="1"/>
    <col min="7173" max="7173" width="13.28515625" style="525" bestFit="1" customWidth="1"/>
    <col min="7174" max="7174" width="7.85546875" style="525" bestFit="1" customWidth="1"/>
    <col min="7175" max="7175" width="12" style="525" bestFit="1" customWidth="1"/>
    <col min="7176" max="7176" width="7.85546875" style="525" bestFit="1" customWidth="1"/>
    <col min="7177" max="7177" width="13.28515625" style="525" bestFit="1" customWidth="1"/>
    <col min="7178" max="7178" width="7.85546875" style="525" bestFit="1" customWidth="1"/>
    <col min="7179" max="7179" width="13.28515625" style="525" bestFit="1" customWidth="1"/>
    <col min="7180" max="7180" width="7.85546875" style="525" bestFit="1" customWidth="1"/>
    <col min="7181" max="7181" width="13.28515625" style="525" bestFit="1" customWidth="1"/>
    <col min="7182" max="7182" width="15" style="525" bestFit="1" customWidth="1"/>
    <col min="7183" max="7183" width="11.140625" style="525" bestFit="1" customWidth="1"/>
    <col min="7184" max="7424" width="9.140625" style="525"/>
    <col min="7425" max="7425" width="20.7109375" style="525" customWidth="1"/>
    <col min="7426" max="7426" width="6.42578125" style="525" bestFit="1" customWidth="1"/>
    <col min="7427" max="7427" width="11.5703125" style="525" bestFit="1" customWidth="1"/>
    <col min="7428" max="7428" width="7.85546875" style="525" bestFit="1" customWidth="1"/>
    <col min="7429" max="7429" width="13.28515625" style="525" bestFit="1" customWidth="1"/>
    <col min="7430" max="7430" width="7.85546875" style="525" bestFit="1" customWidth="1"/>
    <col min="7431" max="7431" width="12" style="525" bestFit="1" customWidth="1"/>
    <col min="7432" max="7432" width="7.85546875" style="525" bestFit="1" customWidth="1"/>
    <col min="7433" max="7433" width="13.28515625" style="525" bestFit="1" customWidth="1"/>
    <col min="7434" max="7434" width="7.85546875" style="525" bestFit="1" customWidth="1"/>
    <col min="7435" max="7435" width="13.28515625" style="525" bestFit="1" customWidth="1"/>
    <col min="7436" max="7436" width="7.85546875" style="525" bestFit="1" customWidth="1"/>
    <col min="7437" max="7437" width="13.28515625" style="525" bestFit="1" customWidth="1"/>
    <col min="7438" max="7438" width="15" style="525" bestFit="1" customWidth="1"/>
    <col min="7439" max="7439" width="11.140625" style="525" bestFit="1" customWidth="1"/>
    <col min="7440" max="7680" width="9.140625" style="525"/>
    <col min="7681" max="7681" width="20.7109375" style="525" customWidth="1"/>
    <col min="7682" max="7682" width="6.42578125" style="525" bestFit="1" customWidth="1"/>
    <col min="7683" max="7683" width="11.5703125" style="525" bestFit="1" customWidth="1"/>
    <col min="7684" max="7684" width="7.85546875" style="525" bestFit="1" customWidth="1"/>
    <col min="7685" max="7685" width="13.28515625" style="525" bestFit="1" customWidth="1"/>
    <col min="7686" max="7686" width="7.85546875" style="525" bestFit="1" customWidth="1"/>
    <col min="7687" max="7687" width="12" style="525" bestFit="1" customWidth="1"/>
    <col min="7688" max="7688" width="7.85546875" style="525" bestFit="1" customWidth="1"/>
    <col min="7689" max="7689" width="13.28515625" style="525" bestFit="1" customWidth="1"/>
    <col min="7690" max="7690" width="7.85546875" style="525" bestFit="1" customWidth="1"/>
    <col min="7691" max="7691" width="13.28515625" style="525" bestFit="1" customWidth="1"/>
    <col min="7692" max="7692" width="7.85546875" style="525" bestFit="1" customWidth="1"/>
    <col min="7693" max="7693" width="13.28515625" style="525" bestFit="1" customWidth="1"/>
    <col min="7694" max="7694" width="15" style="525" bestFit="1" customWidth="1"/>
    <col min="7695" max="7695" width="11.140625" style="525" bestFit="1" customWidth="1"/>
    <col min="7696" max="7936" width="9.140625" style="525"/>
    <col min="7937" max="7937" width="20.7109375" style="525" customWidth="1"/>
    <col min="7938" max="7938" width="6.42578125" style="525" bestFit="1" customWidth="1"/>
    <col min="7939" max="7939" width="11.5703125" style="525" bestFit="1" customWidth="1"/>
    <col min="7940" max="7940" width="7.85546875" style="525" bestFit="1" customWidth="1"/>
    <col min="7941" max="7941" width="13.28515625" style="525" bestFit="1" customWidth="1"/>
    <col min="7942" max="7942" width="7.85546875" style="525" bestFit="1" customWidth="1"/>
    <col min="7943" max="7943" width="12" style="525" bestFit="1" customWidth="1"/>
    <col min="7944" max="7944" width="7.85546875" style="525" bestFit="1" customWidth="1"/>
    <col min="7945" max="7945" width="13.28515625" style="525" bestFit="1" customWidth="1"/>
    <col min="7946" max="7946" width="7.85546875" style="525" bestFit="1" customWidth="1"/>
    <col min="7947" max="7947" width="13.28515625" style="525" bestFit="1" customWidth="1"/>
    <col min="7948" max="7948" width="7.85546875" style="525" bestFit="1" customWidth="1"/>
    <col min="7949" max="7949" width="13.28515625" style="525" bestFit="1" customWidth="1"/>
    <col min="7950" max="7950" width="15" style="525" bestFit="1" customWidth="1"/>
    <col min="7951" max="7951" width="11.140625" style="525" bestFit="1" customWidth="1"/>
    <col min="7952" max="8192" width="9.140625" style="525"/>
    <col min="8193" max="8193" width="20.7109375" style="525" customWidth="1"/>
    <col min="8194" max="8194" width="6.42578125" style="525" bestFit="1" customWidth="1"/>
    <col min="8195" max="8195" width="11.5703125" style="525" bestFit="1" customWidth="1"/>
    <col min="8196" max="8196" width="7.85546875" style="525" bestFit="1" customWidth="1"/>
    <col min="8197" max="8197" width="13.28515625" style="525" bestFit="1" customWidth="1"/>
    <col min="8198" max="8198" width="7.85546875" style="525" bestFit="1" customWidth="1"/>
    <col min="8199" max="8199" width="12" style="525" bestFit="1" customWidth="1"/>
    <col min="8200" max="8200" width="7.85546875" style="525" bestFit="1" customWidth="1"/>
    <col min="8201" max="8201" width="13.28515625" style="525" bestFit="1" customWidth="1"/>
    <col min="8202" max="8202" width="7.85546875" style="525" bestFit="1" customWidth="1"/>
    <col min="8203" max="8203" width="13.28515625" style="525" bestFit="1" customWidth="1"/>
    <col min="8204" max="8204" width="7.85546875" style="525" bestFit="1" customWidth="1"/>
    <col min="8205" max="8205" width="13.28515625" style="525" bestFit="1" customWidth="1"/>
    <col min="8206" max="8206" width="15" style="525" bestFit="1" customWidth="1"/>
    <col min="8207" max="8207" width="11.140625" style="525" bestFit="1" customWidth="1"/>
    <col min="8208" max="8448" width="9.140625" style="525"/>
    <col min="8449" max="8449" width="20.7109375" style="525" customWidth="1"/>
    <col min="8450" max="8450" width="6.42578125" style="525" bestFit="1" customWidth="1"/>
    <col min="8451" max="8451" width="11.5703125" style="525" bestFit="1" customWidth="1"/>
    <col min="8452" max="8452" width="7.85546875" style="525" bestFit="1" customWidth="1"/>
    <col min="8453" max="8453" width="13.28515625" style="525" bestFit="1" customWidth="1"/>
    <col min="8454" max="8454" width="7.85546875" style="525" bestFit="1" customWidth="1"/>
    <col min="8455" max="8455" width="12" style="525" bestFit="1" customWidth="1"/>
    <col min="8456" max="8456" width="7.85546875" style="525" bestFit="1" customWidth="1"/>
    <col min="8457" max="8457" width="13.28515625" style="525" bestFit="1" customWidth="1"/>
    <col min="8458" max="8458" width="7.85546875" style="525" bestFit="1" customWidth="1"/>
    <col min="8459" max="8459" width="13.28515625" style="525" bestFit="1" customWidth="1"/>
    <col min="8460" max="8460" width="7.85546875" style="525" bestFit="1" customWidth="1"/>
    <col min="8461" max="8461" width="13.28515625" style="525" bestFit="1" customWidth="1"/>
    <col min="8462" max="8462" width="15" style="525" bestFit="1" customWidth="1"/>
    <col min="8463" max="8463" width="11.140625" style="525" bestFit="1" customWidth="1"/>
    <col min="8464" max="8704" width="9.140625" style="525"/>
    <col min="8705" max="8705" width="20.7109375" style="525" customWidth="1"/>
    <col min="8706" max="8706" width="6.42578125" style="525" bestFit="1" customWidth="1"/>
    <col min="8707" max="8707" width="11.5703125" style="525" bestFit="1" customWidth="1"/>
    <col min="8708" max="8708" width="7.85546875" style="525" bestFit="1" customWidth="1"/>
    <col min="8709" max="8709" width="13.28515625" style="525" bestFit="1" customWidth="1"/>
    <col min="8710" max="8710" width="7.85546875" style="525" bestFit="1" customWidth="1"/>
    <col min="8711" max="8711" width="12" style="525" bestFit="1" customWidth="1"/>
    <col min="8712" max="8712" width="7.85546875" style="525" bestFit="1" customWidth="1"/>
    <col min="8713" max="8713" width="13.28515625" style="525" bestFit="1" customWidth="1"/>
    <col min="8714" max="8714" width="7.85546875" style="525" bestFit="1" customWidth="1"/>
    <col min="8715" max="8715" width="13.28515625" style="525" bestFit="1" customWidth="1"/>
    <col min="8716" max="8716" width="7.85546875" style="525" bestFit="1" customWidth="1"/>
    <col min="8717" max="8717" width="13.28515625" style="525" bestFit="1" customWidth="1"/>
    <col min="8718" max="8718" width="15" style="525" bestFit="1" customWidth="1"/>
    <col min="8719" max="8719" width="11.140625" style="525" bestFit="1" customWidth="1"/>
    <col min="8720" max="8960" width="9.140625" style="525"/>
    <col min="8961" max="8961" width="20.7109375" style="525" customWidth="1"/>
    <col min="8962" max="8962" width="6.42578125" style="525" bestFit="1" customWidth="1"/>
    <col min="8963" max="8963" width="11.5703125" style="525" bestFit="1" customWidth="1"/>
    <col min="8964" max="8964" width="7.85546875" style="525" bestFit="1" customWidth="1"/>
    <col min="8965" max="8965" width="13.28515625" style="525" bestFit="1" customWidth="1"/>
    <col min="8966" max="8966" width="7.85546875" style="525" bestFit="1" customWidth="1"/>
    <col min="8967" max="8967" width="12" style="525" bestFit="1" customWidth="1"/>
    <col min="8968" max="8968" width="7.85546875" style="525" bestFit="1" customWidth="1"/>
    <col min="8969" max="8969" width="13.28515625" style="525" bestFit="1" customWidth="1"/>
    <col min="8970" max="8970" width="7.85546875" style="525" bestFit="1" customWidth="1"/>
    <col min="8971" max="8971" width="13.28515625" style="525" bestFit="1" customWidth="1"/>
    <col min="8972" max="8972" width="7.85546875" style="525" bestFit="1" customWidth="1"/>
    <col min="8973" max="8973" width="13.28515625" style="525" bestFit="1" customWidth="1"/>
    <col min="8974" max="8974" width="15" style="525" bestFit="1" customWidth="1"/>
    <col min="8975" max="8975" width="11.140625" style="525" bestFit="1" customWidth="1"/>
    <col min="8976" max="9216" width="9.140625" style="525"/>
    <col min="9217" max="9217" width="20.7109375" style="525" customWidth="1"/>
    <col min="9218" max="9218" width="6.42578125" style="525" bestFit="1" customWidth="1"/>
    <col min="9219" max="9219" width="11.5703125" style="525" bestFit="1" customWidth="1"/>
    <col min="9220" max="9220" width="7.85546875" style="525" bestFit="1" customWidth="1"/>
    <col min="9221" max="9221" width="13.28515625" style="525" bestFit="1" customWidth="1"/>
    <col min="9222" max="9222" width="7.85546875" style="525" bestFit="1" customWidth="1"/>
    <col min="9223" max="9223" width="12" style="525" bestFit="1" customWidth="1"/>
    <col min="9224" max="9224" width="7.85546875" style="525" bestFit="1" customWidth="1"/>
    <col min="9225" max="9225" width="13.28515625" style="525" bestFit="1" customWidth="1"/>
    <col min="9226" max="9226" width="7.85546875" style="525" bestFit="1" customWidth="1"/>
    <col min="9227" max="9227" width="13.28515625" style="525" bestFit="1" customWidth="1"/>
    <col min="9228" max="9228" width="7.85546875" style="525" bestFit="1" customWidth="1"/>
    <col min="9229" max="9229" width="13.28515625" style="525" bestFit="1" customWidth="1"/>
    <col min="9230" max="9230" width="15" style="525" bestFit="1" customWidth="1"/>
    <col min="9231" max="9231" width="11.140625" style="525" bestFit="1" customWidth="1"/>
    <col min="9232" max="9472" width="9.140625" style="525"/>
    <col min="9473" max="9473" width="20.7109375" style="525" customWidth="1"/>
    <col min="9474" max="9474" width="6.42578125" style="525" bestFit="1" customWidth="1"/>
    <col min="9475" max="9475" width="11.5703125" style="525" bestFit="1" customWidth="1"/>
    <col min="9476" max="9476" width="7.85546875" style="525" bestFit="1" customWidth="1"/>
    <col min="9477" max="9477" width="13.28515625" style="525" bestFit="1" customWidth="1"/>
    <col min="9478" max="9478" width="7.85546875" style="525" bestFit="1" customWidth="1"/>
    <col min="9479" max="9479" width="12" style="525" bestFit="1" customWidth="1"/>
    <col min="9480" max="9480" width="7.85546875" style="525" bestFit="1" customWidth="1"/>
    <col min="9481" max="9481" width="13.28515625" style="525" bestFit="1" customWidth="1"/>
    <col min="9482" max="9482" width="7.85546875" style="525" bestFit="1" customWidth="1"/>
    <col min="9483" max="9483" width="13.28515625" style="525" bestFit="1" customWidth="1"/>
    <col min="9484" max="9484" width="7.85546875" style="525" bestFit="1" customWidth="1"/>
    <col min="9485" max="9485" width="13.28515625" style="525" bestFit="1" customWidth="1"/>
    <col min="9486" max="9486" width="15" style="525" bestFit="1" customWidth="1"/>
    <col min="9487" max="9487" width="11.140625" style="525" bestFit="1" customWidth="1"/>
    <col min="9488" max="9728" width="9.140625" style="525"/>
    <col min="9729" max="9729" width="20.7109375" style="525" customWidth="1"/>
    <col min="9730" max="9730" width="6.42578125" style="525" bestFit="1" customWidth="1"/>
    <col min="9731" max="9731" width="11.5703125" style="525" bestFit="1" customWidth="1"/>
    <col min="9732" max="9732" width="7.85546875" style="525" bestFit="1" customWidth="1"/>
    <col min="9733" max="9733" width="13.28515625" style="525" bestFit="1" customWidth="1"/>
    <col min="9734" max="9734" width="7.85546875" style="525" bestFit="1" customWidth="1"/>
    <col min="9735" max="9735" width="12" style="525" bestFit="1" customWidth="1"/>
    <col min="9736" max="9736" width="7.85546875" style="525" bestFit="1" customWidth="1"/>
    <col min="9737" max="9737" width="13.28515625" style="525" bestFit="1" customWidth="1"/>
    <col min="9738" max="9738" width="7.85546875" style="525" bestFit="1" customWidth="1"/>
    <col min="9739" max="9739" width="13.28515625" style="525" bestFit="1" customWidth="1"/>
    <col min="9740" max="9740" width="7.85546875" style="525" bestFit="1" customWidth="1"/>
    <col min="9741" max="9741" width="13.28515625" style="525" bestFit="1" customWidth="1"/>
    <col min="9742" max="9742" width="15" style="525" bestFit="1" customWidth="1"/>
    <col min="9743" max="9743" width="11.140625" style="525" bestFit="1" customWidth="1"/>
    <col min="9744" max="9984" width="9.140625" style="525"/>
    <col min="9985" max="9985" width="20.7109375" style="525" customWidth="1"/>
    <col min="9986" max="9986" width="6.42578125" style="525" bestFit="1" customWidth="1"/>
    <col min="9987" max="9987" width="11.5703125" style="525" bestFit="1" customWidth="1"/>
    <col min="9988" max="9988" width="7.85546875" style="525" bestFit="1" customWidth="1"/>
    <col min="9989" max="9989" width="13.28515625" style="525" bestFit="1" customWidth="1"/>
    <col min="9990" max="9990" width="7.85546875" style="525" bestFit="1" customWidth="1"/>
    <col min="9991" max="9991" width="12" style="525" bestFit="1" customWidth="1"/>
    <col min="9992" max="9992" width="7.85546875" style="525" bestFit="1" customWidth="1"/>
    <col min="9993" max="9993" width="13.28515625" style="525" bestFit="1" customWidth="1"/>
    <col min="9994" max="9994" width="7.85546875" style="525" bestFit="1" customWidth="1"/>
    <col min="9995" max="9995" width="13.28515625" style="525" bestFit="1" customWidth="1"/>
    <col min="9996" max="9996" width="7.85546875" style="525" bestFit="1" customWidth="1"/>
    <col min="9997" max="9997" width="13.28515625" style="525" bestFit="1" customWidth="1"/>
    <col min="9998" max="9998" width="15" style="525" bestFit="1" customWidth="1"/>
    <col min="9999" max="9999" width="11.140625" style="525" bestFit="1" customWidth="1"/>
    <col min="10000" max="10240" width="9.140625" style="525"/>
    <col min="10241" max="10241" width="20.7109375" style="525" customWidth="1"/>
    <col min="10242" max="10242" width="6.42578125" style="525" bestFit="1" customWidth="1"/>
    <col min="10243" max="10243" width="11.5703125" style="525" bestFit="1" customWidth="1"/>
    <col min="10244" max="10244" width="7.85546875" style="525" bestFit="1" customWidth="1"/>
    <col min="10245" max="10245" width="13.28515625" style="525" bestFit="1" customWidth="1"/>
    <col min="10246" max="10246" width="7.85546875" style="525" bestFit="1" customWidth="1"/>
    <col min="10247" max="10247" width="12" style="525" bestFit="1" customWidth="1"/>
    <col min="10248" max="10248" width="7.85546875" style="525" bestFit="1" customWidth="1"/>
    <col min="10249" max="10249" width="13.28515625" style="525" bestFit="1" customWidth="1"/>
    <col min="10250" max="10250" width="7.85546875" style="525" bestFit="1" customWidth="1"/>
    <col min="10251" max="10251" width="13.28515625" style="525" bestFit="1" customWidth="1"/>
    <col min="10252" max="10252" width="7.85546875" style="525" bestFit="1" customWidth="1"/>
    <col min="10253" max="10253" width="13.28515625" style="525" bestFit="1" customWidth="1"/>
    <col min="10254" max="10254" width="15" style="525" bestFit="1" customWidth="1"/>
    <col min="10255" max="10255" width="11.140625" style="525" bestFit="1" customWidth="1"/>
    <col min="10256" max="10496" width="9.140625" style="525"/>
    <col min="10497" max="10497" width="20.7109375" style="525" customWidth="1"/>
    <col min="10498" max="10498" width="6.42578125" style="525" bestFit="1" customWidth="1"/>
    <col min="10499" max="10499" width="11.5703125" style="525" bestFit="1" customWidth="1"/>
    <col min="10500" max="10500" width="7.85546875" style="525" bestFit="1" customWidth="1"/>
    <col min="10501" max="10501" width="13.28515625" style="525" bestFit="1" customWidth="1"/>
    <col min="10502" max="10502" width="7.85546875" style="525" bestFit="1" customWidth="1"/>
    <col min="10503" max="10503" width="12" style="525" bestFit="1" customWidth="1"/>
    <col min="10504" max="10504" width="7.85546875" style="525" bestFit="1" customWidth="1"/>
    <col min="10505" max="10505" width="13.28515625" style="525" bestFit="1" customWidth="1"/>
    <col min="10506" max="10506" width="7.85546875" style="525" bestFit="1" customWidth="1"/>
    <col min="10507" max="10507" width="13.28515625" style="525" bestFit="1" customWidth="1"/>
    <col min="10508" max="10508" width="7.85546875" style="525" bestFit="1" customWidth="1"/>
    <col min="10509" max="10509" width="13.28515625" style="525" bestFit="1" customWidth="1"/>
    <col min="10510" max="10510" width="15" style="525" bestFit="1" customWidth="1"/>
    <col min="10511" max="10511" width="11.140625" style="525" bestFit="1" customWidth="1"/>
    <col min="10512" max="10752" width="9.140625" style="525"/>
    <col min="10753" max="10753" width="20.7109375" style="525" customWidth="1"/>
    <col min="10754" max="10754" width="6.42578125" style="525" bestFit="1" customWidth="1"/>
    <col min="10755" max="10755" width="11.5703125" style="525" bestFit="1" customWidth="1"/>
    <col min="10756" max="10756" width="7.85546875" style="525" bestFit="1" customWidth="1"/>
    <col min="10757" max="10757" width="13.28515625" style="525" bestFit="1" customWidth="1"/>
    <col min="10758" max="10758" width="7.85546875" style="525" bestFit="1" customWidth="1"/>
    <col min="10759" max="10759" width="12" style="525" bestFit="1" customWidth="1"/>
    <col min="10760" max="10760" width="7.85546875" style="525" bestFit="1" customWidth="1"/>
    <col min="10761" max="10761" width="13.28515625" style="525" bestFit="1" customWidth="1"/>
    <col min="10762" max="10762" width="7.85546875" style="525" bestFit="1" customWidth="1"/>
    <col min="10763" max="10763" width="13.28515625" style="525" bestFit="1" customWidth="1"/>
    <col min="10764" max="10764" width="7.85546875" style="525" bestFit="1" customWidth="1"/>
    <col min="10765" max="10765" width="13.28515625" style="525" bestFit="1" customWidth="1"/>
    <col min="10766" max="10766" width="15" style="525" bestFit="1" customWidth="1"/>
    <col min="10767" max="10767" width="11.140625" style="525" bestFit="1" customWidth="1"/>
    <col min="10768" max="11008" width="9.140625" style="525"/>
    <col min="11009" max="11009" width="20.7109375" style="525" customWidth="1"/>
    <col min="11010" max="11010" width="6.42578125" style="525" bestFit="1" customWidth="1"/>
    <col min="11011" max="11011" width="11.5703125" style="525" bestFit="1" customWidth="1"/>
    <col min="11012" max="11012" width="7.85546875" style="525" bestFit="1" customWidth="1"/>
    <col min="11013" max="11013" width="13.28515625" style="525" bestFit="1" customWidth="1"/>
    <col min="11014" max="11014" width="7.85546875" style="525" bestFit="1" customWidth="1"/>
    <col min="11015" max="11015" width="12" style="525" bestFit="1" customWidth="1"/>
    <col min="11016" max="11016" width="7.85546875" style="525" bestFit="1" customWidth="1"/>
    <col min="11017" max="11017" width="13.28515625" style="525" bestFit="1" customWidth="1"/>
    <col min="11018" max="11018" width="7.85546875" style="525" bestFit="1" customWidth="1"/>
    <col min="11019" max="11019" width="13.28515625" style="525" bestFit="1" customWidth="1"/>
    <col min="11020" max="11020" width="7.85546875" style="525" bestFit="1" customWidth="1"/>
    <col min="11021" max="11021" width="13.28515625" style="525" bestFit="1" customWidth="1"/>
    <col min="11022" max="11022" width="15" style="525" bestFit="1" customWidth="1"/>
    <col min="11023" max="11023" width="11.140625" style="525" bestFit="1" customWidth="1"/>
    <col min="11024" max="11264" width="9.140625" style="525"/>
    <col min="11265" max="11265" width="20.7109375" style="525" customWidth="1"/>
    <col min="11266" max="11266" width="6.42578125" style="525" bestFit="1" customWidth="1"/>
    <col min="11267" max="11267" width="11.5703125" style="525" bestFit="1" customWidth="1"/>
    <col min="11268" max="11268" width="7.85546875" style="525" bestFit="1" customWidth="1"/>
    <col min="11269" max="11269" width="13.28515625" style="525" bestFit="1" customWidth="1"/>
    <col min="11270" max="11270" width="7.85546875" style="525" bestFit="1" customWidth="1"/>
    <col min="11271" max="11271" width="12" style="525" bestFit="1" customWidth="1"/>
    <col min="11272" max="11272" width="7.85546875" style="525" bestFit="1" customWidth="1"/>
    <col min="11273" max="11273" width="13.28515625" style="525" bestFit="1" customWidth="1"/>
    <col min="11274" max="11274" width="7.85546875" style="525" bestFit="1" customWidth="1"/>
    <col min="11275" max="11275" width="13.28515625" style="525" bestFit="1" customWidth="1"/>
    <col min="11276" max="11276" width="7.85546875" style="525" bestFit="1" customWidth="1"/>
    <col min="11277" max="11277" width="13.28515625" style="525" bestFit="1" customWidth="1"/>
    <col min="11278" max="11278" width="15" style="525" bestFit="1" customWidth="1"/>
    <col min="11279" max="11279" width="11.140625" style="525" bestFit="1" customWidth="1"/>
    <col min="11280" max="11520" width="9.140625" style="525"/>
    <col min="11521" max="11521" width="20.7109375" style="525" customWidth="1"/>
    <col min="11522" max="11522" width="6.42578125" style="525" bestFit="1" customWidth="1"/>
    <col min="11523" max="11523" width="11.5703125" style="525" bestFit="1" customWidth="1"/>
    <col min="11524" max="11524" width="7.85546875" style="525" bestFit="1" customWidth="1"/>
    <col min="11525" max="11525" width="13.28515625" style="525" bestFit="1" customWidth="1"/>
    <col min="11526" max="11526" width="7.85546875" style="525" bestFit="1" customWidth="1"/>
    <col min="11527" max="11527" width="12" style="525" bestFit="1" customWidth="1"/>
    <col min="11528" max="11528" width="7.85546875" style="525" bestFit="1" customWidth="1"/>
    <col min="11529" max="11529" width="13.28515625" style="525" bestFit="1" customWidth="1"/>
    <col min="11530" max="11530" width="7.85546875" style="525" bestFit="1" customWidth="1"/>
    <col min="11531" max="11531" width="13.28515625" style="525" bestFit="1" customWidth="1"/>
    <col min="11532" max="11532" width="7.85546875" style="525" bestFit="1" customWidth="1"/>
    <col min="11533" max="11533" width="13.28515625" style="525" bestFit="1" customWidth="1"/>
    <col min="11534" max="11534" width="15" style="525" bestFit="1" customWidth="1"/>
    <col min="11535" max="11535" width="11.140625" style="525" bestFit="1" customWidth="1"/>
    <col min="11536" max="11776" width="9.140625" style="525"/>
    <col min="11777" max="11777" width="20.7109375" style="525" customWidth="1"/>
    <col min="11778" max="11778" width="6.42578125" style="525" bestFit="1" customWidth="1"/>
    <col min="11779" max="11779" width="11.5703125" style="525" bestFit="1" customWidth="1"/>
    <col min="11780" max="11780" width="7.85546875" style="525" bestFit="1" customWidth="1"/>
    <col min="11781" max="11781" width="13.28515625" style="525" bestFit="1" customWidth="1"/>
    <col min="11782" max="11782" width="7.85546875" style="525" bestFit="1" customWidth="1"/>
    <col min="11783" max="11783" width="12" style="525" bestFit="1" customWidth="1"/>
    <col min="11784" max="11784" width="7.85546875" style="525" bestFit="1" customWidth="1"/>
    <col min="11785" max="11785" width="13.28515625" style="525" bestFit="1" customWidth="1"/>
    <col min="11786" max="11786" width="7.85546875" style="525" bestFit="1" customWidth="1"/>
    <col min="11787" max="11787" width="13.28515625" style="525" bestFit="1" customWidth="1"/>
    <col min="11788" max="11788" width="7.85546875" style="525" bestFit="1" customWidth="1"/>
    <col min="11789" max="11789" width="13.28515625" style="525" bestFit="1" customWidth="1"/>
    <col min="11790" max="11790" width="15" style="525" bestFit="1" customWidth="1"/>
    <col min="11791" max="11791" width="11.140625" style="525" bestFit="1" customWidth="1"/>
    <col min="11792" max="12032" width="9.140625" style="525"/>
    <col min="12033" max="12033" width="20.7109375" style="525" customWidth="1"/>
    <col min="12034" max="12034" width="6.42578125" style="525" bestFit="1" customWidth="1"/>
    <col min="12035" max="12035" width="11.5703125" style="525" bestFit="1" customWidth="1"/>
    <col min="12036" max="12036" width="7.85546875" style="525" bestFit="1" customWidth="1"/>
    <col min="12037" max="12037" width="13.28515625" style="525" bestFit="1" customWidth="1"/>
    <col min="12038" max="12038" width="7.85546875" style="525" bestFit="1" customWidth="1"/>
    <col min="12039" max="12039" width="12" style="525" bestFit="1" customWidth="1"/>
    <col min="12040" max="12040" width="7.85546875" style="525" bestFit="1" customWidth="1"/>
    <col min="12041" max="12041" width="13.28515625" style="525" bestFit="1" customWidth="1"/>
    <col min="12042" max="12042" width="7.85546875" style="525" bestFit="1" customWidth="1"/>
    <col min="12043" max="12043" width="13.28515625" style="525" bestFit="1" customWidth="1"/>
    <col min="12044" max="12044" width="7.85546875" style="525" bestFit="1" customWidth="1"/>
    <col min="12045" max="12045" width="13.28515625" style="525" bestFit="1" customWidth="1"/>
    <col min="12046" max="12046" width="15" style="525" bestFit="1" customWidth="1"/>
    <col min="12047" max="12047" width="11.140625" style="525" bestFit="1" customWidth="1"/>
    <col min="12048" max="12288" width="9.140625" style="525"/>
    <col min="12289" max="12289" width="20.7109375" style="525" customWidth="1"/>
    <col min="12290" max="12290" width="6.42578125" style="525" bestFit="1" customWidth="1"/>
    <col min="12291" max="12291" width="11.5703125" style="525" bestFit="1" customWidth="1"/>
    <col min="12292" max="12292" width="7.85546875" style="525" bestFit="1" customWidth="1"/>
    <col min="12293" max="12293" width="13.28515625" style="525" bestFit="1" customWidth="1"/>
    <col min="12294" max="12294" width="7.85546875" style="525" bestFit="1" customWidth="1"/>
    <col min="12295" max="12295" width="12" style="525" bestFit="1" customWidth="1"/>
    <col min="12296" max="12296" width="7.85546875" style="525" bestFit="1" customWidth="1"/>
    <col min="12297" max="12297" width="13.28515625" style="525" bestFit="1" customWidth="1"/>
    <col min="12298" max="12298" width="7.85546875" style="525" bestFit="1" customWidth="1"/>
    <col min="12299" max="12299" width="13.28515625" style="525" bestFit="1" customWidth="1"/>
    <col min="12300" max="12300" width="7.85546875" style="525" bestFit="1" customWidth="1"/>
    <col min="12301" max="12301" width="13.28515625" style="525" bestFit="1" customWidth="1"/>
    <col min="12302" max="12302" width="15" style="525" bestFit="1" customWidth="1"/>
    <col min="12303" max="12303" width="11.140625" style="525" bestFit="1" customWidth="1"/>
    <col min="12304" max="12544" width="9.140625" style="525"/>
    <col min="12545" max="12545" width="20.7109375" style="525" customWidth="1"/>
    <col min="12546" max="12546" width="6.42578125" style="525" bestFit="1" customWidth="1"/>
    <col min="12547" max="12547" width="11.5703125" style="525" bestFit="1" customWidth="1"/>
    <col min="12548" max="12548" width="7.85546875" style="525" bestFit="1" customWidth="1"/>
    <col min="12549" max="12549" width="13.28515625" style="525" bestFit="1" customWidth="1"/>
    <col min="12550" max="12550" width="7.85546875" style="525" bestFit="1" customWidth="1"/>
    <col min="12551" max="12551" width="12" style="525" bestFit="1" customWidth="1"/>
    <col min="12552" max="12552" width="7.85546875" style="525" bestFit="1" customWidth="1"/>
    <col min="12553" max="12553" width="13.28515625" style="525" bestFit="1" customWidth="1"/>
    <col min="12554" max="12554" width="7.85546875" style="525" bestFit="1" customWidth="1"/>
    <col min="12555" max="12555" width="13.28515625" style="525" bestFit="1" customWidth="1"/>
    <col min="12556" max="12556" width="7.85546875" style="525" bestFit="1" customWidth="1"/>
    <col min="12557" max="12557" width="13.28515625" style="525" bestFit="1" customWidth="1"/>
    <col min="12558" max="12558" width="15" style="525" bestFit="1" customWidth="1"/>
    <col min="12559" max="12559" width="11.140625" style="525" bestFit="1" customWidth="1"/>
    <col min="12560" max="12800" width="9.140625" style="525"/>
    <col min="12801" max="12801" width="20.7109375" style="525" customWidth="1"/>
    <col min="12802" max="12802" width="6.42578125" style="525" bestFit="1" customWidth="1"/>
    <col min="12803" max="12803" width="11.5703125" style="525" bestFit="1" customWidth="1"/>
    <col min="12804" max="12804" width="7.85546875" style="525" bestFit="1" customWidth="1"/>
    <col min="12805" max="12805" width="13.28515625" style="525" bestFit="1" customWidth="1"/>
    <col min="12806" max="12806" width="7.85546875" style="525" bestFit="1" customWidth="1"/>
    <col min="12807" max="12807" width="12" style="525" bestFit="1" customWidth="1"/>
    <col min="12808" max="12808" width="7.85546875" style="525" bestFit="1" customWidth="1"/>
    <col min="12809" max="12809" width="13.28515625" style="525" bestFit="1" customWidth="1"/>
    <col min="12810" max="12810" width="7.85546875" style="525" bestFit="1" customWidth="1"/>
    <col min="12811" max="12811" width="13.28515625" style="525" bestFit="1" customWidth="1"/>
    <col min="12812" max="12812" width="7.85546875" style="525" bestFit="1" customWidth="1"/>
    <col min="12813" max="12813" width="13.28515625" style="525" bestFit="1" customWidth="1"/>
    <col min="12814" max="12814" width="15" style="525" bestFit="1" customWidth="1"/>
    <col min="12815" max="12815" width="11.140625" style="525" bestFit="1" customWidth="1"/>
    <col min="12816" max="13056" width="9.140625" style="525"/>
    <col min="13057" max="13057" width="20.7109375" style="525" customWidth="1"/>
    <col min="13058" max="13058" width="6.42578125" style="525" bestFit="1" customWidth="1"/>
    <col min="13059" max="13059" width="11.5703125" style="525" bestFit="1" customWidth="1"/>
    <col min="13060" max="13060" width="7.85546875" style="525" bestFit="1" customWidth="1"/>
    <col min="13061" max="13061" width="13.28515625" style="525" bestFit="1" customWidth="1"/>
    <col min="13062" max="13062" width="7.85546875" style="525" bestFit="1" customWidth="1"/>
    <col min="13063" max="13063" width="12" style="525" bestFit="1" customWidth="1"/>
    <col min="13064" max="13064" width="7.85546875" style="525" bestFit="1" customWidth="1"/>
    <col min="13065" max="13065" width="13.28515625" style="525" bestFit="1" customWidth="1"/>
    <col min="13066" max="13066" width="7.85546875" style="525" bestFit="1" customWidth="1"/>
    <col min="13067" max="13067" width="13.28515625" style="525" bestFit="1" customWidth="1"/>
    <col min="13068" max="13068" width="7.85546875" style="525" bestFit="1" customWidth="1"/>
    <col min="13069" max="13069" width="13.28515625" style="525" bestFit="1" customWidth="1"/>
    <col min="13070" max="13070" width="15" style="525" bestFit="1" customWidth="1"/>
    <col min="13071" max="13071" width="11.140625" style="525" bestFit="1" customWidth="1"/>
    <col min="13072" max="13312" width="9.140625" style="525"/>
    <col min="13313" max="13313" width="20.7109375" style="525" customWidth="1"/>
    <col min="13314" max="13314" width="6.42578125" style="525" bestFit="1" customWidth="1"/>
    <col min="13315" max="13315" width="11.5703125" style="525" bestFit="1" customWidth="1"/>
    <col min="13316" max="13316" width="7.85546875" style="525" bestFit="1" customWidth="1"/>
    <col min="13317" max="13317" width="13.28515625" style="525" bestFit="1" customWidth="1"/>
    <col min="13318" max="13318" width="7.85546875" style="525" bestFit="1" customWidth="1"/>
    <col min="13319" max="13319" width="12" style="525" bestFit="1" customWidth="1"/>
    <col min="13320" max="13320" width="7.85546875" style="525" bestFit="1" customWidth="1"/>
    <col min="13321" max="13321" width="13.28515625" style="525" bestFit="1" customWidth="1"/>
    <col min="13322" max="13322" width="7.85546875" style="525" bestFit="1" customWidth="1"/>
    <col min="13323" max="13323" width="13.28515625" style="525" bestFit="1" customWidth="1"/>
    <col min="13324" max="13324" width="7.85546875" style="525" bestFit="1" customWidth="1"/>
    <col min="13325" max="13325" width="13.28515625" style="525" bestFit="1" customWidth="1"/>
    <col min="13326" max="13326" width="15" style="525" bestFit="1" customWidth="1"/>
    <col min="13327" max="13327" width="11.140625" style="525" bestFit="1" customWidth="1"/>
    <col min="13328" max="13568" width="9.140625" style="525"/>
    <col min="13569" max="13569" width="20.7109375" style="525" customWidth="1"/>
    <col min="13570" max="13570" width="6.42578125" style="525" bestFit="1" customWidth="1"/>
    <col min="13571" max="13571" width="11.5703125" style="525" bestFit="1" customWidth="1"/>
    <col min="13572" max="13572" width="7.85546875" style="525" bestFit="1" customWidth="1"/>
    <col min="13573" max="13573" width="13.28515625" style="525" bestFit="1" customWidth="1"/>
    <col min="13574" max="13574" width="7.85546875" style="525" bestFit="1" customWidth="1"/>
    <col min="13575" max="13575" width="12" style="525" bestFit="1" customWidth="1"/>
    <col min="13576" max="13576" width="7.85546875" style="525" bestFit="1" customWidth="1"/>
    <col min="13577" max="13577" width="13.28515625" style="525" bestFit="1" customWidth="1"/>
    <col min="13578" max="13578" width="7.85546875" style="525" bestFit="1" customWidth="1"/>
    <col min="13579" max="13579" width="13.28515625" style="525" bestFit="1" customWidth="1"/>
    <col min="13580" max="13580" width="7.85546875" style="525" bestFit="1" customWidth="1"/>
    <col min="13581" max="13581" width="13.28515625" style="525" bestFit="1" customWidth="1"/>
    <col min="13582" max="13582" width="15" style="525" bestFit="1" customWidth="1"/>
    <col min="13583" max="13583" width="11.140625" style="525" bestFit="1" customWidth="1"/>
    <col min="13584" max="13824" width="9.140625" style="525"/>
    <col min="13825" max="13825" width="20.7109375" style="525" customWidth="1"/>
    <col min="13826" max="13826" width="6.42578125" style="525" bestFit="1" customWidth="1"/>
    <col min="13827" max="13827" width="11.5703125" style="525" bestFit="1" customWidth="1"/>
    <col min="13828" max="13828" width="7.85546875" style="525" bestFit="1" customWidth="1"/>
    <col min="13829" max="13829" width="13.28515625" style="525" bestFit="1" customWidth="1"/>
    <col min="13830" max="13830" width="7.85546875" style="525" bestFit="1" customWidth="1"/>
    <col min="13831" max="13831" width="12" style="525" bestFit="1" customWidth="1"/>
    <col min="13832" max="13832" width="7.85546875" style="525" bestFit="1" customWidth="1"/>
    <col min="13833" max="13833" width="13.28515625" style="525" bestFit="1" customWidth="1"/>
    <col min="13834" max="13834" width="7.85546875" style="525" bestFit="1" customWidth="1"/>
    <col min="13835" max="13835" width="13.28515625" style="525" bestFit="1" customWidth="1"/>
    <col min="13836" max="13836" width="7.85546875" style="525" bestFit="1" customWidth="1"/>
    <col min="13837" max="13837" width="13.28515625" style="525" bestFit="1" customWidth="1"/>
    <col min="13838" max="13838" width="15" style="525" bestFit="1" customWidth="1"/>
    <col min="13839" max="13839" width="11.140625" style="525" bestFit="1" customWidth="1"/>
    <col min="13840" max="14080" width="9.140625" style="525"/>
    <col min="14081" max="14081" width="20.7109375" style="525" customWidth="1"/>
    <col min="14082" max="14082" width="6.42578125" style="525" bestFit="1" customWidth="1"/>
    <col min="14083" max="14083" width="11.5703125" style="525" bestFit="1" customWidth="1"/>
    <col min="14084" max="14084" width="7.85546875" style="525" bestFit="1" customWidth="1"/>
    <col min="14085" max="14085" width="13.28515625" style="525" bestFit="1" customWidth="1"/>
    <col min="14086" max="14086" width="7.85546875" style="525" bestFit="1" customWidth="1"/>
    <col min="14087" max="14087" width="12" style="525" bestFit="1" customWidth="1"/>
    <col min="14088" max="14088" width="7.85546875" style="525" bestFit="1" customWidth="1"/>
    <col min="14089" max="14089" width="13.28515625" style="525" bestFit="1" customWidth="1"/>
    <col min="14090" max="14090" width="7.85546875" style="525" bestFit="1" customWidth="1"/>
    <col min="14091" max="14091" width="13.28515625" style="525" bestFit="1" customWidth="1"/>
    <col min="14092" max="14092" width="7.85546875" style="525" bestFit="1" customWidth="1"/>
    <col min="14093" max="14093" width="13.28515625" style="525" bestFit="1" customWidth="1"/>
    <col min="14094" max="14094" width="15" style="525" bestFit="1" customWidth="1"/>
    <col min="14095" max="14095" width="11.140625" style="525" bestFit="1" customWidth="1"/>
    <col min="14096" max="14336" width="9.140625" style="525"/>
    <col min="14337" max="14337" width="20.7109375" style="525" customWidth="1"/>
    <col min="14338" max="14338" width="6.42578125" style="525" bestFit="1" customWidth="1"/>
    <col min="14339" max="14339" width="11.5703125" style="525" bestFit="1" customWidth="1"/>
    <col min="14340" max="14340" width="7.85546875" style="525" bestFit="1" customWidth="1"/>
    <col min="14341" max="14341" width="13.28515625" style="525" bestFit="1" customWidth="1"/>
    <col min="14342" max="14342" width="7.85546875" style="525" bestFit="1" customWidth="1"/>
    <col min="14343" max="14343" width="12" style="525" bestFit="1" customWidth="1"/>
    <col min="14344" max="14344" width="7.85546875" style="525" bestFit="1" customWidth="1"/>
    <col min="14345" max="14345" width="13.28515625" style="525" bestFit="1" customWidth="1"/>
    <col min="14346" max="14346" width="7.85546875" style="525" bestFit="1" customWidth="1"/>
    <col min="14347" max="14347" width="13.28515625" style="525" bestFit="1" customWidth="1"/>
    <col min="14348" max="14348" width="7.85546875" style="525" bestFit="1" customWidth="1"/>
    <col min="14349" max="14349" width="13.28515625" style="525" bestFit="1" customWidth="1"/>
    <col min="14350" max="14350" width="15" style="525" bestFit="1" customWidth="1"/>
    <col min="14351" max="14351" width="11.140625" style="525" bestFit="1" customWidth="1"/>
    <col min="14352" max="14592" width="9.140625" style="525"/>
    <col min="14593" max="14593" width="20.7109375" style="525" customWidth="1"/>
    <col min="14594" max="14594" width="6.42578125" style="525" bestFit="1" customWidth="1"/>
    <col min="14595" max="14595" width="11.5703125" style="525" bestFit="1" customWidth="1"/>
    <col min="14596" max="14596" width="7.85546875" style="525" bestFit="1" customWidth="1"/>
    <col min="14597" max="14597" width="13.28515625" style="525" bestFit="1" customWidth="1"/>
    <col min="14598" max="14598" width="7.85546875" style="525" bestFit="1" customWidth="1"/>
    <col min="14599" max="14599" width="12" style="525" bestFit="1" customWidth="1"/>
    <col min="14600" max="14600" width="7.85546875" style="525" bestFit="1" customWidth="1"/>
    <col min="14601" max="14601" width="13.28515625" style="525" bestFit="1" customWidth="1"/>
    <col min="14602" max="14602" width="7.85546875" style="525" bestFit="1" customWidth="1"/>
    <col min="14603" max="14603" width="13.28515625" style="525" bestFit="1" customWidth="1"/>
    <col min="14604" max="14604" width="7.85546875" style="525" bestFit="1" customWidth="1"/>
    <col min="14605" max="14605" width="13.28515625" style="525" bestFit="1" customWidth="1"/>
    <col min="14606" max="14606" width="15" style="525" bestFit="1" customWidth="1"/>
    <col min="14607" max="14607" width="11.140625" style="525" bestFit="1" customWidth="1"/>
    <col min="14608" max="14848" width="9.140625" style="525"/>
    <col min="14849" max="14849" width="20.7109375" style="525" customWidth="1"/>
    <col min="14850" max="14850" width="6.42578125" style="525" bestFit="1" customWidth="1"/>
    <col min="14851" max="14851" width="11.5703125" style="525" bestFit="1" customWidth="1"/>
    <col min="14852" max="14852" width="7.85546875" style="525" bestFit="1" customWidth="1"/>
    <col min="14853" max="14853" width="13.28515625" style="525" bestFit="1" customWidth="1"/>
    <col min="14854" max="14854" width="7.85546875" style="525" bestFit="1" customWidth="1"/>
    <col min="14855" max="14855" width="12" style="525" bestFit="1" customWidth="1"/>
    <col min="14856" max="14856" width="7.85546875" style="525" bestFit="1" customWidth="1"/>
    <col min="14857" max="14857" width="13.28515625" style="525" bestFit="1" customWidth="1"/>
    <col min="14858" max="14858" width="7.85546875" style="525" bestFit="1" customWidth="1"/>
    <col min="14859" max="14859" width="13.28515625" style="525" bestFit="1" customWidth="1"/>
    <col min="14860" max="14860" width="7.85546875" style="525" bestFit="1" customWidth="1"/>
    <col min="14861" max="14861" width="13.28515625" style="525" bestFit="1" customWidth="1"/>
    <col min="14862" max="14862" width="15" style="525" bestFit="1" customWidth="1"/>
    <col min="14863" max="14863" width="11.140625" style="525" bestFit="1" customWidth="1"/>
    <col min="14864" max="15104" width="9.140625" style="525"/>
    <col min="15105" max="15105" width="20.7109375" style="525" customWidth="1"/>
    <col min="15106" max="15106" width="6.42578125" style="525" bestFit="1" customWidth="1"/>
    <col min="15107" max="15107" width="11.5703125" style="525" bestFit="1" customWidth="1"/>
    <col min="15108" max="15108" width="7.85546875" style="525" bestFit="1" customWidth="1"/>
    <col min="15109" max="15109" width="13.28515625" style="525" bestFit="1" customWidth="1"/>
    <col min="15110" max="15110" width="7.85546875" style="525" bestFit="1" customWidth="1"/>
    <col min="15111" max="15111" width="12" style="525" bestFit="1" customWidth="1"/>
    <col min="15112" max="15112" width="7.85546875" style="525" bestFit="1" customWidth="1"/>
    <col min="15113" max="15113" width="13.28515625" style="525" bestFit="1" customWidth="1"/>
    <col min="15114" max="15114" width="7.85546875" style="525" bestFit="1" customWidth="1"/>
    <col min="15115" max="15115" width="13.28515625" style="525" bestFit="1" customWidth="1"/>
    <col min="15116" max="15116" width="7.85546875" style="525" bestFit="1" customWidth="1"/>
    <col min="15117" max="15117" width="13.28515625" style="525" bestFit="1" customWidth="1"/>
    <col min="15118" max="15118" width="15" style="525" bestFit="1" customWidth="1"/>
    <col min="15119" max="15119" width="11.140625" style="525" bestFit="1" customWidth="1"/>
    <col min="15120" max="15360" width="9.140625" style="525"/>
    <col min="15361" max="15361" width="20.7109375" style="525" customWidth="1"/>
    <col min="15362" max="15362" width="6.42578125" style="525" bestFit="1" customWidth="1"/>
    <col min="15363" max="15363" width="11.5703125" style="525" bestFit="1" customWidth="1"/>
    <col min="15364" max="15364" width="7.85546875" style="525" bestFit="1" customWidth="1"/>
    <col min="15365" max="15365" width="13.28515625" style="525" bestFit="1" customWidth="1"/>
    <col min="15366" max="15366" width="7.85546875" style="525" bestFit="1" customWidth="1"/>
    <col min="15367" max="15367" width="12" style="525" bestFit="1" customWidth="1"/>
    <col min="15368" max="15368" width="7.85546875" style="525" bestFit="1" customWidth="1"/>
    <col min="15369" max="15369" width="13.28515625" style="525" bestFit="1" customWidth="1"/>
    <col min="15370" max="15370" width="7.85546875" style="525" bestFit="1" customWidth="1"/>
    <col min="15371" max="15371" width="13.28515625" style="525" bestFit="1" customWidth="1"/>
    <col min="15372" max="15372" width="7.85546875" style="525" bestFit="1" customWidth="1"/>
    <col min="15373" max="15373" width="13.28515625" style="525" bestFit="1" customWidth="1"/>
    <col min="15374" max="15374" width="15" style="525" bestFit="1" customWidth="1"/>
    <col min="15375" max="15375" width="11.140625" style="525" bestFit="1" customWidth="1"/>
    <col min="15376" max="15616" width="9.140625" style="525"/>
    <col min="15617" max="15617" width="20.7109375" style="525" customWidth="1"/>
    <col min="15618" max="15618" width="6.42578125" style="525" bestFit="1" customWidth="1"/>
    <col min="15619" max="15619" width="11.5703125" style="525" bestFit="1" customWidth="1"/>
    <col min="15620" max="15620" width="7.85546875" style="525" bestFit="1" customWidth="1"/>
    <col min="15621" max="15621" width="13.28515625" style="525" bestFit="1" customWidth="1"/>
    <col min="15622" max="15622" width="7.85546875" style="525" bestFit="1" customWidth="1"/>
    <col min="15623" max="15623" width="12" style="525" bestFit="1" customWidth="1"/>
    <col min="15624" max="15624" width="7.85546875" style="525" bestFit="1" customWidth="1"/>
    <col min="15625" max="15625" width="13.28515625" style="525" bestFit="1" customWidth="1"/>
    <col min="15626" max="15626" width="7.85546875" style="525" bestFit="1" customWidth="1"/>
    <col min="15627" max="15627" width="13.28515625" style="525" bestFit="1" customWidth="1"/>
    <col min="15628" max="15628" width="7.85546875" style="525" bestFit="1" customWidth="1"/>
    <col min="15629" max="15629" width="13.28515625" style="525" bestFit="1" customWidth="1"/>
    <col min="15630" max="15630" width="15" style="525" bestFit="1" customWidth="1"/>
    <col min="15631" max="15631" width="11.140625" style="525" bestFit="1" customWidth="1"/>
    <col min="15632" max="15872" width="9.140625" style="525"/>
    <col min="15873" max="15873" width="20.7109375" style="525" customWidth="1"/>
    <col min="15874" max="15874" width="6.42578125" style="525" bestFit="1" customWidth="1"/>
    <col min="15875" max="15875" width="11.5703125" style="525" bestFit="1" customWidth="1"/>
    <col min="15876" max="15876" width="7.85546875" style="525" bestFit="1" customWidth="1"/>
    <col min="15877" max="15877" width="13.28515625" style="525" bestFit="1" customWidth="1"/>
    <col min="15878" max="15878" width="7.85546875" style="525" bestFit="1" customWidth="1"/>
    <col min="15879" max="15879" width="12" style="525" bestFit="1" customWidth="1"/>
    <col min="15880" max="15880" width="7.85546875" style="525" bestFit="1" customWidth="1"/>
    <col min="15881" max="15881" width="13.28515625" style="525" bestFit="1" customWidth="1"/>
    <col min="15882" max="15882" width="7.85546875" style="525" bestFit="1" customWidth="1"/>
    <col min="15883" max="15883" width="13.28515625" style="525" bestFit="1" customWidth="1"/>
    <col min="15884" max="15884" width="7.85546875" style="525" bestFit="1" customWidth="1"/>
    <col min="15885" max="15885" width="13.28515625" style="525" bestFit="1" customWidth="1"/>
    <col min="15886" max="15886" width="15" style="525" bestFit="1" customWidth="1"/>
    <col min="15887" max="15887" width="11.140625" style="525" bestFit="1" customWidth="1"/>
    <col min="15888" max="16128" width="9.140625" style="525"/>
    <col min="16129" max="16129" width="20.7109375" style="525" customWidth="1"/>
    <col min="16130" max="16130" width="6.42578125" style="525" bestFit="1" customWidth="1"/>
    <col min="16131" max="16131" width="11.5703125" style="525" bestFit="1" customWidth="1"/>
    <col min="16132" max="16132" width="7.85546875" style="525" bestFit="1" customWidth="1"/>
    <col min="16133" max="16133" width="13.28515625" style="525" bestFit="1" customWidth="1"/>
    <col min="16134" max="16134" width="7.85546875" style="525" bestFit="1" customWidth="1"/>
    <col min="16135" max="16135" width="12" style="525" bestFit="1" customWidth="1"/>
    <col min="16136" max="16136" width="7.85546875" style="525" bestFit="1" customWidth="1"/>
    <col min="16137" max="16137" width="13.28515625" style="525" bestFit="1" customWidth="1"/>
    <col min="16138" max="16138" width="7.85546875" style="525" bestFit="1" customWidth="1"/>
    <col min="16139" max="16139" width="13.28515625" style="525" bestFit="1" customWidth="1"/>
    <col min="16140" max="16140" width="7.85546875" style="525" bestFit="1" customWidth="1"/>
    <col min="16141" max="16141" width="13.28515625" style="525" bestFit="1" customWidth="1"/>
    <col min="16142" max="16142" width="15" style="525" bestFit="1" customWidth="1"/>
    <col min="16143" max="16143" width="11.140625" style="525" bestFit="1" customWidth="1"/>
    <col min="16144" max="16384" width="9.140625" style="525"/>
  </cols>
  <sheetData>
    <row r="1" spans="1:15">
      <c r="C1" s="526" t="s">
        <v>1680</v>
      </c>
      <c r="G1" s="1388" t="s">
        <v>1020</v>
      </c>
    </row>
    <row r="2" spans="1:15">
      <c r="A2" s="2357"/>
      <c r="B2" s="2357"/>
      <c r="C2" s="2304"/>
      <c r="D2" s="2357"/>
      <c r="E2" s="2357"/>
      <c r="F2" s="2357"/>
      <c r="G2" s="2357"/>
      <c r="H2" s="2357"/>
      <c r="I2" s="2357"/>
      <c r="J2" s="2357"/>
      <c r="K2" s="2357"/>
      <c r="L2" s="2357"/>
      <c r="M2" s="2357"/>
    </row>
    <row r="3" spans="1:15" ht="17.25" customHeight="1">
      <c r="A3" s="2357"/>
      <c r="B3" s="2357"/>
      <c r="C3" s="2304"/>
      <c r="D3" s="2357"/>
      <c r="E3" s="2357"/>
      <c r="F3" s="2357"/>
      <c r="G3" s="2357"/>
      <c r="H3" s="2357"/>
      <c r="I3" s="2357"/>
      <c r="J3" s="2357"/>
      <c r="K3" s="2357"/>
      <c r="L3" s="2357"/>
      <c r="M3" s="2357"/>
    </row>
    <row r="4" spans="1:15">
      <c r="A4" s="2740" t="s">
        <v>1679</v>
      </c>
      <c r="B4" s="2740"/>
      <c r="C4" s="2740"/>
      <c r="D4" s="2740"/>
      <c r="E4" s="2740"/>
      <c r="F4" s="2740"/>
      <c r="G4" s="2740"/>
      <c r="H4" s="2740"/>
      <c r="I4" s="2740"/>
      <c r="J4" s="2740"/>
      <c r="K4" s="2740"/>
      <c r="L4" s="2740"/>
      <c r="M4" s="2740"/>
      <c r="N4" s="2740"/>
    </row>
    <row r="5" spans="1:15">
      <c r="A5" s="2377" t="s">
        <v>1295</v>
      </c>
      <c r="B5" s="2377"/>
      <c r="C5" s="2377"/>
      <c r="D5" s="2377"/>
      <c r="E5" s="2377"/>
      <c r="F5" s="2377"/>
      <c r="G5" s="2377"/>
      <c r="H5" s="2377"/>
      <c r="I5" s="2377"/>
      <c r="J5" s="2377"/>
      <c r="K5" s="2377"/>
      <c r="L5" s="2377"/>
      <c r="M5" s="2377"/>
      <c r="N5" s="2377"/>
    </row>
    <row r="6" spans="1:15" ht="17.25" thickBot="1">
      <c r="A6" s="2294"/>
      <c r="B6" s="2294"/>
      <c r="C6" s="2294"/>
      <c r="D6" s="2294"/>
      <c r="E6" s="2294"/>
      <c r="F6" s="2294"/>
      <c r="G6" s="2294"/>
      <c r="H6" s="2294"/>
      <c r="I6" s="2294"/>
      <c r="J6" s="2294"/>
      <c r="K6" s="2294"/>
      <c r="L6" s="2294"/>
      <c r="M6" s="2294" t="s">
        <v>1263</v>
      </c>
      <c r="N6" s="2294"/>
    </row>
    <row r="7" spans="1:15" ht="17.25" thickTop="1">
      <c r="A7" s="867"/>
      <c r="B7" s="2794" t="s">
        <v>235</v>
      </c>
      <c r="C7" s="2797" t="s">
        <v>1678</v>
      </c>
      <c r="D7" s="2767" t="s">
        <v>1292</v>
      </c>
      <c r="E7" s="2768"/>
      <c r="F7" s="2768"/>
      <c r="G7" s="2768"/>
      <c r="H7" s="2768"/>
      <c r="I7" s="2768"/>
      <c r="J7" s="2768"/>
      <c r="K7" s="2768"/>
      <c r="L7" s="2768"/>
      <c r="M7" s="2769"/>
      <c r="N7" s="2800" t="s">
        <v>253</v>
      </c>
    </row>
    <row r="8" spans="1:15">
      <c r="A8" s="864" t="s">
        <v>1294</v>
      </c>
      <c r="B8" s="2795"/>
      <c r="C8" s="2798"/>
      <c r="D8" s="2773" t="s">
        <v>1035</v>
      </c>
      <c r="E8" s="2774"/>
      <c r="F8" s="2773" t="s">
        <v>1034</v>
      </c>
      <c r="G8" s="2774"/>
      <c r="H8" s="2773" t="s">
        <v>1033</v>
      </c>
      <c r="I8" s="2774"/>
      <c r="J8" s="2773" t="s">
        <v>1508</v>
      </c>
      <c r="K8" s="2774"/>
      <c r="L8" s="2773" t="s">
        <v>1677</v>
      </c>
      <c r="M8" s="2774"/>
      <c r="N8" s="2801"/>
    </row>
    <row r="9" spans="1:15">
      <c r="A9" s="890"/>
      <c r="B9" s="2796"/>
      <c r="C9" s="2799"/>
      <c r="D9" s="2359" t="s">
        <v>1</v>
      </c>
      <c r="E9" s="2359" t="s">
        <v>4</v>
      </c>
      <c r="F9" s="2359" t="s">
        <v>1</v>
      </c>
      <c r="G9" s="2359" t="s">
        <v>4</v>
      </c>
      <c r="H9" s="2359" t="s">
        <v>1</v>
      </c>
      <c r="I9" s="889" t="s">
        <v>4</v>
      </c>
      <c r="J9" s="2359" t="s">
        <v>1</v>
      </c>
      <c r="K9" s="888" t="s">
        <v>4</v>
      </c>
      <c r="L9" s="2359" t="s">
        <v>1</v>
      </c>
      <c r="M9" s="888" t="s">
        <v>4</v>
      </c>
      <c r="N9" s="2802"/>
    </row>
    <row r="10" spans="1:15">
      <c r="A10" s="858" t="s">
        <v>1676</v>
      </c>
      <c r="B10" s="529"/>
      <c r="C10" s="566"/>
      <c r="D10" s="887"/>
      <c r="E10" s="886">
        <f>SUM(E21+E22)</f>
        <v>218700000</v>
      </c>
      <c r="F10" s="886"/>
      <c r="G10" s="886">
        <f>SUM(G21+G22)</f>
        <v>46280000</v>
      </c>
      <c r="H10" s="887"/>
      <c r="I10" s="886">
        <f>SUM(I21+I22)</f>
        <v>48480000</v>
      </c>
      <c r="J10" s="886"/>
      <c r="K10" s="886">
        <f>SUM(K21+K22)</f>
        <v>60680000</v>
      </c>
      <c r="L10" s="886"/>
      <c r="M10" s="886">
        <f>SUM(M21+M22)</f>
        <v>54980000</v>
      </c>
      <c r="N10" s="856">
        <f>SUM(E10:M10)</f>
        <v>429120000</v>
      </c>
      <c r="O10" s="800"/>
    </row>
    <row r="11" spans="1:15">
      <c r="A11" s="848" t="s">
        <v>1675</v>
      </c>
      <c r="B11" s="818" t="s">
        <v>139</v>
      </c>
      <c r="C11" s="553">
        <v>40000</v>
      </c>
      <c r="D11" s="597">
        <v>2000</v>
      </c>
      <c r="E11" s="597">
        <f>D11*C11</f>
        <v>80000000</v>
      </c>
      <c r="F11" s="597"/>
      <c r="G11" s="597">
        <f>F11*C11</f>
        <v>0</v>
      </c>
      <c r="H11" s="597"/>
      <c r="I11" s="821">
        <f>H11*C11</f>
        <v>0</v>
      </c>
      <c r="J11" s="821"/>
      <c r="K11" s="885"/>
      <c r="L11" s="821"/>
      <c r="M11" s="885"/>
      <c r="N11" s="854">
        <f t="shared" ref="N11:N20" si="0">E11+G11+I11+K11+M11</f>
        <v>80000000</v>
      </c>
    </row>
    <row r="12" spans="1:15">
      <c r="A12" s="848" t="s">
        <v>1350</v>
      </c>
      <c r="B12" s="562" t="s">
        <v>1287</v>
      </c>
      <c r="C12" s="553">
        <v>40000</v>
      </c>
      <c r="D12" s="597">
        <v>2000</v>
      </c>
      <c r="E12" s="597">
        <f>C12*D12</f>
        <v>80000000</v>
      </c>
      <c r="F12" s="597"/>
      <c r="G12" s="597"/>
      <c r="H12" s="597"/>
      <c r="I12" s="597"/>
      <c r="J12" s="597"/>
      <c r="K12" s="874"/>
      <c r="L12" s="597"/>
      <c r="M12" s="874"/>
      <c r="N12" s="854">
        <f t="shared" si="0"/>
        <v>80000000</v>
      </c>
    </row>
    <row r="13" spans="1:15">
      <c r="A13" s="848" t="s">
        <v>1674</v>
      </c>
      <c r="B13" s="562" t="s">
        <v>1660</v>
      </c>
      <c r="C13" s="553">
        <v>1400000</v>
      </c>
      <c r="D13" s="597">
        <v>15</v>
      </c>
      <c r="E13" s="597">
        <f>C13*D13</f>
        <v>21000000</v>
      </c>
      <c r="F13" s="597">
        <v>3</v>
      </c>
      <c r="G13" s="597">
        <f>F13*C13</f>
        <v>4200000</v>
      </c>
      <c r="H13" s="597">
        <v>3</v>
      </c>
      <c r="I13" s="597">
        <f>H13*C13</f>
        <v>4200000</v>
      </c>
      <c r="J13" s="597">
        <v>3</v>
      </c>
      <c r="K13" s="874">
        <f>J13*C13</f>
        <v>4200000</v>
      </c>
      <c r="L13" s="597">
        <v>3</v>
      </c>
      <c r="M13" s="874">
        <f>L13*C13</f>
        <v>4200000</v>
      </c>
      <c r="N13" s="854">
        <f t="shared" si="0"/>
        <v>37800000</v>
      </c>
    </row>
    <row r="14" spans="1:15">
      <c r="A14" s="848" t="s">
        <v>1377</v>
      </c>
      <c r="B14" s="562" t="s">
        <v>228</v>
      </c>
      <c r="C14" s="553">
        <v>450000</v>
      </c>
      <c r="D14" s="597"/>
      <c r="E14" s="597">
        <f>C14*D14</f>
        <v>0</v>
      </c>
      <c r="F14" s="597">
        <v>3</v>
      </c>
      <c r="G14" s="597">
        <f>F14*C14</f>
        <v>1350000</v>
      </c>
      <c r="H14" s="597">
        <v>3</v>
      </c>
      <c r="I14" s="597">
        <f>H14*C14</f>
        <v>1350000</v>
      </c>
      <c r="J14" s="597">
        <v>3</v>
      </c>
      <c r="K14" s="597">
        <f>J14*C14</f>
        <v>1350000</v>
      </c>
      <c r="L14" s="597">
        <v>3</v>
      </c>
      <c r="M14" s="874">
        <f>L14*C14</f>
        <v>1350000</v>
      </c>
      <c r="N14" s="854">
        <f t="shared" si="0"/>
        <v>5400000</v>
      </c>
    </row>
    <row r="15" spans="1:15">
      <c r="A15" s="848" t="s">
        <v>1376</v>
      </c>
      <c r="B15" s="562" t="s">
        <v>11</v>
      </c>
      <c r="C15" s="553"/>
      <c r="D15" s="597"/>
      <c r="E15" s="597">
        <f>SUM(E16:E18)</f>
        <v>1800000</v>
      </c>
      <c r="F15" s="597"/>
      <c r="G15" s="597">
        <f>SUM(G16:G18)</f>
        <v>1715000</v>
      </c>
      <c r="H15" s="597"/>
      <c r="I15" s="597">
        <f>SUM(I16:I18)</f>
        <v>1715000</v>
      </c>
      <c r="J15" s="597"/>
      <c r="K15" s="597">
        <f>SUM(K16:K18)</f>
        <v>1715000</v>
      </c>
      <c r="L15" s="597"/>
      <c r="M15" s="597">
        <f>SUM(M16:M18)</f>
        <v>1715000</v>
      </c>
      <c r="N15" s="854">
        <f t="shared" si="0"/>
        <v>8660000</v>
      </c>
    </row>
    <row r="16" spans="1:15" s="880" customFormat="1">
      <c r="A16" s="826" t="s">
        <v>1284</v>
      </c>
      <c r="B16" s="562" t="s">
        <v>11</v>
      </c>
      <c r="C16" s="778">
        <v>10000</v>
      </c>
      <c r="D16" s="561">
        <v>75</v>
      </c>
      <c r="E16" s="883">
        <f>C16*D16</f>
        <v>750000</v>
      </c>
      <c r="F16" s="883">
        <v>50</v>
      </c>
      <c r="G16" s="883">
        <f>F16*C16</f>
        <v>500000</v>
      </c>
      <c r="H16" s="883">
        <v>50</v>
      </c>
      <c r="I16" s="883">
        <f>H16*C16</f>
        <v>500000</v>
      </c>
      <c r="J16" s="883">
        <v>50</v>
      </c>
      <c r="K16" s="883">
        <f>J16*C16</f>
        <v>500000</v>
      </c>
      <c r="L16" s="883">
        <v>50</v>
      </c>
      <c r="M16" s="882">
        <f>L16*C16</f>
        <v>500000</v>
      </c>
      <c r="N16" s="881">
        <f t="shared" si="0"/>
        <v>2750000</v>
      </c>
      <c r="O16" s="884"/>
    </row>
    <row r="17" spans="1:15" s="880" customFormat="1">
      <c r="A17" s="826" t="s">
        <v>1283</v>
      </c>
      <c r="B17" s="562" t="s">
        <v>11</v>
      </c>
      <c r="C17" s="778">
        <v>3000</v>
      </c>
      <c r="D17" s="561">
        <v>150</v>
      </c>
      <c r="E17" s="883">
        <f>C17*D17</f>
        <v>450000</v>
      </c>
      <c r="F17" s="883">
        <v>180</v>
      </c>
      <c r="G17" s="883">
        <f>F17*C17</f>
        <v>540000</v>
      </c>
      <c r="H17" s="883">
        <v>180</v>
      </c>
      <c r="I17" s="883">
        <f>H17*C17</f>
        <v>540000</v>
      </c>
      <c r="J17" s="883">
        <v>180</v>
      </c>
      <c r="K17" s="883">
        <f>J17*C17</f>
        <v>540000</v>
      </c>
      <c r="L17" s="883">
        <v>180</v>
      </c>
      <c r="M17" s="882">
        <f>L17*C17</f>
        <v>540000</v>
      </c>
      <c r="N17" s="881">
        <f t="shared" si="0"/>
        <v>2610000</v>
      </c>
    </row>
    <row r="18" spans="1:15" s="880" customFormat="1">
      <c r="A18" s="826" t="s">
        <v>1282</v>
      </c>
      <c r="B18" s="562" t="s">
        <v>11</v>
      </c>
      <c r="C18" s="778">
        <v>15000</v>
      </c>
      <c r="D18" s="561">
        <v>40</v>
      </c>
      <c r="E18" s="883">
        <f>C18*D18</f>
        <v>600000</v>
      </c>
      <c r="F18" s="883">
        <v>45</v>
      </c>
      <c r="G18" s="883">
        <f>F18*C18</f>
        <v>675000</v>
      </c>
      <c r="H18" s="883">
        <v>45</v>
      </c>
      <c r="I18" s="883">
        <f>H18*C18</f>
        <v>675000</v>
      </c>
      <c r="J18" s="883">
        <v>45</v>
      </c>
      <c r="K18" s="883">
        <f>J18*C18</f>
        <v>675000</v>
      </c>
      <c r="L18" s="883">
        <v>45</v>
      </c>
      <c r="M18" s="882">
        <f>L18*C18</f>
        <v>675000</v>
      </c>
      <c r="N18" s="881">
        <f t="shared" si="0"/>
        <v>3300000</v>
      </c>
    </row>
    <row r="19" spans="1:15">
      <c r="A19" s="848" t="s">
        <v>1318</v>
      </c>
      <c r="B19" s="562" t="s">
        <v>513</v>
      </c>
      <c r="C19" s="553">
        <v>200000</v>
      </c>
      <c r="D19" s="597">
        <v>20</v>
      </c>
      <c r="E19" s="597">
        <f>C19*D19</f>
        <v>4000000</v>
      </c>
      <c r="F19" s="597">
        <v>25</v>
      </c>
      <c r="G19" s="597">
        <f>F19*C19</f>
        <v>5000000</v>
      </c>
      <c r="H19" s="597">
        <v>25</v>
      </c>
      <c r="I19" s="597">
        <f>H19*C19</f>
        <v>5000000</v>
      </c>
      <c r="J19" s="597">
        <v>25</v>
      </c>
      <c r="K19" s="597">
        <f>J19*C19</f>
        <v>5000000</v>
      </c>
      <c r="L19" s="597">
        <v>25</v>
      </c>
      <c r="M19" s="874">
        <f>L19*C19</f>
        <v>5000000</v>
      </c>
      <c r="N19" s="854">
        <f t="shared" si="0"/>
        <v>24000000</v>
      </c>
    </row>
    <row r="20" spans="1:15">
      <c r="A20" s="848" t="s">
        <v>1345</v>
      </c>
      <c r="B20" s="562" t="s">
        <v>511</v>
      </c>
      <c r="C20" s="553">
        <v>250000</v>
      </c>
      <c r="D20" s="597">
        <v>50</v>
      </c>
      <c r="E20" s="597">
        <f>C20*D20</f>
        <v>12500000</v>
      </c>
      <c r="F20" s="597">
        <v>50</v>
      </c>
      <c r="G20" s="597">
        <f>F20*C20</f>
        <v>12500000</v>
      </c>
      <c r="H20" s="597">
        <v>50</v>
      </c>
      <c r="I20" s="597">
        <f>H20*C20</f>
        <v>12500000</v>
      </c>
      <c r="J20" s="597">
        <v>90</v>
      </c>
      <c r="K20" s="874">
        <f>J20*C20</f>
        <v>22500000</v>
      </c>
      <c r="L20" s="597">
        <v>120</v>
      </c>
      <c r="M20" s="874">
        <f>L20*C20</f>
        <v>30000000</v>
      </c>
      <c r="N20" s="854">
        <f t="shared" si="0"/>
        <v>90000000</v>
      </c>
    </row>
    <row r="21" spans="1:15">
      <c r="A21" s="853" t="s">
        <v>1344</v>
      </c>
      <c r="B21" s="878"/>
      <c r="C21" s="851"/>
      <c r="D21" s="876"/>
      <c r="E21" s="876">
        <f>SUM(E11:E20)</f>
        <v>201100000</v>
      </c>
      <c r="F21" s="876"/>
      <c r="G21" s="876">
        <f>SUM(G11:G20)</f>
        <v>26480000</v>
      </c>
      <c r="H21" s="876"/>
      <c r="I21" s="876">
        <f>SUM(I11:I20)</f>
        <v>26480000</v>
      </c>
      <c r="J21" s="876"/>
      <c r="K21" s="876">
        <f>SUM(K11:K20)</f>
        <v>36480000</v>
      </c>
      <c r="L21" s="876"/>
      <c r="M21" s="876">
        <f>SUM(M11:M20)</f>
        <v>43980000</v>
      </c>
      <c r="N21" s="879">
        <f>SUM(N11:N20)</f>
        <v>334520000</v>
      </c>
      <c r="O21" s="800"/>
    </row>
    <row r="22" spans="1:15">
      <c r="A22" s="848" t="s">
        <v>1673</v>
      </c>
      <c r="B22" s="554" t="s">
        <v>1270</v>
      </c>
      <c r="C22" s="553"/>
      <c r="D22" s="597"/>
      <c r="E22" s="597">
        <f>160000000*11%</f>
        <v>17600000</v>
      </c>
      <c r="F22" s="597"/>
      <c r="G22" s="597">
        <f>180000000*11%</f>
        <v>19800000</v>
      </c>
      <c r="H22" s="597"/>
      <c r="I22" s="597">
        <f>200000000*11%</f>
        <v>22000000</v>
      </c>
      <c r="J22" s="597"/>
      <c r="K22" s="597">
        <f>220000000*11%</f>
        <v>24200000</v>
      </c>
      <c r="L22" s="597"/>
      <c r="M22" s="597">
        <f>100000000*11%</f>
        <v>11000000</v>
      </c>
      <c r="N22" s="854">
        <f>SUM(E22:M22)</f>
        <v>94600000</v>
      </c>
    </row>
    <row r="23" spans="1:15">
      <c r="A23" s="853" t="s">
        <v>1341</v>
      </c>
      <c r="B23" s="878"/>
      <c r="C23" s="851"/>
      <c r="D23" s="876"/>
      <c r="E23" s="875">
        <f>E26</f>
        <v>0</v>
      </c>
      <c r="F23" s="875"/>
      <c r="G23" s="876">
        <f>G26</f>
        <v>0</v>
      </c>
      <c r="H23" s="877"/>
      <c r="I23" s="876">
        <f>I26</f>
        <v>0</v>
      </c>
      <c r="J23" s="877"/>
      <c r="K23" s="875">
        <f>K26</f>
        <v>200000000</v>
      </c>
      <c r="L23" s="876"/>
      <c r="M23" s="875">
        <f>M26</f>
        <v>300000000</v>
      </c>
      <c r="N23" s="847">
        <f>N26</f>
        <v>500000000</v>
      </c>
    </row>
    <row r="24" spans="1:15">
      <c r="A24" s="848" t="s">
        <v>1672</v>
      </c>
      <c r="B24" s="554" t="s">
        <v>1273</v>
      </c>
      <c r="C24" s="553"/>
      <c r="D24" s="597"/>
      <c r="E24" s="597"/>
      <c r="F24" s="597"/>
      <c r="G24" s="597"/>
      <c r="H24" s="597"/>
      <c r="I24" s="597"/>
      <c r="J24" s="597">
        <v>4000</v>
      </c>
      <c r="K24" s="874"/>
      <c r="L24" s="597">
        <v>6000</v>
      </c>
      <c r="M24" s="874"/>
      <c r="N24" s="847"/>
    </row>
    <row r="25" spans="1:15">
      <c r="A25" s="848" t="s">
        <v>1671</v>
      </c>
      <c r="B25" s="554" t="s">
        <v>1270</v>
      </c>
      <c r="C25" s="553"/>
      <c r="D25" s="597"/>
      <c r="E25" s="597"/>
      <c r="F25" s="597"/>
      <c r="G25" s="597"/>
      <c r="H25" s="597"/>
      <c r="I25" s="597"/>
      <c r="J25" s="597"/>
      <c r="K25" s="874">
        <v>50000</v>
      </c>
      <c r="L25" s="597"/>
      <c r="M25" s="874">
        <v>50000</v>
      </c>
      <c r="N25" s="847"/>
    </row>
    <row r="26" spans="1:15">
      <c r="A26" s="848" t="s">
        <v>1599</v>
      </c>
      <c r="B26" s="554" t="s">
        <v>1270</v>
      </c>
      <c r="C26" s="553"/>
      <c r="D26" s="597"/>
      <c r="E26" s="597"/>
      <c r="F26" s="597"/>
      <c r="G26" s="597"/>
      <c r="H26" s="597"/>
      <c r="I26" s="597"/>
      <c r="J26" s="597">
        <f>J24</f>
        <v>4000</v>
      </c>
      <c r="K26" s="874">
        <f>J26*K25</f>
        <v>200000000</v>
      </c>
      <c r="L26" s="597">
        <f>L24</f>
        <v>6000</v>
      </c>
      <c r="M26" s="874">
        <f>L26*M25</f>
        <v>300000000</v>
      </c>
      <c r="N26" s="847">
        <f>K26+M26</f>
        <v>500000000</v>
      </c>
    </row>
    <row r="27" spans="1:15">
      <c r="A27" s="846" t="s">
        <v>1670</v>
      </c>
      <c r="B27" s="550"/>
      <c r="C27" s="794"/>
      <c r="D27" s="872"/>
      <c r="E27" s="873">
        <f>E23-E10</f>
        <v>-218700000</v>
      </c>
      <c r="F27" s="872"/>
      <c r="G27" s="871">
        <f>G23-G10</f>
        <v>-46280000</v>
      </c>
      <c r="H27" s="872"/>
      <c r="I27" s="871">
        <f>I23-I10</f>
        <v>-48480000</v>
      </c>
      <c r="J27" s="872"/>
      <c r="K27" s="871">
        <f>K23-K10</f>
        <v>139320000</v>
      </c>
      <c r="L27" s="872"/>
      <c r="M27" s="871">
        <f>M23-M10</f>
        <v>245020000</v>
      </c>
      <c r="N27" s="870">
        <f>N23-N10</f>
        <v>70880000</v>
      </c>
    </row>
    <row r="28" spans="1:15" ht="17.25" thickBot="1">
      <c r="A28" s="814" t="s">
        <v>1269</v>
      </c>
      <c r="B28" s="842"/>
      <c r="C28" s="841"/>
      <c r="D28" s="869"/>
      <c r="E28" s="869"/>
      <c r="F28" s="869"/>
      <c r="G28" s="869"/>
      <c r="H28" s="869"/>
      <c r="I28" s="869"/>
      <c r="J28" s="869"/>
      <c r="K28" s="869"/>
      <c r="L28" s="869"/>
      <c r="M28" s="869"/>
      <c r="N28" s="868">
        <f>N27/N23</f>
        <v>0.14176</v>
      </c>
    </row>
    <row r="29" spans="1:15" ht="17.25" thickTop="1">
      <c r="A29" s="805" t="s">
        <v>1268</v>
      </c>
    </row>
    <row r="30" spans="1:15">
      <c r="A30" s="525" t="s">
        <v>1669</v>
      </c>
    </row>
    <row r="31" spans="1:15">
      <c r="A31" s="525" t="s">
        <v>1668</v>
      </c>
    </row>
  </sheetData>
  <mergeCells count="11">
    <mergeCell ref="H8:I8"/>
    <mergeCell ref="J8:K8"/>
    <mergeCell ref="L8:M8"/>
    <mergeCell ref="A4:N4"/>
    <mergeCell ref="A5:N5"/>
    <mergeCell ref="B7:B9"/>
    <mergeCell ref="C7:C9"/>
    <mergeCell ref="D7:M7"/>
    <mergeCell ref="N7:N9"/>
    <mergeCell ref="D8:E8"/>
    <mergeCell ref="F8:G8"/>
  </mergeCells>
  <pageMargins left="1" right="0.26" top="0.75" bottom="0.75" header="0.5" footer="0.5"/>
  <pageSetup paperSize="9" scale="85" orientation="landscape" r:id="rId1"/>
  <headerFooter>
    <oddFooter>&amp;CTrang</oddFooter>
  </headerFooter>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IV40"/>
  <sheetViews>
    <sheetView workbookViewId="0">
      <selection activeCell="J13" sqref="J13"/>
    </sheetView>
  </sheetViews>
  <sheetFormatPr defaultRowHeight="16.5"/>
  <cols>
    <col min="1" max="1" width="30.85546875" style="523" customWidth="1"/>
    <col min="2" max="2" width="13" style="523" bestFit="1" customWidth="1"/>
    <col min="3" max="3" width="11.28515625" style="523" bestFit="1" customWidth="1"/>
    <col min="4" max="4" width="10" style="523" bestFit="1" customWidth="1"/>
    <col min="5" max="5" width="14.140625" style="523" bestFit="1" customWidth="1"/>
    <col min="6" max="6" width="10" style="523" bestFit="1" customWidth="1"/>
    <col min="7" max="7" width="14.85546875" style="523" bestFit="1" customWidth="1"/>
    <col min="8" max="256" width="9.140625" style="523"/>
    <col min="257" max="257" width="22.85546875" style="523" customWidth="1"/>
    <col min="258" max="258" width="9.42578125" style="523" customWidth="1"/>
    <col min="259" max="259" width="9.85546875" style="523" customWidth="1"/>
    <col min="260" max="260" width="11.28515625" style="523" customWidth="1"/>
    <col min="261" max="261" width="12.7109375" style="523" customWidth="1"/>
    <col min="262" max="262" width="11.5703125" style="523" customWidth="1"/>
    <col min="263" max="263" width="12.28515625" style="523" customWidth="1"/>
    <col min="264" max="512" width="9.140625" style="523"/>
    <col min="513" max="513" width="22.85546875" style="523" customWidth="1"/>
    <col min="514" max="514" width="9.42578125" style="523" customWidth="1"/>
    <col min="515" max="515" width="9.85546875" style="523" customWidth="1"/>
    <col min="516" max="516" width="11.28515625" style="523" customWidth="1"/>
    <col min="517" max="517" width="12.7109375" style="523" customWidth="1"/>
    <col min="518" max="518" width="11.5703125" style="523" customWidth="1"/>
    <col min="519" max="519" width="12.28515625" style="523" customWidth="1"/>
    <col min="520" max="768" width="9.140625" style="523"/>
    <col min="769" max="769" width="22.85546875" style="523" customWidth="1"/>
    <col min="770" max="770" width="9.42578125" style="523" customWidth="1"/>
    <col min="771" max="771" width="9.85546875" style="523" customWidth="1"/>
    <col min="772" max="772" width="11.28515625" style="523" customWidth="1"/>
    <col min="773" max="773" width="12.7109375" style="523" customWidth="1"/>
    <col min="774" max="774" width="11.5703125" style="523" customWidth="1"/>
    <col min="775" max="775" width="12.28515625" style="523" customWidth="1"/>
    <col min="776" max="1024" width="9.140625" style="523"/>
    <col min="1025" max="1025" width="22.85546875" style="523" customWidth="1"/>
    <col min="1026" max="1026" width="9.42578125" style="523" customWidth="1"/>
    <col min="1027" max="1027" width="9.85546875" style="523" customWidth="1"/>
    <col min="1028" max="1028" width="11.28515625" style="523" customWidth="1"/>
    <col min="1029" max="1029" width="12.7109375" style="523" customWidth="1"/>
    <col min="1030" max="1030" width="11.5703125" style="523" customWidth="1"/>
    <col min="1031" max="1031" width="12.28515625" style="523" customWidth="1"/>
    <col min="1032" max="1280" width="9.140625" style="523"/>
    <col min="1281" max="1281" width="22.85546875" style="523" customWidth="1"/>
    <col min="1282" max="1282" width="9.42578125" style="523" customWidth="1"/>
    <col min="1283" max="1283" width="9.85546875" style="523" customWidth="1"/>
    <col min="1284" max="1284" width="11.28515625" style="523" customWidth="1"/>
    <col min="1285" max="1285" width="12.7109375" style="523" customWidth="1"/>
    <col min="1286" max="1286" width="11.5703125" style="523" customWidth="1"/>
    <col min="1287" max="1287" width="12.28515625" style="523" customWidth="1"/>
    <col min="1288" max="1536" width="9.140625" style="523"/>
    <col min="1537" max="1537" width="22.85546875" style="523" customWidth="1"/>
    <col min="1538" max="1538" width="9.42578125" style="523" customWidth="1"/>
    <col min="1539" max="1539" width="9.85546875" style="523" customWidth="1"/>
    <col min="1540" max="1540" width="11.28515625" style="523" customWidth="1"/>
    <col min="1541" max="1541" width="12.7109375" style="523" customWidth="1"/>
    <col min="1542" max="1542" width="11.5703125" style="523" customWidth="1"/>
    <col min="1543" max="1543" width="12.28515625" style="523" customWidth="1"/>
    <col min="1544" max="1792" width="9.140625" style="523"/>
    <col min="1793" max="1793" width="22.85546875" style="523" customWidth="1"/>
    <col min="1794" max="1794" width="9.42578125" style="523" customWidth="1"/>
    <col min="1795" max="1795" width="9.85546875" style="523" customWidth="1"/>
    <col min="1796" max="1796" width="11.28515625" style="523" customWidth="1"/>
    <col min="1797" max="1797" width="12.7109375" style="523" customWidth="1"/>
    <col min="1798" max="1798" width="11.5703125" style="523" customWidth="1"/>
    <col min="1799" max="1799" width="12.28515625" style="523" customWidth="1"/>
    <col min="1800" max="2048" width="9.140625" style="523"/>
    <col min="2049" max="2049" width="22.85546875" style="523" customWidth="1"/>
    <col min="2050" max="2050" width="9.42578125" style="523" customWidth="1"/>
    <col min="2051" max="2051" width="9.85546875" style="523" customWidth="1"/>
    <col min="2052" max="2052" width="11.28515625" style="523" customWidth="1"/>
    <col min="2053" max="2053" width="12.7109375" style="523" customWidth="1"/>
    <col min="2054" max="2054" width="11.5703125" style="523" customWidth="1"/>
    <col min="2055" max="2055" width="12.28515625" style="523" customWidth="1"/>
    <col min="2056" max="2304" width="9.140625" style="523"/>
    <col min="2305" max="2305" width="22.85546875" style="523" customWidth="1"/>
    <col min="2306" max="2306" width="9.42578125" style="523" customWidth="1"/>
    <col min="2307" max="2307" width="9.85546875" style="523" customWidth="1"/>
    <col min="2308" max="2308" width="11.28515625" style="523" customWidth="1"/>
    <col min="2309" max="2309" width="12.7109375" style="523" customWidth="1"/>
    <col min="2310" max="2310" width="11.5703125" style="523" customWidth="1"/>
    <col min="2311" max="2311" width="12.28515625" style="523" customWidth="1"/>
    <col min="2312" max="2560" width="9.140625" style="523"/>
    <col min="2561" max="2561" width="22.85546875" style="523" customWidth="1"/>
    <col min="2562" max="2562" width="9.42578125" style="523" customWidth="1"/>
    <col min="2563" max="2563" width="9.85546875" style="523" customWidth="1"/>
    <col min="2564" max="2564" width="11.28515625" style="523" customWidth="1"/>
    <col min="2565" max="2565" width="12.7109375" style="523" customWidth="1"/>
    <col min="2566" max="2566" width="11.5703125" style="523" customWidth="1"/>
    <col min="2567" max="2567" width="12.28515625" style="523" customWidth="1"/>
    <col min="2568" max="2816" width="9.140625" style="523"/>
    <col min="2817" max="2817" width="22.85546875" style="523" customWidth="1"/>
    <col min="2818" max="2818" width="9.42578125" style="523" customWidth="1"/>
    <col min="2819" max="2819" width="9.85546875" style="523" customWidth="1"/>
    <col min="2820" max="2820" width="11.28515625" style="523" customWidth="1"/>
    <col min="2821" max="2821" width="12.7109375" style="523" customWidth="1"/>
    <col min="2822" max="2822" width="11.5703125" style="523" customWidth="1"/>
    <col min="2823" max="2823" width="12.28515625" style="523" customWidth="1"/>
    <col min="2824" max="3072" width="9.140625" style="523"/>
    <col min="3073" max="3073" width="22.85546875" style="523" customWidth="1"/>
    <col min="3074" max="3074" width="9.42578125" style="523" customWidth="1"/>
    <col min="3075" max="3075" width="9.85546875" style="523" customWidth="1"/>
    <col min="3076" max="3076" width="11.28515625" style="523" customWidth="1"/>
    <col min="3077" max="3077" width="12.7109375" style="523" customWidth="1"/>
    <col min="3078" max="3078" width="11.5703125" style="523" customWidth="1"/>
    <col min="3079" max="3079" width="12.28515625" style="523" customWidth="1"/>
    <col min="3080" max="3328" width="9.140625" style="523"/>
    <col min="3329" max="3329" width="22.85546875" style="523" customWidth="1"/>
    <col min="3330" max="3330" width="9.42578125" style="523" customWidth="1"/>
    <col min="3331" max="3331" width="9.85546875" style="523" customWidth="1"/>
    <col min="3332" max="3332" width="11.28515625" style="523" customWidth="1"/>
    <col min="3333" max="3333" width="12.7109375" style="523" customWidth="1"/>
    <col min="3334" max="3334" width="11.5703125" style="523" customWidth="1"/>
    <col min="3335" max="3335" width="12.28515625" style="523" customWidth="1"/>
    <col min="3336" max="3584" width="9.140625" style="523"/>
    <col min="3585" max="3585" width="22.85546875" style="523" customWidth="1"/>
    <col min="3586" max="3586" width="9.42578125" style="523" customWidth="1"/>
    <col min="3587" max="3587" width="9.85546875" style="523" customWidth="1"/>
    <col min="3588" max="3588" width="11.28515625" style="523" customWidth="1"/>
    <col min="3589" max="3589" width="12.7109375" style="523" customWidth="1"/>
    <col min="3590" max="3590" width="11.5703125" style="523" customWidth="1"/>
    <col min="3591" max="3591" width="12.28515625" style="523" customWidth="1"/>
    <col min="3592" max="3840" width="9.140625" style="523"/>
    <col min="3841" max="3841" width="22.85546875" style="523" customWidth="1"/>
    <col min="3842" max="3842" width="9.42578125" style="523" customWidth="1"/>
    <col min="3843" max="3843" width="9.85546875" style="523" customWidth="1"/>
    <col min="3844" max="3844" width="11.28515625" style="523" customWidth="1"/>
    <col min="3845" max="3845" width="12.7109375" style="523" customWidth="1"/>
    <col min="3846" max="3846" width="11.5703125" style="523" customWidth="1"/>
    <col min="3847" max="3847" width="12.28515625" style="523" customWidth="1"/>
    <col min="3848" max="4096" width="9.140625" style="523"/>
    <col min="4097" max="4097" width="22.85546875" style="523" customWidth="1"/>
    <col min="4098" max="4098" width="9.42578125" style="523" customWidth="1"/>
    <col min="4099" max="4099" width="9.85546875" style="523" customWidth="1"/>
    <col min="4100" max="4100" width="11.28515625" style="523" customWidth="1"/>
    <col min="4101" max="4101" width="12.7109375" style="523" customWidth="1"/>
    <col min="4102" max="4102" width="11.5703125" style="523" customWidth="1"/>
    <col min="4103" max="4103" width="12.28515625" style="523" customWidth="1"/>
    <col min="4104" max="4352" width="9.140625" style="523"/>
    <col min="4353" max="4353" width="22.85546875" style="523" customWidth="1"/>
    <col min="4354" max="4354" width="9.42578125" style="523" customWidth="1"/>
    <col min="4355" max="4355" width="9.85546875" style="523" customWidth="1"/>
    <col min="4356" max="4356" width="11.28515625" style="523" customWidth="1"/>
    <col min="4357" max="4357" width="12.7109375" style="523" customWidth="1"/>
    <col min="4358" max="4358" width="11.5703125" style="523" customWidth="1"/>
    <col min="4359" max="4359" width="12.28515625" style="523" customWidth="1"/>
    <col min="4360" max="4608" width="9.140625" style="523"/>
    <col min="4609" max="4609" width="22.85546875" style="523" customWidth="1"/>
    <col min="4610" max="4610" width="9.42578125" style="523" customWidth="1"/>
    <col min="4611" max="4611" width="9.85546875" style="523" customWidth="1"/>
    <col min="4612" max="4612" width="11.28515625" style="523" customWidth="1"/>
    <col min="4613" max="4613" width="12.7109375" style="523" customWidth="1"/>
    <col min="4614" max="4614" width="11.5703125" style="523" customWidth="1"/>
    <col min="4615" max="4615" width="12.28515625" style="523" customWidth="1"/>
    <col min="4616" max="4864" width="9.140625" style="523"/>
    <col min="4865" max="4865" width="22.85546875" style="523" customWidth="1"/>
    <col min="4866" max="4866" width="9.42578125" style="523" customWidth="1"/>
    <col min="4867" max="4867" width="9.85546875" style="523" customWidth="1"/>
    <col min="4868" max="4868" width="11.28515625" style="523" customWidth="1"/>
    <col min="4869" max="4869" width="12.7109375" style="523" customWidth="1"/>
    <col min="4870" max="4870" width="11.5703125" style="523" customWidth="1"/>
    <col min="4871" max="4871" width="12.28515625" style="523" customWidth="1"/>
    <col min="4872" max="5120" width="9.140625" style="523"/>
    <col min="5121" max="5121" width="22.85546875" style="523" customWidth="1"/>
    <col min="5122" max="5122" width="9.42578125" style="523" customWidth="1"/>
    <col min="5123" max="5123" width="9.85546875" style="523" customWidth="1"/>
    <col min="5124" max="5124" width="11.28515625" style="523" customWidth="1"/>
    <col min="5125" max="5125" width="12.7109375" style="523" customWidth="1"/>
    <col min="5126" max="5126" width="11.5703125" style="523" customWidth="1"/>
    <col min="5127" max="5127" width="12.28515625" style="523" customWidth="1"/>
    <col min="5128" max="5376" width="9.140625" style="523"/>
    <col min="5377" max="5377" width="22.85546875" style="523" customWidth="1"/>
    <col min="5378" max="5378" width="9.42578125" style="523" customWidth="1"/>
    <col min="5379" max="5379" width="9.85546875" style="523" customWidth="1"/>
    <col min="5380" max="5380" width="11.28515625" style="523" customWidth="1"/>
    <col min="5381" max="5381" width="12.7109375" style="523" customWidth="1"/>
    <col min="5382" max="5382" width="11.5703125" style="523" customWidth="1"/>
    <col min="5383" max="5383" width="12.28515625" style="523" customWidth="1"/>
    <col min="5384" max="5632" width="9.140625" style="523"/>
    <col min="5633" max="5633" width="22.85546875" style="523" customWidth="1"/>
    <col min="5634" max="5634" width="9.42578125" style="523" customWidth="1"/>
    <col min="5635" max="5635" width="9.85546875" style="523" customWidth="1"/>
    <col min="5636" max="5636" width="11.28515625" style="523" customWidth="1"/>
    <col min="5637" max="5637" width="12.7109375" style="523" customWidth="1"/>
    <col min="5638" max="5638" width="11.5703125" style="523" customWidth="1"/>
    <col min="5639" max="5639" width="12.28515625" style="523" customWidth="1"/>
    <col min="5640" max="5888" width="9.140625" style="523"/>
    <col min="5889" max="5889" width="22.85546875" style="523" customWidth="1"/>
    <col min="5890" max="5890" width="9.42578125" style="523" customWidth="1"/>
    <col min="5891" max="5891" width="9.85546875" style="523" customWidth="1"/>
    <col min="5892" max="5892" width="11.28515625" style="523" customWidth="1"/>
    <col min="5893" max="5893" width="12.7109375" style="523" customWidth="1"/>
    <col min="5894" max="5894" width="11.5703125" style="523" customWidth="1"/>
    <col min="5895" max="5895" width="12.28515625" style="523" customWidth="1"/>
    <col min="5896" max="6144" width="9.140625" style="523"/>
    <col min="6145" max="6145" width="22.85546875" style="523" customWidth="1"/>
    <col min="6146" max="6146" width="9.42578125" style="523" customWidth="1"/>
    <col min="6147" max="6147" width="9.85546875" style="523" customWidth="1"/>
    <col min="6148" max="6148" width="11.28515625" style="523" customWidth="1"/>
    <col min="6149" max="6149" width="12.7109375" style="523" customWidth="1"/>
    <col min="6150" max="6150" width="11.5703125" style="523" customWidth="1"/>
    <col min="6151" max="6151" width="12.28515625" style="523" customWidth="1"/>
    <col min="6152" max="6400" width="9.140625" style="523"/>
    <col min="6401" max="6401" width="22.85546875" style="523" customWidth="1"/>
    <col min="6402" max="6402" width="9.42578125" style="523" customWidth="1"/>
    <col min="6403" max="6403" width="9.85546875" style="523" customWidth="1"/>
    <col min="6404" max="6404" width="11.28515625" style="523" customWidth="1"/>
    <col min="6405" max="6405" width="12.7109375" style="523" customWidth="1"/>
    <col min="6406" max="6406" width="11.5703125" style="523" customWidth="1"/>
    <col min="6407" max="6407" width="12.28515625" style="523" customWidth="1"/>
    <col min="6408" max="6656" width="9.140625" style="523"/>
    <col min="6657" max="6657" width="22.85546875" style="523" customWidth="1"/>
    <col min="6658" max="6658" width="9.42578125" style="523" customWidth="1"/>
    <col min="6659" max="6659" width="9.85546875" style="523" customWidth="1"/>
    <col min="6660" max="6660" width="11.28515625" style="523" customWidth="1"/>
    <col min="6661" max="6661" width="12.7109375" style="523" customWidth="1"/>
    <col min="6662" max="6662" width="11.5703125" style="523" customWidth="1"/>
    <col min="6663" max="6663" width="12.28515625" style="523" customWidth="1"/>
    <col min="6664" max="6912" width="9.140625" style="523"/>
    <col min="6913" max="6913" width="22.85546875" style="523" customWidth="1"/>
    <col min="6914" max="6914" width="9.42578125" style="523" customWidth="1"/>
    <col min="6915" max="6915" width="9.85546875" style="523" customWidth="1"/>
    <col min="6916" max="6916" width="11.28515625" style="523" customWidth="1"/>
    <col min="6917" max="6917" width="12.7109375" style="523" customWidth="1"/>
    <col min="6918" max="6918" width="11.5703125" style="523" customWidth="1"/>
    <col min="6919" max="6919" width="12.28515625" style="523" customWidth="1"/>
    <col min="6920" max="7168" width="9.140625" style="523"/>
    <col min="7169" max="7169" width="22.85546875" style="523" customWidth="1"/>
    <col min="7170" max="7170" width="9.42578125" style="523" customWidth="1"/>
    <col min="7171" max="7171" width="9.85546875" style="523" customWidth="1"/>
    <col min="7172" max="7172" width="11.28515625" style="523" customWidth="1"/>
    <col min="7173" max="7173" width="12.7109375" style="523" customWidth="1"/>
    <col min="7174" max="7174" width="11.5703125" style="523" customWidth="1"/>
    <col min="7175" max="7175" width="12.28515625" style="523" customWidth="1"/>
    <col min="7176" max="7424" width="9.140625" style="523"/>
    <col min="7425" max="7425" width="22.85546875" style="523" customWidth="1"/>
    <col min="7426" max="7426" width="9.42578125" style="523" customWidth="1"/>
    <col min="7427" max="7427" width="9.85546875" style="523" customWidth="1"/>
    <col min="7428" max="7428" width="11.28515625" style="523" customWidth="1"/>
    <col min="7429" max="7429" width="12.7109375" style="523" customWidth="1"/>
    <col min="7430" max="7430" width="11.5703125" style="523" customWidth="1"/>
    <col min="7431" max="7431" width="12.28515625" style="523" customWidth="1"/>
    <col min="7432" max="7680" width="9.140625" style="523"/>
    <col min="7681" max="7681" width="22.85546875" style="523" customWidth="1"/>
    <col min="7682" max="7682" width="9.42578125" style="523" customWidth="1"/>
    <col min="7683" max="7683" width="9.85546875" style="523" customWidth="1"/>
    <col min="7684" max="7684" width="11.28515625" style="523" customWidth="1"/>
    <col min="7685" max="7685" width="12.7109375" style="523" customWidth="1"/>
    <col min="7686" max="7686" width="11.5703125" style="523" customWidth="1"/>
    <col min="7687" max="7687" width="12.28515625" style="523" customWidth="1"/>
    <col min="7688" max="7936" width="9.140625" style="523"/>
    <col min="7937" max="7937" width="22.85546875" style="523" customWidth="1"/>
    <col min="7938" max="7938" width="9.42578125" style="523" customWidth="1"/>
    <col min="7939" max="7939" width="9.85546875" style="523" customWidth="1"/>
    <col min="7940" max="7940" width="11.28515625" style="523" customWidth="1"/>
    <col min="7941" max="7941" width="12.7109375" style="523" customWidth="1"/>
    <col min="7942" max="7942" width="11.5703125" style="523" customWidth="1"/>
    <col min="7943" max="7943" width="12.28515625" style="523" customWidth="1"/>
    <col min="7944" max="8192" width="9.140625" style="523"/>
    <col min="8193" max="8193" width="22.85546875" style="523" customWidth="1"/>
    <col min="8194" max="8194" width="9.42578125" style="523" customWidth="1"/>
    <col min="8195" max="8195" width="9.85546875" style="523" customWidth="1"/>
    <col min="8196" max="8196" width="11.28515625" style="523" customWidth="1"/>
    <col min="8197" max="8197" width="12.7109375" style="523" customWidth="1"/>
    <col min="8198" max="8198" width="11.5703125" style="523" customWidth="1"/>
    <col min="8199" max="8199" width="12.28515625" style="523" customWidth="1"/>
    <col min="8200" max="8448" width="9.140625" style="523"/>
    <col min="8449" max="8449" width="22.85546875" style="523" customWidth="1"/>
    <col min="8450" max="8450" width="9.42578125" style="523" customWidth="1"/>
    <col min="8451" max="8451" width="9.85546875" style="523" customWidth="1"/>
    <col min="8452" max="8452" width="11.28515625" style="523" customWidth="1"/>
    <col min="8453" max="8453" width="12.7109375" style="523" customWidth="1"/>
    <col min="8454" max="8454" width="11.5703125" style="523" customWidth="1"/>
    <col min="8455" max="8455" width="12.28515625" style="523" customWidth="1"/>
    <col min="8456" max="8704" width="9.140625" style="523"/>
    <col min="8705" max="8705" width="22.85546875" style="523" customWidth="1"/>
    <col min="8706" max="8706" width="9.42578125" style="523" customWidth="1"/>
    <col min="8707" max="8707" width="9.85546875" style="523" customWidth="1"/>
    <col min="8708" max="8708" width="11.28515625" style="523" customWidth="1"/>
    <col min="8709" max="8709" width="12.7109375" style="523" customWidth="1"/>
    <col min="8710" max="8710" width="11.5703125" style="523" customWidth="1"/>
    <col min="8711" max="8711" width="12.28515625" style="523" customWidth="1"/>
    <col min="8712" max="8960" width="9.140625" style="523"/>
    <col min="8961" max="8961" width="22.85546875" style="523" customWidth="1"/>
    <col min="8962" max="8962" width="9.42578125" style="523" customWidth="1"/>
    <col min="8963" max="8963" width="9.85546875" style="523" customWidth="1"/>
    <col min="8964" max="8964" width="11.28515625" style="523" customWidth="1"/>
    <col min="8965" max="8965" width="12.7109375" style="523" customWidth="1"/>
    <col min="8966" max="8966" width="11.5703125" style="523" customWidth="1"/>
    <col min="8967" max="8967" width="12.28515625" style="523" customWidth="1"/>
    <col min="8968" max="9216" width="9.140625" style="523"/>
    <col min="9217" max="9217" width="22.85546875" style="523" customWidth="1"/>
    <col min="9218" max="9218" width="9.42578125" style="523" customWidth="1"/>
    <col min="9219" max="9219" width="9.85546875" style="523" customWidth="1"/>
    <col min="9220" max="9220" width="11.28515625" style="523" customWidth="1"/>
    <col min="9221" max="9221" width="12.7109375" style="523" customWidth="1"/>
    <col min="9222" max="9222" width="11.5703125" style="523" customWidth="1"/>
    <col min="9223" max="9223" width="12.28515625" style="523" customWidth="1"/>
    <col min="9224" max="9472" width="9.140625" style="523"/>
    <col min="9473" max="9473" width="22.85546875" style="523" customWidth="1"/>
    <col min="9474" max="9474" width="9.42578125" style="523" customWidth="1"/>
    <col min="9475" max="9475" width="9.85546875" style="523" customWidth="1"/>
    <col min="9476" max="9476" width="11.28515625" style="523" customWidth="1"/>
    <col min="9477" max="9477" width="12.7109375" style="523" customWidth="1"/>
    <col min="9478" max="9478" width="11.5703125" style="523" customWidth="1"/>
    <col min="9479" max="9479" width="12.28515625" style="523" customWidth="1"/>
    <col min="9480" max="9728" width="9.140625" style="523"/>
    <col min="9729" max="9729" width="22.85546875" style="523" customWidth="1"/>
    <col min="9730" max="9730" width="9.42578125" style="523" customWidth="1"/>
    <col min="9731" max="9731" width="9.85546875" style="523" customWidth="1"/>
    <col min="9732" max="9732" width="11.28515625" style="523" customWidth="1"/>
    <col min="9733" max="9733" width="12.7109375" style="523" customWidth="1"/>
    <col min="9734" max="9734" width="11.5703125" style="523" customWidth="1"/>
    <col min="9735" max="9735" width="12.28515625" style="523" customWidth="1"/>
    <col min="9736" max="9984" width="9.140625" style="523"/>
    <col min="9985" max="9985" width="22.85546875" style="523" customWidth="1"/>
    <col min="9986" max="9986" width="9.42578125" style="523" customWidth="1"/>
    <col min="9987" max="9987" width="9.85546875" style="523" customWidth="1"/>
    <col min="9988" max="9988" width="11.28515625" style="523" customWidth="1"/>
    <col min="9989" max="9989" width="12.7109375" style="523" customWidth="1"/>
    <col min="9990" max="9990" width="11.5703125" style="523" customWidth="1"/>
    <col min="9991" max="9991" width="12.28515625" style="523" customWidth="1"/>
    <col min="9992" max="10240" width="9.140625" style="523"/>
    <col min="10241" max="10241" width="22.85546875" style="523" customWidth="1"/>
    <col min="10242" max="10242" width="9.42578125" style="523" customWidth="1"/>
    <col min="10243" max="10243" width="9.85546875" style="523" customWidth="1"/>
    <col min="10244" max="10244" width="11.28515625" style="523" customWidth="1"/>
    <col min="10245" max="10245" width="12.7109375" style="523" customWidth="1"/>
    <col min="10246" max="10246" width="11.5703125" style="523" customWidth="1"/>
    <col min="10247" max="10247" width="12.28515625" style="523" customWidth="1"/>
    <col min="10248" max="10496" width="9.140625" style="523"/>
    <col min="10497" max="10497" width="22.85546875" style="523" customWidth="1"/>
    <col min="10498" max="10498" width="9.42578125" style="523" customWidth="1"/>
    <col min="10499" max="10499" width="9.85546875" style="523" customWidth="1"/>
    <col min="10500" max="10500" width="11.28515625" style="523" customWidth="1"/>
    <col min="10501" max="10501" width="12.7109375" style="523" customWidth="1"/>
    <col min="10502" max="10502" width="11.5703125" style="523" customWidth="1"/>
    <col min="10503" max="10503" width="12.28515625" style="523" customWidth="1"/>
    <col min="10504" max="10752" width="9.140625" style="523"/>
    <col min="10753" max="10753" width="22.85546875" style="523" customWidth="1"/>
    <col min="10754" max="10754" width="9.42578125" style="523" customWidth="1"/>
    <col min="10755" max="10755" width="9.85546875" style="523" customWidth="1"/>
    <col min="10756" max="10756" width="11.28515625" style="523" customWidth="1"/>
    <col min="10757" max="10757" width="12.7109375" style="523" customWidth="1"/>
    <col min="10758" max="10758" width="11.5703125" style="523" customWidth="1"/>
    <col min="10759" max="10759" width="12.28515625" style="523" customWidth="1"/>
    <col min="10760" max="11008" width="9.140625" style="523"/>
    <col min="11009" max="11009" width="22.85546875" style="523" customWidth="1"/>
    <col min="11010" max="11010" width="9.42578125" style="523" customWidth="1"/>
    <col min="11011" max="11011" width="9.85546875" style="523" customWidth="1"/>
    <col min="11012" max="11012" width="11.28515625" style="523" customWidth="1"/>
    <col min="11013" max="11013" width="12.7109375" style="523" customWidth="1"/>
    <col min="11014" max="11014" width="11.5703125" style="523" customWidth="1"/>
    <col min="11015" max="11015" width="12.28515625" style="523" customWidth="1"/>
    <col min="11016" max="11264" width="9.140625" style="523"/>
    <col min="11265" max="11265" width="22.85546875" style="523" customWidth="1"/>
    <col min="11266" max="11266" width="9.42578125" style="523" customWidth="1"/>
    <col min="11267" max="11267" width="9.85546875" style="523" customWidth="1"/>
    <col min="11268" max="11268" width="11.28515625" style="523" customWidth="1"/>
    <col min="11269" max="11269" width="12.7109375" style="523" customWidth="1"/>
    <col min="11270" max="11270" width="11.5703125" style="523" customWidth="1"/>
    <col min="11271" max="11271" width="12.28515625" style="523" customWidth="1"/>
    <col min="11272" max="11520" width="9.140625" style="523"/>
    <col min="11521" max="11521" width="22.85546875" style="523" customWidth="1"/>
    <col min="11522" max="11522" width="9.42578125" style="523" customWidth="1"/>
    <col min="11523" max="11523" width="9.85546875" style="523" customWidth="1"/>
    <col min="11524" max="11524" width="11.28515625" style="523" customWidth="1"/>
    <col min="11525" max="11525" width="12.7109375" style="523" customWidth="1"/>
    <col min="11526" max="11526" width="11.5703125" style="523" customWidth="1"/>
    <col min="11527" max="11527" width="12.28515625" style="523" customWidth="1"/>
    <col min="11528" max="11776" width="9.140625" style="523"/>
    <col min="11777" max="11777" width="22.85546875" style="523" customWidth="1"/>
    <col min="11778" max="11778" width="9.42578125" style="523" customWidth="1"/>
    <col min="11779" max="11779" width="9.85546875" style="523" customWidth="1"/>
    <col min="11780" max="11780" width="11.28515625" style="523" customWidth="1"/>
    <col min="11781" max="11781" width="12.7109375" style="523" customWidth="1"/>
    <col min="11782" max="11782" width="11.5703125" style="523" customWidth="1"/>
    <col min="11783" max="11783" width="12.28515625" style="523" customWidth="1"/>
    <col min="11784" max="12032" width="9.140625" style="523"/>
    <col min="12033" max="12033" width="22.85546875" style="523" customWidth="1"/>
    <col min="12034" max="12034" width="9.42578125" style="523" customWidth="1"/>
    <col min="12035" max="12035" width="9.85546875" style="523" customWidth="1"/>
    <col min="12036" max="12036" width="11.28515625" style="523" customWidth="1"/>
    <col min="12037" max="12037" width="12.7109375" style="523" customWidth="1"/>
    <col min="12038" max="12038" width="11.5703125" style="523" customWidth="1"/>
    <col min="12039" max="12039" width="12.28515625" style="523" customWidth="1"/>
    <col min="12040" max="12288" width="9.140625" style="523"/>
    <col min="12289" max="12289" width="22.85546875" style="523" customWidth="1"/>
    <col min="12290" max="12290" width="9.42578125" style="523" customWidth="1"/>
    <col min="12291" max="12291" width="9.85546875" style="523" customWidth="1"/>
    <col min="12292" max="12292" width="11.28515625" style="523" customWidth="1"/>
    <col min="12293" max="12293" width="12.7109375" style="523" customWidth="1"/>
    <col min="12294" max="12294" width="11.5703125" style="523" customWidth="1"/>
    <col min="12295" max="12295" width="12.28515625" style="523" customWidth="1"/>
    <col min="12296" max="12544" width="9.140625" style="523"/>
    <col min="12545" max="12545" width="22.85546875" style="523" customWidth="1"/>
    <col min="12546" max="12546" width="9.42578125" style="523" customWidth="1"/>
    <col min="12547" max="12547" width="9.85546875" style="523" customWidth="1"/>
    <col min="12548" max="12548" width="11.28515625" style="523" customWidth="1"/>
    <col min="12549" max="12549" width="12.7109375" style="523" customWidth="1"/>
    <col min="12550" max="12550" width="11.5703125" style="523" customWidth="1"/>
    <col min="12551" max="12551" width="12.28515625" style="523" customWidth="1"/>
    <col min="12552" max="12800" width="9.140625" style="523"/>
    <col min="12801" max="12801" width="22.85546875" style="523" customWidth="1"/>
    <col min="12802" max="12802" width="9.42578125" style="523" customWidth="1"/>
    <col min="12803" max="12803" width="9.85546875" style="523" customWidth="1"/>
    <col min="12804" max="12804" width="11.28515625" style="523" customWidth="1"/>
    <col min="12805" max="12805" width="12.7109375" style="523" customWidth="1"/>
    <col min="12806" max="12806" width="11.5703125" style="523" customWidth="1"/>
    <col min="12807" max="12807" width="12.28515625" style="523" customWidth="1"/>
    <col min="12808" max="13056" width="9.140625" style="523"/>
    <col min="13057" max="13057" width="22.85546875" style="523" customWidth="1"/>
    <col min="13058" max="13058" width="9.42578125" style="523" customWidth="1"/>
    <col min="13059" max="13059" width="9.85546875" style="523" customWidth="1"/>
    <col min="13060" max="13060" width="11.28515625" style="523" customWidth="1"/>
    <col min="13061" max="13061" width="12.7109375" style="523" customWidth="1"/>
    <col min="13062" max="13062" width="11.5703125" style="523" customWidth="1"/>
    <col min="13063" max="13063" width="12.28515625" style="523" customWidth="1"/>
    <col min="13064" max="13312" width="9.140625" style="523"/>
    <col min="13313" max="13313" width="22.85546875" style="523" customWidth="1"/>
    <col min="13314" max="13314" width="9.42578125" style="523" customWidth="1"/>
    <col min="13315" max="13315" width="9.85546875" style="523" customWidth="1"/>
    <col min="13316" max="13316" width="11.28515625" style="523" customWidth="1"/>
    <col min="13317" max="13317" width="12.7109375" style="523" customWidth="1"/>
    <col min="13318" max="13318" width="11.5703125" style="523" customWidth="1"/>
    <col min="13319" max="13319" width="12.28515625" style="523" customWidth="1"/>
    <col min="13320" max="13568" width="9.140625" style="523"/>
    <col min="13569" max="13569" width="22.85546875" style="523" customWidth="1"/>
    <col min="13570" max="13570" width="9.42578125" style="523" customWidth="1"/>
    <col min="13571" max="13571" width="9.85546875" style="523" customWidth="1"/>
    <col min="13572" max="13572" width="11.28515625" style="523" customWidth="1"/>
    <col min="13573" max="13573" width="12.7109375" style="523" customWidth="1"/>
    <col min="13574" max="13574" width="11.5703125" style="523" customWidth="1"/>
    <col min="13575" max="13575" width="12.28515625" style="523" customWidth="1"/>
    <col min="13576" max="13824" width="9.140625" style="523"/>
    <col min="13825" max="13825" width="22.85546875" style="523" customWidth="1"/>
    <col min="13826" max="13826" width="9.42578125" style="523" customWidth="1"/>
    <col min="13827" max="13827" width="9.85546875" style="523" customWidth="1"/>
    <col min="13828" max="13828" width="11.28515625" style="523" customWidth="1"/>
    <col min="13829" max="13829" width="12.7109375" style="523" customWidth="1"/>
    <col min="13830" max="13830" width="11.5703125" style="523" customWidth="1"/>
    <col min="13831" max="13831" width="12.28515625" style="523" customWidth="1"/>
    <col min="13832" max="14080" width="9.140625" style="523"/>
    <col min="14081" max="14081" width="22.85546875" style="523" customWidth="1"/>
    <col min="14082" max="14082" width="9.42578125" style="523" customWidth="1"/>
    <col min="14083" max="14083" width="9.85546875" style="523" customWidth="1"/>
    <col min="14084" max="14084" width="11.28515625" style="523" customWidth="1"/>
    <col min="14085" max="14085" width="12.7109375" style="523" customWidth="1"/>
    <col min="14086" max="14086" width="11.5703125" style="523" customWidth="1"/>
    <col min="14087" max="14087" width="12.28515625" style="523" customWidth="1"/>
    <col min="14088" max="14336" width="9.140625" style="523"/>
    <col min="14337" max="14337" width="22.85546875" style="523" customWidth="1"/>
    <col min="14338" max="14338" width="9.42578125" style="523" customWidth="1"/>
    <col min="14339" max="14339" width="9.85546875" style="523" customWidth="1"/>
    <col min="14340" max="14340" width="11.28515625" style="523" customWidth="1"/>
    <col min="14341" max="14341" width="12.7109375" style="523" customWidth="1"/>
    <col min="14342" max="14342" width="11.5703125" style="523" customWidth="1"/>
    <col min="14343" max="14343" width="12.28515625" style="523" customWidth="1"/>
    <col min="14344" max="14592" width="9.140625" style="523"/>
    <col min="14593" max="14593" width="22.85546875" style="523" customWidth="1"/>
    <col min="14594" max="14594" width="9.42578125" style="523" customWidth="1"/>
    <col min="14595" max="14595" width="9.85546875" style="523" customWidth="1"/>
    <col min="14596" max="14596" width="11.28515625" style="523" customWidth="1"/>
    <col min="14597" max="14597" width="12.7109375" style="523" customWidth="1"/>
    <col min="14598" max="14598" width="11.5703125" style="523" customWidth="1"/>
    <col min="14599" max="14599" width="12.28515625" style="523" customWidth="1"/>
    <col min="14600" max="14848" width="9.140625" style="523"/>
    <col min="14849" max="14849" width="22.85546875" style="523" customWidth="1"/>
    <col min="14850" max="14850" width="9.42578125" style="523" customWidth="1"/>
    <col min="14851" max="14851" width="9.85546875" style="523" customWidth="1"/>
    <col min="14852" max="14852" width="11.28515625" style="523" customWidth="1"/>
    <col min="14853" max="14853" width="12.7109375" style="523" customWidth="1"/>
    <col min="14854" max="14854" width="11.5703125" style="523" customWidth="1"/>
    <col min="14855" max="14855" width="12.28515625" style="523" customWidth="1"/>
    <col min="14856" max="15104" width="9.140625" style="523"/>
    <col min="15105" max="15105" width="22.85546875" style="523" customWidth="1"/>
    <col min="15106" max="15106" width="9.42578125" style="523" customWidth="1"/>
    <col min="15107" max="15107" width="9.85546875" style="523" customWidth="1"/>
    <col min="15108" max="15108" width="11.28515625" style="523" customWidth="1"/>
    <col min="15109" max="15109" width="12.7109375" style="523" customWidth="1"/>
    <col min="15110" max="15110" width="11.5703125" style="523" customWidth="1"/>
    <col min="15111" max="15111" width="12.28515625" style="523" customWidth="1"/>
    <col min="15112" max="15360" width="9.140625" style="523"/>
    <col min="15361" max="15361" width="22.85546875" style="523" customWidth="1"/>
    <col min="15362" max="15362" width="9.42578125" style="523" customWidth="1"/>
    <col min="15363" max="15363" width="9.85546875" style="523" customWidth="1"/>
    <col min="15364" max="15364" width="11.28515625" style="523" customWidth="1"/>
    <col min="15365" max="15365" width="12.7109375" style="523" customWidth="1"/>
    <col min="15366" max="15366" width="11.5703125" style="523" customWidth="1"/>
    <col min="15367" max="15367" width="12.28515625" style="523" customWidth="1"/>
    <col min="15368" max="15616" width="9.140625" style="523"/>
    <col min="15617" max="15617" width="22.85546875" style="523" customWidth="1"/>
    <col min="15618" max="15618" width="9.42578125" style="523" customWidth="1"/>
    <col min="15619" max="15619" width="9.85546875" style="523" customWidth="1"/>
    <col min="15620" max="15620" width="11.28515625" style="523" customWidth="1"/>
    <col min="15621" max="15621" width="12.7109375" style="523" customWidth="1"/>
    <col min="15622" max="15622" width="11.5703125" style="523" customWidth="1"/>
    <col min="15623" max="15623" width="12.28515625" style="523" customWidth="1"/>
    <col min="15624" max="15872" width="9.140625" style="523"/>
    <col min="15873" max="15873" width="22.85546875" style="523" customWidth="1"/>
    <col min="15874" max="15874" width="9.42578125" style="523" customWidth="1"/>
    <col min="15875" max="15875" width="9.85546875" style="523" customWidth="1"/>
    <col min="15876" max="15876" width="11.28515625" style="523" customWidth="1"/>
    <col min="15877" max="15877" width="12.7109375" style="523" customWidth="1"/>
    <col min="15878" max="15878" width="11.5703125" style="523" customWidth="1"/>
    <col min="15879" max="15879" width="12.28515625" style="523" customWidth="1"/>
    <col min="15880" max="16128" width="9.140625" style="523"/>
    <col min="16129" max="16129" width="22.85546875" style="523" customWidth="1"/>
    <col min="16130" max="16130" width="9.42578125" style="523" customWidth="1"/>
    <col min="16131" max="16131" width="9.85546875" style="523" customWidth="1"/>
    <col min="16132" max="16132" width="11.28515625" style="523" customWidth="1"/>
    <col min="16133" max="16133" width="12.7109375" style="523" customWidth="1"/>
    <col min="16134" max="16134" width="11.5703125" style="523" customWidth="1"/>
    <col min="16135" max="16135" width="12.28515625" style="523" customWidth="1"/>
    <col min="16136" max="16384" width="9.140625" style="523"/>
  </cols>
  <sheetData>
    <row r="1" spans="1:7">
      <c r="C1" s="523" t="s">
        <v>1634</v>
      </c>
      <c r="G1" s="1383" t="s">
        <v>1020</v>
      </c>
    </row>
    <row r="6" spans="1:7">
      <c r="A6" s="2402" t="s">
        <v>1633</v>
      </c>
      <c r="B6" s="2402"/>
      <c r="C6" s="2402"/>
      <c r="D6" s="2402"/>
      <c r="E6" s="2402"/>
      <c r="F6" s="2402"/>
      <c r="G6" s="2402"/>
    </row>
    <row r="7" spans="1:7">
      <c r="A7" s="2780" t="s">
        <v>1295</v>
      </c>
      <c r="B7" s="2780"/>
      <c r="C7" s="2780"/>
      <c r="D7" s="2780"/>
      <c r="E7" s="2780"/>
      <c r="F7" s="2780"/>
      <c r="G7" s="2780"/>
    </row>
    <row r="8" spans="1:7" ht="17.25" thickBot="1">
      <c r="A8" s="788"/>
      <c r="B8" s="618"/>
      <c r="C8" s="714"/>
      <c r="D8" s="617"/>
      <c r="E8" s="617"/>
      <c r="G8" s="615" t="s">
        <v>1263</v>
      </c>
    </row>
    <row r="9" spans="1:7" ht="17.25" thickTop="1">
      <c r="A9" s="2781" t="s">
        <v>1294</v>
      </c>
      <c r="B9" s="2784" t="s">
        <v>235</v>
      </c>
      <c r="C9" s="2787" t="s">
        <v>3</v>
      </c>
      <c r="D9" s="748" t="s">
        <v>1627</v>
      </c>
      <c r="E9" s="787"/>
      <c r="F9" s="748" t="s">
        <v>1386</v>
      </c>
      <c r="G9" s="747"/>
    </row>
    <row r="10" spans="1:7">
      <c r="A10" s="2782"/>
      <c r="B10" s="2785"/>
      <c r="C10" s="2788"/>
      <c r="D10" s="786" t="s">
        <v>1626</v>
      </c>
      <c r="E10" s="785"/>
      <c r="F10" s="2406"/>
      <c r="G10" s="2408"/>
    </row>
    <row r="11" spans="1:7">
      <c r="A11" s="2783"/>
      <c r="B11" s="2786"/>
      <c r="C11" s="2789"/>
      <c r="D11" s="757" t="s">
        <v>1</v>
      </c>
      <c r="E11" s="757" t="s">
        <v>4</v>
      </c>
      <c r="F11" s="757" t="s">
        <v>1</v>
      </c>
      <c r="G11" s="784" t="s">
        <v>4</v>
      </c>
    </row>
    <row r="12" spans="1:7" ht="17.25">
      <c r="A12" s="770" t="s">
        <v>1289</v>
      </c>
      <c r="B12" s="783"/>
      <c r="C12" s="782"/>
      <c r="D12" s="781"/>
      <c r="E12" s="781">
        <f>E24+E25</f>
        <v>91450000</v>
      </c>
      <c r="F12" s="781"/>
      <c r="G12" s="780">
        <f>G24+G25</f>
        <v>40200000</v>
      </c>
    </row>
    <row r="13" spans="1:7">
      <c r="A13" s="773" t="s">
        <v>1625</v>
      </c>
      <c r="B13" s="769" t="s">
        <v>5</v>
      </c>
      <c r="C13" s="549">
        <v>12000</v>
      </c>
      <c r="D13" s="772">
        <v>1000</v>
      </c>
      <c r="E13" s="772">
        <f>D13*C13</f>
        <v>12000000</v>
      </c>
      <c r="F13" s="772"/>
      <c r="G13" s="771"/>
    </row>
    <row r="14" spans="1:7">
      <c r="A14" s="773" t="s">
        <v>1624</v>
      </c>
      <c r="B14" s="769" t="s">
        <v>1287</v>
      </c>
      <c r="C14" s="549">
        <v>6000</v>
      </c>
      <c r="D14" s="772">
        <v>7000</v>
      </c>
      <c r="E14" s="772">
        <f>D14*C14</f>
        <v>42000000</v>
      </c>
      <c r="F14" s="772"/>
      <c r="G14" s="771"/>
    </row>
    <row r="15" spans="1:7">
      <c r="A15" s="773" t="s">
        <v>1305</v>
      </c>
      <c r="B15" s="769" t="s">
        <v>228</v>
      </c>
      <c r="C15" s="549">
        <v>450000</v>
      </c>
      <c r="D15" s="772">
        <v>10</v>
      </c>
      <c r="E15" s="772">
        <f>D15*C15</f>
        <v>4500000</v>
      </c>
      <c r="F15" s="772">
        <v>10</v>
      </c>
      <c r="G15" s="771">
        <f>F15*C15</f>
        <v>4500000</v>
      </c>
    </row>
    <row r="16" spans="1:7">
      <c r="A16" s="773" t="s">
        <v>1304</v>
      </c>
      <c r="B16" s="769"/>
      <c r="C16" s="549"/>
      <c r="D16" s="772"/>
      <c r="E16" s="772">
        <f>SUM(E17:E20)</f>
        <v>4700000</v>
      </c>
      <c r="F16" s="772"/>
      <c r="G16" s="771">
        <f>SUM(G17:G20)</f>
        <v>4700000</v>
      </c>
    </row>
    <row r="17" spans="1:256">
      <c r="A17" s="779" t="s">
        <v>1284</v>
      </c>
      <c r="B17" s="769" t="s">
        <v>11</v>
      </c>
      <c r="C17" s="778">
        <v>10000</v>
      </c>
      <c r="D17" s="777">
        <v>65</v>
      </c>
      <c r="E17" s="777">
        <f t="shared" ref="E17:E23" si="0">D17*C17</f>
        <v>650000</v>
      </c>
      <c r="F17" s="777">
        <v>65</v>
      </c>
      <c r="G17" s="776">
        <f t="shared" ref="G17:G23" si="1">F17*C17</f>
        <v>650000</v>
      </c>
    </row>
    <row r="18" spans="1:256">
      <c r="A18" s="779" t="s">
        <v>1283</v>
      </c>
      <c r="B18" s="769" t="s">
        <v>11</v>
      </c>
      <c r="C18" s="778">
        <v>3000</v>
      </c>
      <c r="D18" s="777">
        <v>140</v>
      </c>
      <c r="E18" s="777">
        <f t="shared" si="0"/>
        <v>420000</v>
      </c>
      <c r="F18" s="777">
        <v>140</v>
      </c>
      <c r="G18" s="776">
        <f t="shared" si="1"/>
        <v>420000</v>
      </c>
    </row>
    <row r="19" spans="1:256">
      <c r="A19" s="779" t="s">
        <v>1282</v>
      </c>
      <c r="B19" s="769" t="s">
        <v>11</v>
      </c>
      <c r="C19" s="778">
        <v>15000</v>
      </c>
      <c r="D19" s="777">
        <v>42</v>
      </c>
      <c r="E19" s="777">
        <f t="shared" si="0"/>
        <v>630000</v>
      </c>
      <c r="F19" s="777">
        <v>42</v>
      </c>
      <c r="G19" s="776">
        <f t="shared" si="1"/>
        <v>630000</v>
      </c>
    </row>
    <row r="20" spans="1:256">
      <c r="A20" s="779" t="s">
        <v>1347</v>
      </c>
      <c r="B20" s="769" t="s">
        <v>11</v>
      </c>
      <c r="C20" s="778">
        <v>10000</v>
      </c>
      <c r="D20" s="777">
        <v>300</v>
      </c>
      <c r="E20" s="777">
        <f t="shared" si="0"/>
        <v>3000000</v>
      </c>
      <c r="F20" s="777">
        <v>300</v>
      </c>
      <c r="G20" s="776">
        <f t="shared" si="1"/>
        <v>3000000</v>
      </c>
    </row>
    <row r="21" spans="1:256">
      <c r="A21" s="773" t="s">
        <v>1303</v>
      </c>
      <c r="B21" s="769" t="s">
        <v>11</v>
      </c>
      <c r="C21" s="549">
        <v>1000</v>
      </c>
      <c r="D21" s="772">
        <v>100</v>
      </c>
      <c r="E21" s="772">
        <f t="shared" si="0"/>
        <v>100000</v>
      </c>
      <c r="F21" s="772">
        <v>100</v>
      </c>
      <c r="G21" s="771">
        <f t="shared" si="1"/>
        <v>100000</v>
      </c>
    </row>
    <row r="22" spans="1:256">
      <c r="A22" s="773" t="s">
        <v>1623</v>
      </c>
      <c r="B22" s="769" t="s">
        <v>513</v>
      </c>
      <c r="C22" s="549">
        <v>200000</v>
      </c>
      <c r="D22" s="772">
        <v>30</v>
      </c>
      <c r="E22" s="772">
        <f t="shared" si="0"/>
        <v>6000000</v>
      </c>
      <c r="F22" s="772">
        <v>30</v>
      </c>
      <c r="G22" s="771">
        <f t="shared" si="1"/>
        <v>6000000</v>
      </c>
    </row>
    <row r="23" spans="1:256">
      <c r="A23" s="773" t="s">
        <v>1301</v>
      </c>
      <c r="B23" s="769" t="s">
        <v>511</v>
      </c>
      <c r="C23" s="549">
        <v>250000</v>
      </c>
      <c r="D23" s="772">
        <v>60</v>
      </c>
      <c r="E23" s="772">
        <f t="shared" si="0"/>
        <v>15000000</v>
      </c>
      <c r="F23" s="772">
        <v>90</v>
      </c>
      <c r="G23" s="771">
        <f t="shared" si="1"/>
        <v>22500000</v>
      </c>
    </row>
    <row r="24" spans="1:256" ht="17.25">
      <c r="A24" s="770" t="s">
        <v>1277</v>
      </c>
      <c r="B24" s="775"/>
      <c r="C24" s="774"/>
      <c r="D24" s="767"/>
      <c r="E24" s="767">
        <f>SUM(E13:E16)+SUM(E21:E23)</f>
        <v>84300000</v>
      </c>
      <c r="F24" s="767"/>
      <c r="G24" s="766">
        <f>SUM(G13:G16)+SUM(G21:G23)</f>
        <v>37800000</v>
      </c>
      <c r="H24" s="588"/>
      <c r="I24" s="588"/>
      <c r="J24" s="588"/>
      <c r="K24" s="588"/>
      <c r="L24" s="588"/>
      <c r="M24" s="588"/>
      <c r="N24" s="588"/>
      <c r="O24" s="588"/>
      <c r="P24" s="588"/>
      <c r="Q24" s="588"/>
      <c r="R24" s="588"/>
      <c r="S24" s="588"/>
      <c r="T24" s="588"/>
      <c r="U24" s="588"/>
      <c r="V24" s="588"/>
      <c r="W24" s="588"/>
      <c r="X24" s="588"/>
      <c r="Y24" s="588"/>
      <c r="Z24" s="588"/>
      <c r="AA24" s="588"/>
      <c r="AB24" s="588"/>
      <c r="AC24" s="588"/>
      <c r="AD24" s="588"/>
      <c r="AE24" s="588"/>
      <c r="AF24" s="588"/>
      <c r="AG24" s="588"/>
      <c r="AH24" s="588"/>
      <c r="AI24" s="588"/>
      <c r="AJ24" s="588"/>
      <c r="AK24" s="588"/>
      <c r="AL24" s="588"/>
      <c r="AM24" s="588"/>
      <c r="AN24" s="588"/>
      <c r="AO24" s="588"/>
      <c r="AP24" s="588"/>
      <c r="AQ24" s="588"/>
      <c r="AR24" s="588"/>
      <c r="AS24" s="588"/>
      <c r="AT24" s="588"/>
      <c r="AU24" s="588"/>
      <c r="AV24" s="588"/>
      <c r="AW24" s="588"/>
      <c r="AX24" s="588"/>
      <c r="AY24" s="588"/>
      <c r="AZ24" s="588"/>
      <c r="BA24" s="588"/>
      <c r="BB24" s="588"/>
      <c r="BC24" s="588"/>
      <c r="BD24" s="588"/>
      <c r="BE24" s="588"/>
      <c r="BF24" s="588"/>
      <c r="BG24" s="588"/>
      <c r="BH24" s="588"/>
      <c r="BI24" s="588"/>
      <c r="BJ24" s="588"/>
      <c r="BK24" s="588"/>
      <c r="BL24" s="588"/>
      <c r="BM24" s="588"/>
      <c r="BN24" s="588"/>
      <c r="BO24" s="588"/>
      <c r="BP24" s="588"/>
      <c r="BQ24" s="588"/>
      <c r="BR24" s="588"/>
      <c r="BS24" s="588"/>
      <c r="BT24" s="588"/>
      <c r="BU24" s="588"/>
      <c r="BV24" s="588"/>
      <c r="BW24" s="588"/>
      <c r="BX24" s="588"/>
      <c r="BY24" s="588"/>
      <c r="BZ24" s="588"/>
      <c r="CA24" s="588"/>
      <c r="CB24" s="588"/>
      <c r="CC24" s="588"/>
      <c r="CD24" s="588"/>
      <c r="CE24" s="588"/>
      <c r="CF24" s="588"/>
      <c r="CG24" s="588"/>
      <c r="CH24" s="588"/>
      <c r="CI24" s="588"/>
      <c r="CJ24" s="588"/>
      <c r="CK24" s="588"/>
      <c r="CL24" s="588"/>
      <c r="CM24" s="588"/>
      <c r="CN24" s="588"/>
      <c r="CO24" s="588"/>
      <c r="CP24" s="588"/>
      <c r="CQ24" s="588"/>
      <c r="CR24" s="588"/>
      <c r="CS24" s="588"/>
      <c r="CT24" s="588"/>
      <c r="CU24" s="588"/>
      <c r="CV24" s="588"/>
      <c r="CW24" s="588"/>
      <c r="CX24" s="588"/>
      <c r="CY24" s="588"/>
      <c r="CZ24" s="588"/>
      <c r="DA24" s="588"/>
      <c r="DB24" s="588"/>
      <c r="DC24" s="588"/>
      <c r="DD24" s="588"/>
      <c r="DE24" s="588"/>
      <c r="DF24" s="588"/>
      <c r="DG24" s="588"/>
      <c r="DH24" s="588"/>
      <c r="DI24" s="588"/>
      <c r="DJ24" s="588"/>
      <c r="DK24" s="588"/>
      <c r="DL24" s="588"/>
      <c r="DM24" s="588"/>
      <c r="DN24" s="588"/>
      <c r="DO24" s="588"/>
      <c r="DP24" s="588"/>
      <c r="DQ24" s="588"/>
      <c r="DR24" s="588"/>
      <c r="DS24" s="588"/>
      <c r="DT24" s="588"/>
      <c r="DU24" s="588"/>
      <c r="DV24" s="588"/>
      <c r="DW24" s="588"/>
      <c r="DX24" s="588"/>
      <c r="DY24" s="588"/>
      <c r="DZ24" s="588"/>
      <c r="EA24" s="588"/>
      <c r="EB24" s="588"/>
      <c r="EC24" s="588"/>
      <c r="ED24" s="588"/>
      <c r="EE24" s="588"/>
      <c r="EF24" s="588"/>
      <c r="EG24" s="588"/>
      <c r="EH24" s="588"/>
      <c r="EI24" s="588"/>
      <c r="EJ24" s="588"/>
      <c r="EK24" s="588"/>
      <c r="EL24" s="588"/>
      <c r="EM24" s="588"/>
      <c r="EN24" s="588"/>
      <c r="EO24" s="588"/>
      <c r="EP24" s="588"/>
      <c r="EQ24" s="588"/>
      <c r="ER24" s="588"/>
      <c r="ES24" s="588"/>
      <c r="ET24" s="588"/>
      <c r="EU24" s="588"/>
      <c r="EV24" s="588"/>
      <c r="EW24" s="588"/>
      <c r="EX24" s="588"/>
      <c r="EY24" s="588"/>
      <c r="EZ24" s="588"/>
      <c r="FA24" s="588"/>
      <c r="FB24" s="588"/>
      <c r="FC24" s="588"/>
      <c r="FD24" s="588"/>
      <c r="FE24" s="588"/>
      <c r="FF24" s="588"/>
      <c r="FG24" s="588"/>
      <c r="FH24" s="588"/>
      <c r="FI24" s="588"/>
      <c r="FJ24" s="588"/>
      <c r="FK24" s="588"/>
      <c r="FL24" s="588"/>
      <c r="FM24" s="588"/>
      <c r="FN24" s="588"/>
      <c r="FO24" s="588"/>
      <c r="FP24" s="588"/>
      <c r="FQ24" s="588"/>
      <c r="FR24" s="588"/>
      <c r="FS24" s="588"/>
      <c r="FT24" s="588"/>
      <c r="FU24" s="588"/>
      <c r="FV24" s="588"/>
      <c r="FW24" s="588"/>
      <c r="FX24" s="588"/>
      <c r="FY24" s="588"/>
      <c r="FZ24" s="588"/>
      <c r="GA24" s="588"/>
      <c r="GB24" s="588"/>
      <c r="GC24" s="588"/>
      <c r="GD24" s="588"/>
      <c r="GE24" s="588"/>
      <c r="GF24" s="588"/>
      <c r="GG24" s="588"/>
      <c r="GH24" s="588"/>
      <c r="GI24" s="588"/>
      <c r="GJ24" s="588"/>
      <c r="GK24" s="588"/>
      <c r="GL24" s="588"/>
      <c r="GM24" s="588"/>
      <c r="GN24" s="588"/>
      <c r="GO24" s="588"/>
      <c r="GP24" s="588"/>
      <c r="GQ24" s="588"/>
      <c r="GR24" s="588"/>
      <c r="GS24" s="588"/>
      <c r="GT24" s="588"/>
      <c r="GU24" s="588"/>
      <c r="GV24" s="588"/>
      <c r="GW24" s="588"/>
      <c r="GX24" s="588"/>
      <c r="GY24" s="588"/>
      <c r="GZ24" s="588"/>
      <c r="HA24" s="588"/>
      <c r="HB24" s="588"/>
      <c r="HC24" s="588"/>
      <c r="HD24" s="588"/>
      <c r="HE24" s="588"/>
      <c r="HF24" s="588"/>
      <c r="HG24" s="588"/>
      <c r="HH24" s="588"/>
      <c r="HI24" s="588"/>
      <c r="HJ24" s="588"/>
      <c r="HK24" s="588"/>
      <c r="HL24" s="588"/>
      <c r="HM24" s="588"/>
      <c r="HN24" s="588"/>
      <c r="HO24" s="588"/>
      <c r="HP24" s="588"/>
      <c r="HQ24" s="588"/>
      <c r="HR24" s="588"/>
      <c r="HS24" s="588"/>
      <c r="HT24" s="588"/>
      <c r="HU24" s="588"/>
      <c r="HV24" s="588"/>
      <c r="HW24" s="588"/>
      <c r="HX24" s="588"/>
      <c r="HY24" s="588"/>
      <c r="HZ24" s="588"/>
      <c r="IA24" s="588"/>
      <c r="IB24" s="588"/>
      <c r="IC24" s="588"/>
      <c r="ID24" s="588"/>
      <c r="IE24" s="588"/>
      <c r="IF24" s="588"/>
      <c r="IG24" s="588"/>
      <c r="IH24" s="588"/>
      <c r="II24" s="588"/>
      <c r="IJ24" s="588"/>
      <c r="IK24" s="588"/>
      <c r="IL24" s="588"/>
      <c r="IM24" s="588"/>
      <c r="IN24" s="588"/>
      <c r="IO24" s="588"/>
      <c r="IP24" s="588"/>
      <c r="IQ24" s="588"/>
      <c r="IR24" s="588"/>
      <c r="IS24" s="588"/>
      <c r="IT24" s="588"/>
      <c r="IU24" s="588"/>
      <c r="IV24" s="588"/>
    </row>
    <row r="25" spans="1:256">
      <c r="A25" s="773" t="s">
        <v>1300</v>
      </c>
      <c r="B25" s="769" t="s">
        <v>1270</v>
      </c>
      <c r="C25" s="549"/>
      <c r="D25" s="772"/>
      <c r="E25" s="772">
        <f>65000000*11%</f>
        <v>7150000</v>
      </c>
      <c r="F25" s="772"/>
      <c r="G25" s="771">
        <f>30000000*8%</f>
        <v>2400000</v>
      </c>
    </row>
    <row r="26" spans="1:256" ht="17.25">
      <c r="A26" s="770" t="s">
        <v>1275</v>
      </c>
      <c r="B26" s="775"/>
      <c r="C26" s="774"/>
      <c r="D26" s="767"/>
      <c r="E26" s="767">
        <f>E29</f>
        <v>210000000</v>
      </c>
      <c r="F26" s="767"/>
      <c r="G26" s="766">
        <f>F28*C29</f>
        <v>105000000</v>
      </c>
    </row>
    <row r="27" spans="1:256">
      <c r="A27" s="773" t="s">
        <v>1622</v>
      </c>
      <c r="B27" s="769" t="s">
        <v>1273</v>
      </c>
      <c r="C27" s="549"/>
      <c r="D27" s="772">
        <v>210000</v>
      </c>
      <c r="E27" s="772"/>
      <c r="F27" s="772"/>
      <c r="G27" s="771"/>
    </row>
    <row r="28" spans="1:256">
      <c r="A28" s="773" t="s">
        <v>1632</v>
      </c>
      <c r="B28" s="769" t="s">
        <v>1273</v>
      </c>
      <c r="C28" s="549"/>
      <c r="D28" s="772">
        <v>210000</v>
      </c>
      <c r="E28" s="772"/>
      <c r="F28" s="772">
        <f>D28</f>
        <v>210000</v>
      </c>
      <c r="G28" s="771"/>
    </row>
    <row r="29" spans="1:256">
      <c r="A29" s="773" t="s">
        <v>1620</v>
      </c>
      <c r="B29" s="769" t="s">
        <v>1270</v>
      </c>
      <c r="C29" s="549">
        <v>500</v>
      </c>
      <c r="D29" s="772"/>
      <c r="E29" s="772">
        <f>(D28+D27)*C29</f>
        <v>210000000</v>
      </c>
      <c r="F29" s="772"/>
      <c r="G29" s="771">
        <f>G26</f>
        <v>105000000</v>
      </c>
    </row>
    <row r="30" spans="1:256">
      <c r="A30" s="770" t="s">
        <v>1271</v>
      </c>
      <c r="B30" s="769" t="s">
        <v>1270</v>
      </c>
      <c r="C30" s="768"/>
      <c r="D30" s="767"/>
      <c r="E30" s="767">
        <f>E26-E12-G12</f>
        <v>78350000</v>
      </c>
      <c r="F30" s="767"/>
      <c r="G30" s="766">
        <f>G26-G12</f>
        <v>64800000</v>
      </c>
    </row>
    <row r="31" spans="1:256" ht="17.25" thickBot="1">
      <c r="A31" s="587" t="s">
        <v>1269</v>
      </c>
      <c r="B31" s="586" t="s">
        <v>90</v>
      </c>
      <c r="C31" s="765"/>
      <c r="D31" s="764"/>
      <c r="E31" s="763">
        <f>E30/E26</f>
        <v>0.37309523809523809</v>
      </c>
      <c r="F31" s="762"/>
      <c r="G31" s="761">
        <f>G30/G26</f>
        <v>0.6171428571428571</v>
      </c>
    </row>
    <row r="32" spans="1:256" ht="18" thickTop="1">
      <c r="A32" s="577" t="s">
        <v>1268</v>
      </c>
      <c r="E32" s="717"/>
      <c r="F32" s="617"/>
      <c r="G32" s="617"/>
    </row>
    <row r="33" spans="1:7">
      <c r="A33" s="716" t="s">
        <v>1619</v>
      </c>
      <c r="B33" s="618"/>
      <c r="C33" s="714"/>
      <c r="D33" s="617"/>
      <c r="E33" s="617"/>
      <c r="F33" s="617"/>
      <c r="G33" s="617"/>
    </row>
    <row r="34" spans="1:7">
      <c r="A34" s="617" t="s">
        <v>1631</v>
      </c>
      <c r="B34" s="618"/>
      <c r="C34" s="714"/>
      <c r="D34" s="617"/>
      <c r="E34" s="617"/>
      <c r="F34" s="617"/>
      <c r="G34" s="617"/>
    </row>
    <row r="35" spans="1:7">
      <c r="A35" s="617" t="s">
        <v>1630</v>
      </c>
      <c r="B35" s="618"/>
      <c r="C35" s="714"/>
      <c r="D35" s="617"/>
      <c r="E35" s="617"/>
      <c r="F35" s="617"/>
      <c r="G35" s="617"/>
    </row>
    <row r="36" spans="1:7">
      <c r="A36" s="617" t="s">
        <v>1616</v>
      </c>
      <c r="B36" s="618"/>
      <c r="C36" s="714"/>
      <c r="D36" s="617"/>
      <c r="E36" s="617"/>
      <c r="F36" s="617"/>
      <c r="G36" s="617"/>
    </row>
    <row r="37" spans="1:7">
      <c r="A37" s="716" t="s">
        <v>1615</v>
      </c>
      <c r="B37" s="618"/>
      <c r="C37" s="714"/>
      <c r="D37" s="617"/>
      <c r="E37" s="617"/>
      <c r="F37" s="617"/>
      <c r="G37" s="617"/>
    </row>
    <row r="38" spans="1:7">
      <c r="A38" s="617" t="s">
        <v>1297</v>
      </c>
      <c r="B38" s="618"/>
      <c r="C38" s="714"/>
      <c r="D38" s="617"/>
      <c r="E38" s="617"/>
      <c r="F38" s="617"/>
      <c r="G38" s="617"/>
    </row>
    <row r="39" spans="1:7">
      <c r="A39" s="617" t="s">
        <v>1310</v>
      </c>
      <c r="B39" s="618"/>
      <c r="C39" s="714"/>
      <c r="D39" s="617"/>
      <c r="E39" s="617"/>
      <c r="F39" s="617"/>
      <c r="G39" s="617"/>
    </row>
    <row r="40" spans="1:7">
      <c r="A40" s="617" t="s">
        <v>1613</v>
      </c>
      <c r="B40" s="618"/>
      <c r="C40" s="714"/>
      <c r="D40" s="617"/>
      <c r="E40" s="617"/>
      <c r="F40" s="617"/>
      <c r="G40" s="617"/>
    </row>
  </sheetData>
  <mergeCells count="6">
    <mergeCell ref="A6:G6"/>
    <mergeCell ref="A7:G7"/>
    <mergeCell ref="A9:A11"/>
    <mergeCell ref="B9:B11"/>
    <mergeCell ref="C9:C11"/>
    <mergeCell ref="F10:G10"/>
  </mergeCells>
  <pageMargins left="1" right="0.5" top="0.75" bottom="0.75" header="0.5" footer="0.5"/>
  <pageSetup orientation="portrait" r:id="rId1"/>
  <headerFooter>
    <oddFooter>&amp;CTrang</oddFooter>
  </headerFooter>
  <drawing r:id="rId2"/>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G31"/>
  <sheetViews>
    <sheetView zoomScaleNormal="100" workbookViewId="0">
      <selection activeCell="H20" sqref="H20"/>
    </sheetView>
  </sheetViews>
  <sheetFormatPr defaultRowHeight="16.5"/>
  <cols>
    <col min="1" max="1" width="31.5703125" style="523" customWidth="1"/>
    <col min="2" max="2" width="14.140625" style="523" customWidth="1"/>
    <col min="3" max="3" width="14.85546875" style="616" customWidth="1"/>
    <col min="4" max="4" width="14.7109375" style="523" customWidth="1"/>
    <col min="5" max="5" width="15.7109375" style="523" customWidth="1"/>
    <col min="6" max="256" width="9.140625" style="523"/>
    <col min="257" max="257" width="31.5703125" style="523" customWidth="1"/>
    <col min="258" max="258" width="14.140625" style="523" customWidth="1"/>
    <col min="259" max="259" width="14.85546875" style="523" customWidth="1"/>
    <col min="260" max="260" width="14.7109375" style="523" customWidth="1"/>
    <col min="261" max="261" width="15.7109375" style="523" customWidth="1"/>
    <col min="262" max="512" width="9.140625" style="523"/>
    <col min="513" max="513" width="31.5703125" style="523" customWidth="1"/>
    <col min="514" max="514" width="14.140625" style="523" customWidth="1"/>
    <col min="515" max="515" width="14.85546875" style="523" customWidth="1"/>
    <col min="516" max="516" width="14.7109375" style="523" customWidth="1"/>
    <col min="517" max="517" width="15.7109375" style="523" customWidth="1"/>
    <col min="518" max="768" width="9.140625" style="523"/>
    <col min="769" max="769" width="31.5703125" style="523" customWidth="1"/>
    <col min="770" max="770" width="14.140625" style="523" customWidth="1"/>
    <col min="771" max="771" width="14.85546875" style="523" customWidth="1"/>
    <col min="772" max="772" width="14.7109375" style="523" customWidth="1"/>
    <col min="773" max="773" width="15.7109375" style="523" customWidth="1"/>
    <col min="774" max="1024" width="9.140625" style="523"/>
    <col min="1025" max="1025" width="31.5703125" style="523" customWidth="1"/>
    <col min="1026" max="1026" width="14.140625" style="523" customWidth="1"/>
    <col min="1027" max="1027" width="14.85546875" style="523" customWidth="1"/>
    <col min="1028" max="1028" width="14.7109375" style="523" customWidth="1"/>
    <col min="1029" max="1029" width="15.7109375" style="523" customWidth="1"/>
    <col min="1030" max="1280" width="9.140625" style="523"/>
    <col min="1281" max="1281" width="31.5703125" style="523" customWidth="1"/>
    <col min="1282" max="1282" width="14.140625" style="523" customWidth="1"/>
    <col min="1283" max="1283" width="14.85546875" style="523" customWidth="1"/>
    <col min="1284" max="1284" width="14.7109375" style="523" customWidth="1"/>
    <col min="1285" max="1285" width="15.7109375" style="523" customWidth="1"/>
    <col min="1286" max="1536" width="9.140625" style="523"/>
    <col min="1537" max="1537" width="31.5703125" style="523" customWidth="1"/>
    <col min="1538" max="1538" width="14.140625" style="523" customWidth="1"/>
    <col min="1539" max="1539" width="14.85546875" style="523" customWidth="1"/>
    <col min="1540" max="1540" width="14.7109375" style="523" customWidth="1"/>
    <col min="1541" max="1541" width="15.7109375" style="523" customWidth="1"/>
    <col min="1542" max="1792" width="9.140625" style="523"/>
    <col min="1793" max="1793" width="31.5703125" style="523" customWidth="1"/>
    <col min="1794" max="1794" width="14.140625" style="523" customWidth="1"/>
    <col min="1795" max="1795" width="14.85546875" style="523" customWidth="1"/>
    <col min="1796" max="1796" width="14.7109375" style="523" customWidth="1"/>
    <col min="1797" max="1797" width="15.7109375" style="523" customWidth="1"/>
    <col min="1798" max="2048" width="9.140625" style="523"/>
    <col min="2049" max="2049" width="31.5703125" style="523" customWidth="1"/>
    <col min="2050" max="2050" width="14.140625" style="523" customWidth="1"/>
    <col min="2051" max="2051" width="14.85546875" style="523" customWidth="1"/>
    <col min="2052" max="2052" width="14.7109375" style="523" customWidth="1"/>
    <col min="2053" max="2053" width="15.7109375" style="523" customWidth="1"/>
    <col min="2054" max="2304" width="9.140625" style="523"/>
    <col min="2305" max="2305" width="31.5703125" style="523" customWidth="1"/>
    <col min="2306" max="2306" width="14.140625" style="523" customWidth="1"/>
    <col min="2307" max="2307" width="14.85546875" style="523" customWidth="1"/>
    <col min="2308" max="2308" width="14.7109375" style="523" customWidth="1"/>
    <col min="2309" max="2309" width="15.7109375" style="523" customWidth="1"/>
    <col min="2310" max="2560" width="9.140625" style="523"/>
    <col min="2561" max="2561" width="31.5703125" style="523" customWidth="1"/>
    <col min="2562" max="2562" width="14.140625" style="523" customWidth="1"/>
    <col min="2563" max="2563" width="14.85546875" style="523" customWidth="1"/>
    <col min="2564" max="2564" width="14.7109375" style="523" customWidth="1"/>
    <col min="2565" max="2565" width="15.7109375" style="523" customWidth="1"/>
    <col min="2566" max="2816" width="9.140625" style="523"/>
    <col min="2817" max="2817" width="31.5703125" style="523" customWidth="1"/>
    <col min="2818" max="2818" width="14.140625" style="523" customWidth="1"/>
    <col min="2819" max="2819" width="14.85546875" style="523" customWidth="1"/>
    <col min="2820" max="2820" width="14.7109375" style="523" customWidth="1"/>
    <col min="2821" max="2821" width="15.7109375" style="523" customWidth="1"/>
    <col min="2822" max="3072" width="9.140625" style="523"/>
    <col min="3073" max="3073" width="31.5703125" style="523" customWidth="1"/>
    <col min="3074" max="3074" width="14.140625" style="523" customWidth="1"/>
    <col min="3075" max="3075" width="14.85546875" style="523" customWidth="1"/>
    <col min="3076" max="3076" width="14.7109375" style="523" customWidth="1"/>
    <col min="3077" max="3077" width="15.7109375" style="523" customWidth="1"/>
    <col min="3078" max="3328" width="9.140625" style="523"/>
    <col min="3329" max="3329" width="31.5703125" style="523" customWidth="1"/>
    <col min="3330" max="3330" width="14.140625" style="523" customWidth="1"/>
    <col min="3331" max="3331" width="14.85546875" style="523" customWidth="1"/>
    <col min="3332" max="3332" width="14.7109375" style="523" customWidth="1"/>
    <col min="3333" max="3333" width="15.7109375" style="523" customWidth="1"/>
    <col min="3334" max="3584" width="9.140625" style="523"/>
    <col min="3585" max="3585" width="31.5703125" style="523" customWidth="1"/>
    <col min="3586" max="3586" width="14.140625" style="523" customWidth="1"/>
    <col min="3587" max="3587" width="14.85546875" style="523" customWidth="1"/>
    <col min="3588" max="3588" width="14.7109375" style="523" customWidth="1"/>
    <col min="3589" max="3589" width="15.7109375" style="523" customWidth="1"/>
    <col min="3590" max="3840" width="9.140625" style="523"/>
    <col min="3841" max="3841" width="31.5703125" style="523" customWidth="1"/>
    <col min="3842" max="3842" width="14.140625" style="523" customWidth="1"/>
    <col min="3843" max="3843" width="14.85546875" style="523" customWidth="1"/>
    <col min="3844" max="3844" width="14.7109375" style="523" customWidth="1"/>
    <col min="3845" max="3845" width="15.7109375" style="523" customWidth="1"/>
    <col min="3846" max="4096" width="9.140625" style="523"/>
    <col min="4097" max="4097" width="31.5703125" style="523" customWidth="1"/>
    <col min="4098" max="4098" width="14.140625" style="523" customWidth="1"/>
    <col min="4099" max="4099" width="14.85546875" style="523" customWidth="1"/>
    <col min="4100" max="4100" width="14.7109375" style="523" customWidth="1"/>
    <col min="4101" max="4101" width="15.7109375" style="523" customWidth="1"/>
    <col min="4102" max="4352" width="9.140625" style="523"/>
    <col min="4353" max="4353" width="31.5703125" style="523" customWidth="1"/>
    <col min="4354" max="4354" width="14.140625" style="523" customWidth="1"/>
    <col min="4355" max="4355" width="14.85546875" style="523" customWidth="1"/>
    <col min="4356" max="4356" width="14.7109375" style="523" customWidth="1"/>
    <col min="4357" max="4357" width="15.7109375" style="523" customWidth="1"/>
    <col min="4358" max="4608" width="9.140625" style="523"/>
    <col min="4609" max="4609" width="31.5703125" style="523" customWidth="1"/>
    <col min="4610" max="4610" width="14.140625" style="523" customWidth="1"/>
    <col min="4611" max="4611" width="14.85546875" style="523" customWidth="1"/>
    <col min="4612" max="4612" width="14.7109375" style="523" customWidth="1"/>
    <col min="4613" max="4613" width="15.7109375" style="523" customWidth="1"/>
    <col min="4614" max="4864" width="9.140625" style="523"/>
    <col min="4865" max="4865" width="31.5703125" style="523" customWidth="1"/>
    <col min="4866" max="4866" width="14.140625" style="523" customWidth="1"/>
    <col min="4867" max="4867" width="14.85546875" style="523" customWidth="1"/>
    <col min="4868" max="4868" width="14.7109375" style="523" customWidth="1"/>
    <col min="4869" max="4869" width="15.7109375" style="523" customWidth="1"/>
    <col min="4870" max="5120" width="9.140625" style="523"/>
    <col min="5121" max="5121" width="31.5703125" style="523" customWidth="1"/>
    <col min="5122" max="5122" width="14.140625" style="523" customWidth="1"/>
    <col min="5123" max="5123" width="14.85546875" style="523" customWidth="1"/>
    <col min="5124" max="5124" width="14.7109375" style="523" customWidth="1"/>
    <col min="5125" max="5125" width="15.7109375" style="523" customWidth="1"/>
    <col min="5126" max="5376" width="9.140625" style="523"/>
    <col min="5377" max="5377" width="31.5703125" style="523" customWidth="1"/>
    <col min="5378" max="5378" width="14.140625" style="523" customWidth="1"/>
    <col min="5379" max="5379" width="14.85546875" style="523" customWidth="1"/>
    <col min="5380" max="5380" width="14.7109375" style="523" customWidth="1"/>
    <col min="5381" max="5381" width="15.7109375" style="523" customWidth="1"/>
    <col min="5382" max="5632" width="9.140625" style="523"/>
    <col min="5633" max="5633" width="31.5703125" style="523" customWidth="1"/>
    <col min="5634" max="5634" width="14.140625" style="523" customWidth="1"/>
    <col min="5635" max="5635" width="14.85546875" style="523" customWidth="1"/>
    <col min="5636" max="5636" width="14.7109375" style="523" customWidth="1"/>
    <col min="5637" max="5637" width="15.7109375" style="523" customWidth="1"/>
    <col min="5638" max="5888" width="9.140625" style="523"/>
    <col min="5889" max="5889" width="31.5703125" style="523" customWidth="1"/>
    <col min="5890" max="5890" width="14.140625" style="523" customWidth="1"/>
    <col min="5891" max="5891" width="14.85546875" style="523" customWidth="1"/>
    <col min="5892" max="5892" width="14.7109375" style="523" customWidth="1"/>
    <col min="5893" max="5893" width="15.7109375" style="523" customWidth="1"/>
    <col min="5894" max="6144" width="9.140625" style="523"/>
    <col min="6145" max="6145" width="31.5703125" style="523" customWidth="1"/>
    <col min="6146" max="6146" width="14.140625" style="523" customWidth="1"/>
    <col min="6147" max="6147" width="14.85546875" style="523" customWidth="1"/>
    <col min="6148" max="6148" width="14.7109375" style="523" customWidth="1"/>
    <col min="6149" max="6149" width="15.7109375" style="523" customWidth="1"/>
    <col min="6150" max="6400" width="9.140625" style="523"/>
    <col min="6401" max="6401" width="31.5703125" style="523" customWidth="1"/>
    <col min="6402" max="6402" width="14.140625" style="523" customWidth="1"/>
    <col min="6403" max="6403" width="14.85546875" style="523" customWidth="1"/>
    <col min="6404" max="6404" width="14.7109375" style="523" customWidth="1"/>
    <col min="6405" max="6405" width="15.7109375" style="523" customWidth="1"/>
    <col min="6406" max="6656" width="9.140625" style="523"/>
    <col min="6657" max="6657" width="31.5703125" style="523" customWidth="1"/>
    <col min="6658" max="6658" width="14.140625" style="523" customWidth="1"/>
    <col min="6659" max="6659" width="14.85546875" style="523" customWidth="1"/>
    <col min="6660" max="6660" width="14.7109375" style="523" customWidth="1"/>
    <col min="6661" max="6661" width="15.7109375" style="523" customWidth="1"/>
    <col min="6662" max="6912" width="9.140625" style="523"/>
    <col min="6913" max="6913" width="31.5703125" style="523" customWidth="1"/>
    <col min="6914" max="6914" width="14.140625" style="523" customWidth="1"/>
    <col min="6915" max="6915" width="14.85546875" style="523" customWidth="1"/>
    <col min="6916" max="6916" width="14.7109375" style="523" customWidth="1"/>
    <col min="6917" max="6917" width="15.7109375" style="523" customWidth="1"/>
    <col min="6918" max="7168" width="9.140625" style="523"/>
    <col min="7169" max="7169" width="31.5703125" style="523" customWidth="1"/>
    <col min="7170" max="7170" width="14.140625" style="523" customWidth="1"/>
    <col min="7171" max="7171" width="14.85546875" style="523" customWidth="1"/>
    <col min="7172" max="7172" width="14.7109375" style="523" customWidth="1"/>
    <col min="7173" max="7173" width="15.7109375" style="523" customWidth="1"/>
    <col min="7174" max="7424" width="9.140625" style="523"/>
    <col min="7425" max="7425" width="31.5703125" style="523" customWidth="1"/>
    <col min="7426" max="7426" width="14.140625" style="523" customWidth="1"/>
    <col min="7427" max="7427" width="14.85546875" style="523" customWidth="1"/>
    <col min="7428" max="7428" width="14.7109375" style="523" customWidth="1"/>
    <col min="7429" max="7429" width="15.7109375" style="523" customWidth="1"/>
    <col min="7430" max="7680" width="9.140625" style="523"/>
    <col min="7681" max="7681" width="31.5703125" style="523" customWidth="1"/>
    <col min="7682" max="7682" width="14.140625" style="523" customWidth="1"/>
    <col min="7683" max="7683" width="14.85546875" style="523" customWidth="1"/>
    <col min="7684" max="7684" width="14.7109375" style="523" customWidth="1"/>
    <col min="7685" max="7685" width="15.7109375" style="523" customWidth="1"/>
    <col min="7686" max="7936" width="9.140625" style="523"/>
    <col min="7937" max="7937" width="31.5703125" style="523" customWidth="1"/>
    <col min="7938" max="7938" width="14.140625" style="523" customWidth="1"/>
    <col min="7939" max="7939" width="14.85546875" style="523" customWidth="1"/>
    <col min="7940" max="7940" width="14.7109375" style="523" customWidth="1"/>
    <col min="7941" max="7941" width="15.7109375" style="523" customWidth="1"/>
    <col min="7942" max="8192" width="9.140625" style="523"/>
    <col min="8193" max="8193" width="31.5703125" style="523" customWidth="1"/>
    <col min="8194" max="8194" width="14.140625" style="523" customWidth="1"/>
    <col min="8195" max="8195" width="14.85546875" style="523" customWidth="1"/>
    <col min="8196" max="8196" width="14.7109375" style="523" customWidth="1"/>
    <col min="8197" max="8197" width="15.7109375" style="523" customWidth="1"/>
    <col min="8198" max="8448" width="9.140625" style="523"/>
    <col min="8449" max="8449" width="31.5703125" style="523" customWidth="1"/>
    <col min="8450" max="8450" width="14.140625" style="523" customWidth="1"/>
    <col min="8451" max="8451" width="14.85546875" style="523" customWidth="1"/>
    <col min="8452" max="8452" width="14.7109375" style="523" customWidth="1"/>
    <col min="8453" max="8453" width="15.7109375" style="523" customWidth="1"/>
    <col min="8454" max="8704" width="9.140625" style="523"/>
    <col min="8705" max="8705" width="31.5703125" style="523" customWidth="1"/>
    <col min="8706" max="8706" width="14.140625" style="523" customWidth="1"/>
    <col min="8707" max="8707" width="14.85546875" style="523" customWidth="1"/>
    <col min="8708" max="8708" width="14.7109375" style="523" customWidth="1"/>
    <col min="8709" max="8709" width="15.7109375" style="523" customWidth="1"/>
    <col min="8710" max="8960" width="9.140625" style="523"/>
    <col min="8961" max="8961" width="31.5703125" style="523" customWidth="1"/>
    <col min="8962" max="8962" width="14.140625" style="523" customWidth="1"/>
    <col min="8963" max="8963" width="14.85546875" style="523" customWidth="1"/>
    <col min="8964" max="8964" width="14.7109375" style="523" customWidth="1"/>
    <col min="8965" max="8965" width="15.7109375" style="523" customWidth="1"/>
    <col min="8966" max="9216" width="9.140625" style="523"/>
    <col min="9217" max="9217" width="31.5703125" style="523" customWidth="1"/>
    <col min="9218" max="9218" width="14.140625" style="523" customWidth="1"/>
    <col min="9219" max="9219" width="14.85546875" style="523" customWidth="1"/>
    <col min="9220" max="9220" width="14.7109375" style="523" customWidth="1"/>
    <col min="9221" max="9221" width="15.7109375" style="523" customWidth="1"/>
    <col min="9222" max="9472" width="9.140625" style="523"/>
    <col min="9473" max="9473" width="31.5703125" style="523" customWidth="1"/>
    <col min="9474" max="9474" width="14.140625" style="523" customWidth="1"/>
    <col min="9475" max="9475" width="14.85546875" style="523" customWidth="1"/>
    <col min="9476" max="9476" width="14.7109375" style="523" customWidth="1"/>
    <col min="9477" max="9477" width="15.7109375" style="523" customWidth="1"/>
    <col min="9478" max="9728" width="9.140625" style="523"/>
    <col min="9729" max="9729" width="31.5703125" style="523" customWidth="1"/>
    <col min="9730" max="9730" width="14.140625" style="523" customWidth="1"/>
    <col min="9731" max="9731" width="14.85546875" style="523" customWidth="1"/>
    <col min="9732" max="9732" width="14.7109375" style="523" customWidth="1"/>
    <col min="9733" max="9733" width="15.7109375" style="523" customWidth="1"/>
    <col min="9734" max="9984" width="9.140625" style="523"/>
    <col min="9985" max="9985" width="31.5703125" style="523" customWidth="1"/>
    <col min="9986" max="9986" width="14.140625" style="523" customWidth="1"/>
    <col min="9987" max="9987" width="14.85546875" style="523" customWidth="1"/>
    <col min="9988" max="9988" width="14.7109375" style="523" customWidth="1"/>
    <col min="9989" max="9989" width="15.7109375" style="523" customWidth="1"/>
    <col min="9990" max="10240" width="9.140625" style="523"/>
    <col min="10241" max="10241" width="31.5703125" style="523" customWidth="1"/>
    <col min="10242" max="10242" width="14.140625" style="523" customWidth="1"/>
    <col min="10243" max="10243" width="14.85546875" style="523" customWidth="1"/>
    <col min="10244" max="10244" width="14.7109375" style="523" customWidth="1"/>
    <col min="10245" max="10245" width="15.7109375" style="523" customWidth="1"/>
    <col min="10246" max="10496" width="9.140625" style="523"/>
    <col min="10497" max="10497" width="31.5703125" style="523" customWidth="1"/>
    <col min="10498" max="10498" width="14.140625" style="523" customWidth="1"/>
    <col min="10499" max="10499" width="14.85546875" style="523" customWidth="1"/>
    <col min="10500" max="10500" width="14.7109375" style="523" customWidth="1"/>
    <col min="10501" max="10501" width="15.7109375" style="523" customWidth="1"/>
    <col min="10502" max="10752" width="9.140625" style="523"/>
    <col min="10753" max="10753" width="31.5703125" style="523" customWidth="1"/>
    <col min="10754" max="10754" width="14.140625" style="523" customWidth="1"/>
    <col min="10755" max="10755" width="14.85546875" style="523" customWidth="1"/>
    <col min="10756" max="10756" width="14.7109375" style="523" customWidth="1"/>
    <col min="10757" max="10757" width="15.7109375" style="523" customWidth="1"/>
    <col min="10758" max="11008" width="9.140625" style="523"/>
    <col min="11009" max="11009" width="31.5703125" style="523" customWidth="1"/>
    <col min="11010" max="11010" width="14.140625" style="523" customWidth="1"/>
    <col min="11011" max="11011" width="14.85546875" style="523" customWidth="1"/>
    <col min="11012" max="11012" width="14.7109375" style="523" customWidth="1"/>
    <col min="11013" max="11013" width="15.7109375" style="523" customWidth="1"/>
    <col min="11014" max="11264" width="9.140625" style="523"/>
    <col min="11265" max="11265" width="31.5703125" style="523" customWidth="1"/>
    <col min="11266" max="11266" width="14.140625" style="523" customWidth="1"/>
    <col min="11267" max="11267" width="14.85546875" style="523" customWidth="1"/>
    <col min="11268" max="11268" width="14.7109375" style="523" customWidth="1"/>
    <col min="11269" max="11269" width="15.7109375" style="523" customWidth="1"/>
    <col min="11270" max="11520" width="9.140625" style="523"/>
    <col min="11521" max="11521" width="31.5703125" style="523" customWidth="1"/>
    <col min="11522" max="11522" width="14.140625" style="523" customWidth="1"/>
    <col min="11523" max="11523" width="14.85546875" style="523" customWidth="1"/>
    <col min="11524" max="11524" width="14.7109375" style="523" customWidth="1"/>
    <col min="11525" max="11525" width="15.7109375" style="523" customWidth="1"/>
    <col min="11526" max="11776" width="9.140625" style="523"/>
    <col min="11777" max="11777" width="31.5703125" style="523" customWidth="1"/>
    <col min="11778" max="11778" width="14.140625" style="523" customWidth="1"/>
    <col min="11779" max="11779" width="14.85546875" style="523" customWidth="1"/>
    <col min="11780" max="11780" width="14.7109375" style="523" customWidth="1"/>
    <col min="11781" max="11781" width="15.7109375" style="523" customWidth="1"/>
    <col min="11782" max="12032" width="9.140625" style="523"/>
    <col min="12033" max="12033" width="31.5703125" style="523" customWidth="1"/>
    <col min="12034" max="12034" width="14.140625" style="523" customWidth="1"/>
    <col min="12035" max="12035" width="14.85546875" style="523" customWidth="1"/>
    <col min="12036" max="12036" width="14.7109375" style="523" customWidth="1"/>
    <col min="12037" max="12037" width="15.7109375" style="523" customWidth="1"/>
    <col min="12038" max="12288" width="9.140625" style="523"/>
    <col min="12289" max="12289" width="31.5703125" style="523" customWidth="1"/>
    <col min="12290" max="12290" width="14.140625" style="523" customWidth="1"/>
    <col min="12291" max="12291" width="14.85546875" style="523" customWidth="1"/>
    <col min="12292" max="12292" width="14.7109375" style="523" customWidth="1"/>
    <col min="12293" max="12293" width="15.7109375" style="523" customWidth="1"/>
    <col min="12294" max="12544" width="9.140625" style="523"/>
    <col min="12545" max="12545" width="31.5703125" style="523" customWidth="1"/>
    <col min="12546" max="12546" width="14.140625" style="523" customWidth="1"/>
    <col min="12547" max="12547" width="14.85546875" style="523" customWidth="1"/>
    <col min="12548" max="12548" width="14.7109375" style="523" customWidth="1"/>
    <col min="12549" max="12549" width="15.7109375" style="523" customWidth="1"/>
    <col min="12550" max="12800" width="9.140625" style="523"/>
    <col min="12801" max="12801" width="31.5703125" style="523" customWidth="1"/>
    <col min="12802" max="12802" width="14.140625" style="523" customWidth="1"/>
    <col min="12803" max="12803" width="14.85546875" style="523" customWidth="1"/>
    <col min="12804" max="12804" width="14.7109375" style="523" customWidth="1"/>
    <col min="12805" max="12805" width="15.7109375" style="523" customWidth="1"/>
    <col min="12806" max="13056" width="9.140625" style="523"/>
    <col min="13057" max="13057" width="31.5703125" style="523" customWidth="1"/>
    <col min="13058" max="13058" width="14.140625" style="523" customWidth="1"/>
    <col min="13059" max="13059" width="14.85546875" style="523" customWidth="1"/>
    <col min="13060" max="13060" width="14.7109375" style="523" customWidth="1"/>
    <col min="13061" max="13061" width="15.7109375" style="523" customWidth="1"/>
    <col min="13062" max="13312" width="9.140625" style="523"/>
    <col min="13313" max="13313" width="31.5703125" style="523" customWidth="1"/>
    <col min="13314" max="13314" width="14.140625" style="523" customWidth="1"/>
    <col min="13315" max="13315" width="14.85546875" style="523" customWidth="1"/>
    <col min="13316" max="13316" width="14.7109375" style="523" customWidth="1"/>
    <col min="13317" max="13317" width="15.7109375" style="523" customWidth="1"/>
    <col min="13318" max="13568" width="9.140625" style="523"/>
    <col min="13569" max="13569" width="31.5703125" style="523" customWidth="1"/>
    <col min="13570" max="13570" width="14.140625" style="523" customWidth="1"/>
    <col min="13571" max="13571" width="14.85546875" style="523" customWidth="1"/>
    <col min="13572" max="13572" width="14.7109375" style="523" customWidth="1"/>
    <col min="13573" max="13573" width="15.7109375" style="523" customWidth="1"/>
    <col min="13574" max="13824" width="9.140625" style="523"/>
    <col min="13825" max="13825" width="31.5703125" style="523" customWidth="1"/>
    <col min="13826" max="13826" width="14.140625" style="523" customWidth="1"/>
    <col min="13827" max="13827" width="14.85546875" style="523" customWidth="1"/>
    <col min="13828" max="13828" width="14.7109375" style="523" customWidth="1"/>
    <col min="13829" max="13829" width="15.7109375" style="523" customWidth="1"/>
    <col min="13830" max="14080" width="9.140625" style="523"/>
    <col min="14081" max="14081" width="31.5703125" style="523" customWidth="1"/>
    <col min="14082" max="14082" width="14.140625" style="523" customWidth="1"/>
    <col min="14083" max="14083" width="14.85546875" style="523" customWidth="1"/>
    <col min="14084" max="14084" width="14.7109375" style="523" customWidth="1"/>
    <col min="14085" max="14085" width="15.7109375" style="523" customWidth="1"/>
    <col min="14086" max="14336" width="9.140625" style="523"/>
    <col min="14337" max="14337" width="31.5703125" style="523" customWidth="1"/>
    <col min="14338" max="14338" width="14.140625" style="523" customWidth="1"/>
    <col min="14339" max="14339" width="14.85546875" style="523" customWidth="1"/>
    <col min="14340" max="14340" width="14.7109375" style="523" customWidth="1"/>
    <col min="14341" max="14341" width="15.7109375" style="523" customWidth="1"/>
    <col min="14342" max="14592" width="9.140625" style="523"/>
    <col min="14593" max="14593" width="31.5703125" style="523" customWidth="1"/>
    <col min="14594" max="14594" width="14.140625" style="523" customWidth="1"/>
    <col min="14595" max="14595" width="14.85546875" style="523" customWidth="1"/>
    <col min="14596" max="14596" width="14.7109375" style="523" customWidth="1"/>
    <col min="14597" max="14597" width="15.7109375" style="523" customWidth="1"/>
    <col min="14598" max="14848" width="9.140625" style="523"/>
    <col min="14849" max="14849" width="31.5703125" style="523" customWidth="1"/>
    <col min="14850" max="14850" width="14.140625" style="523" customWidth="1"/>
    <col min="14851" max="14851" width="14.85546875" style="523" customWidth="1"/>
    <col min="14852" max="14852" width="14.7109375" style="523" customWidth="1"/>
    <col min="14853" max="14853" width="15.7109375" style="523" customWidth="1"/>
    <col min="14854" max="15104" width="9.140625" style="523"/>
    <col min="15105" max="15105" width="31.5703125" style="523" customWidth="1"/>
    <col min="15106" max="15106" width="14.140625" style="523" customWidth="1"/>
    <col min="15107" max="15107" width="14.85546875" style="523" customWidth="1"/>
    <col min="15108" max="15108" width="14.7109375" style="523" customWidth="1"/>
    <col min="15109" max="15109" width="15.7109375" style="523" customWidth="1"/>
    <col min="15110" max="15360" width="9.140625" style="523"/>
    <col min="15361" max="15361" width="31.5703125" style="523" customWidth="1"/>
    <col min="15362" max="15362" width="14.140625" style="523" customWidth="1"/>
    <col min="15363" max="15363" width="14.85546875" style="523" customWidth="1"/>
    <col min="15364" max="15364" width="14.7109375" style="523" customWidth="1"/>
    <col min="15365" max="15365" width="15.7109375" style="523" customWidth="1"/>
    <col min="15366" max="15616" width="9.140625" style="523"/>
    <col min="15617" max="15617" width="31.5703125" style="523" customWidth="1"/>
    <col min="15618" max="15618" width="14.140625" style="523" customWidth="1"/>
    <col min="15619" max="15619" width="14.85546875" style="523" customWidth="1"/>
    <col min="15620" max="15620" width="14.7109375" style="523" customWidth="1"/>
    <col min="15621" max="15621" width="15.7109375" style="523" customWidth="1"/>
    <col min="15622" max="15872" width="9.140625" style="523"/>
    <col min="15873" max="15873" width="31.5703125" style="523" customWidth="1"/>
    <col min="15874" max="15874" width="14.140625" style="523" customWidth="1"/>
    <col min="15875" max="15875" width="14.85546875" style="523" customWidth="1"/>
    <col min="15876" max="15876" width="14.7109375" style="523" customWidth="1"/>
    <col min="15877" max="15877" width="15.7109375" style="523" customWidth="1"/>
    <col min="15878" max="16128" width="9.140625" style="523"/>
    <col min="16129" max="16129" width="31.5703125" style="523" customWidth="1"/>
    <col min="16130" max="16130" width="14.140625" style="523" customWidth="1"/>
    <col min="16131" max="16131" width="14.85546875" style="523" customWidth="1"/>
    <col min="16132" max="16132" width="14.7109375" style="523" customWidth="1"/>
    <col min="16133" max="16133" width="15.7109375" style="523" customWidth="1"/>
    <col min="16134" max="16384" width="9.140625" style="523"/>
  </cols>
  <sheetData>
    <row r="1" spans="1:7">
      <c r="C1" s="616" t="s">
        <v>1781</v>
      </c>
      <c r="G1" s="1383" t="s">
        <v>1020</v>
      </c>
    </row>
    <row r="5" spans="1:7">
      <c r="A5" s="2409" t="s">
        <v>1780</v>
      </c>
      <c r="B5" s="2409"/>
      <c r="C5" s="2409"/>
      <c r="D5" s="2409"/>
      <c r="E5" s="2409"/>
    </row>
    <row r="6" spans="1:7" ht="15.75" customHeight="1">
      <c r="A6" s="2409" t="s">
        <v>1753</v>
      </c>
      <c r="B6" s="2409"/>
      <c r="C6" s="2409"/>
      <c r="D6" s="2409"/>
      <c r="E6" s="2409"/>
    </row>
    <row r="7" spans="1:7" ht="17.25" thickBot="1">
      <c r="C7" s="621"/>
      <c r="D7" s="524"/>
      <c r="E7" s="2302" t="s">
        <v>1263</v>
      </c>
    </row>
    <row r="8" spans="1:7" ht="22.5" customHeight="1" thickTop="1">
      <c r="A8" s="930" t="s">
        <v>1294</v>
      </c>
      <c r="B8" s="929" t="s">
        <v>235</v>
      </c>
      <c r="C8" s="928" t="s">
        <v>3</v>
      </c>
      <c r="D8" s="2310" t="s">
        <v>1</v>
      </c>
      <c r="E8" s="709" t="s">
        <v>4</v>
      </c>
    </row>
    <row r="9" spans="1:7" ht="22.5" customHeight="1">
      <c r="A9" s="905" t="s">
        <v>1351</v>
      </c>
      <c r="B9" s="904"/>
      <c r="C9" s="916"/>
      <c r="D9" s="886"/>
      <c r="E9" s="903">
        <f>SUM(E20+E21)</f>
        <v>11695000</v>
      </c>
    </row>
    <row r="10" spans="1:7" ht="22.5" customHeight="1">
      <c r="A10" s="599" t="s">
        <v>1692</v>
      </c>
      <c r="B10" s="598" t="s">
        <v>11</v>
      </c>
      <c r="C10" s="627">
        <v>40000</v>
      </c>
      <c r="D10" s="597">
        <v>80</v>
      </c>
      <c r="E10" s="595">
        <f t="shared" ref="E10:E19" si="0">D10*C10</f>
        <v>3200000</v>
      </c>
    </row>
    <row r="11" spans="1:7" ht="22.5" customHeight="1">
      <c r="A11" s="599" t="s">
        <v>1779</v>
      </c>
      <c r="B11" s="598" t="s">
        <v>228</v>
      </c>
      <c r="C11" s="627">
        <v>450000</v>
      </c>
      <c r="D11" s="597">
        <v>4</v>
      </c>
      <c r="E11" s="595">
        <f t="shared" si="0"/>
        <v>1800000</v>
      </c>
    </row>
    <row r="12" spans="1:7" ht="22.5" customHeight="1">
      <c r="A12" s="599" t="s">
        <v>1778</v>
      </c>
      <c r="B12" s="598" t="s">
        <v>11</v>
      </c>
      <c r="C12" s="627">
        <v>10000</v>
      </c>
      <c r="D12" s="597">
        <v>20</v>
      </c>
      <c r="E12" s="595">
        <f t="shared" si="0"/>
        <v>200000</v>
      </c>
      <c r="F12" s="617"/>
    </row>
    <row r="13" spans="1:7" ht="22.5" customHeight="1">
      <c r="A13" s="599" t="s">
        <v>1777</v>
      </c>
      <c r="B13" s="598" t="s">
        <v>11</v>
      </c>
      <c r="C13" s="627">
        <v>2000</v>
      </c>
      <c r="D13" s="597">
        <v>100</v>
      </c>
      <c r="E13" s="595">
        <f t="shared" si="0"/>
        <v>200000</v>
      </c>
    </row>
    <row r="14" spans="1:7" ht="22.5" customHeight="1">
      <c r="A14" s="599" t="s">
        <v>1776</v>
      </c>
      <c r="B14" s="598" t="s">
        <v>11</v>
      </c>
      <c r="C14" s="627">
        <v>3000</v>
      </c>
      <c r="D14" s="597">
        <v>30</v>
      </c>
      <c r="E14" s="595">
        <f t="shared" si="0"/>
        <v>90000</v>
      </c>
    </row>
    <row r="15" spans="1:7" ht="22.5" customHeight="1">
      <c r="A15" s="599" t="s">
        <v>1402</v>
      </c>
      <c r="B15" s="598" t="s">
        <v>11</v>
      </c>
      <c r="C15" s="627">
        <v>15000</v>
      </c>
      <c r="D15" s="597">
        <v>15</v>
      </c>
      <c r="E15" s="595">
        <f t="shared" si="0"/>
        <v>225000</v>
      </c>
    </row>
    <row r="16" spans="1:7" ht="22.5" customHeight="1">
      <c r="A16" s="599" t="s">
        <v>1775</v>
      </c>
      <c r="B16" s="598" t="s">
        <v>11</v>
      </c>
      <c r="C16" s="627">
        <v>200000</v>
      </c>
      <c r="D16" s="597">
        <v>2</v>
      </c>
      <c r="E16" s="595">
        <f t="shared" si="0"/>
        <v>400000</v>
      </c>
    </row>
    <row r="17" spans="1:5" ht="22.5" customHeight="1">
      <c r="A17" s="599" t="s">
        <v>1736</v>
      </c>
      <c r="B17" s="598" t="s">
        <v>11</v>
      </c>
      <c r="C17" s="627">
        <v>200000</v>
      </c>
      <c r="D17" s="597">
        <v>2</v>
      </c>
      <c r="E17" s="595">
        <f t="shared" si="0"/>
        <v>400000</v>
      </c>
    </row>
    <row r="18" spans="1:5" ht="22.5" customHeight="1">
      <c r="A18" s="599" t="s">
        <v>1369</v>
      </c>
      <c r="B18" s="598" t="s">
        <v>1397</v>
      </c>
      <c r="C18" s="627">
        <v>70000</v>
      </c>
      <c r="D18" s="597">
        <v>20</v>
      </c>
      <c r="E18" s="595">
        <f t="shared" si="0"/>
        <v>1400000</v>
      </c>
    </row>
    <row r="19" spans="1:5" ht="22.5" customHeight="1">
      <c r="A19" s="599" t="s">
        <v>1368</v>
      </c>
      <c r="B19" s="598" t="s">
        <v>511</v>
      </c>
      <c r="C19" s="627">
        <v>180000</v>
      </c>
      <c r="D19" s="597">
        <v>20</v>
      </c>
      <c r="E19" s="595">
        <f t="shared" si="0"/>
        <v>3600000</v>
      </c>
    </row>
    <row r="20" spans="1:5" ht="22.5" customHeight="1">
      <c r="A20" s="893" t="s">
        <v>1344</v>
      </c>
      <c r="B20" s="598"/>
      <c r="C20" s="627"/>
      <c r="D20" s="876"/>
      <c r="E20" s="879">
        <f>SUM(E10:E19)</f>
        <v>11515000</v>
      </c>
    </row>
    <row r="21" spans="1:5" ht="22.5" customHeight="1">
      <c r="A21" s="599" t="s">
        <v>1367</v>
      </c>
      <c r="B21" s="598" t="s">
        <v>1270</v>
      </c>
      <c r="C21" s="627"/>
      <c r="D21" s="597"/>
      <c r="E21" s="595">
        <f>9000000*8%/4</f>
        <v>180000</v>
      </c>
    </row>
    <row r="22" spans="1:5" ht="22.5" customHeight="1">
      <c r="A22" s="893" t="s">
        <v>1341</v>
      </c>
      <c r="B22" s="598"/>
      <c r="C22" s="627"/>
      <c r="D22" s="597"/>
      <c r="E22" s="879">
        <f>E24</f>
        <v>16000000</v>
      </c>
    </row>
    <row r="23" spans="1:5" ht="22.5" customHeight="1">
      <c r="A23" s="599" t="s">
        <v>1340</v>
      </c>
      <c r="B23" s="598" t="s">
        <v>11</v>
      </c>
      <c r="C23" s="627"/>
      <c r="D23" s="597">
        <v>4000</v>
      </c>
      <c r="E23" s="595"/>
    </row>
    <row r="24" spans="1:5" ht="22.5" customHeight="1">
      <c r="A24" s="599" t="s">
        <v>1339</v>
      </c>
      <c r="B24" s="598" t="s">
        <v>1270</v>
      </c>
      <c r="C24" s="627">
        <v>4000</v>
      </c>
      <c r="D24" s="597">
        <v>4000</v>
      </c>
      <c r="E24" s="595">
        <f>D23*C24</f>
        <v>16000000</v>
      </c>
    </row>
    <row r="25" spans="1:5" ht="22.5" customHeight="1">
      <c r="A25" s="902" t="s">
        <v>1337</v>
      </c>
      <c r="B25" s="910"/>
      <c r="C25" s="914"/>
      <c r="D25" s="872"/>
      <c r="E25" s="870">
        <f>E22-E9</f>
        <v>4305000</v>
      </c>
    </row>
    <row r="26" spans="1:5" ht="22.5" customHeight="1" thickBot="1">
      <c r="A26" s="789" t="s">
        <v>1269</v>
      </c>
      <c r="B26" s="723" t="s">
        <v>90</v>
      </c>
      <c r="C26" s="624"/>
      <c r="D26" s="764"/>
      <c r="E26" s="622">
        <f>E25/E22</f>
        <v>0.26906249999999998</v>
      </c>
    </row>
    <row r="27" spans="1:5" ht="22.5" customHeight="1" thickTop="1">
      <c r="A27" s="652"/>
      <c r="B27" s="620"/>
      <c r="C27" s="621"/>
      <c r="D27" s="927"/>
      <c r="E27" s="927"/>
    </row>
    <row r="28" spans="1:5" ht="22.5" customHeight="1">
      <c r="A28" s="524" t="s">
        <v>1268</v>
      </c>
    </row>
    <row r="29" spans="1:5" ht="22.5" customHeight="1">
      <c r="A29" s="523" t="s">
        <v>1774</v>
      </c>
    </row>
    <row r="30" spans="1:5" ht="22.5" customHeight="1">
      <c r="A30" s="523" t="s">
        <v>1773</v>
      </c>
    </row>
    <row r="31" spans="1:5" ht="22.5" customHeight="1">
      <c r="A31" s="617" t="s">
        <v>1613</v>
      </c>
    </row>
  </sheetData>
  <mergeCells count="2">
    <mergeCell ref="A5:E5"/>
    <mergeCell ref="A6:E6"/>
  </mergeCells>
  <pageMargins left="1" right="0.5" top="0.75" bottom="0.75" header="0.5" footer="0.5"/>
  <pageSetup orientation="portrait" r:id="rId1"/>
  <headerFooter alignWithMargins="0">
    <oddFooter>&amp;CTrang</oddFooter>
  </headerFooter>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G33"/>
  <sheetViews>
    <sheetView zoomScaleNormal="100" workbookViewId="0">
      <selection activeCell="H20" sqref="H20"/>
    </sheetView>
  </sheetViews>
  <sheetFormatPr defaultRowHeight="16.5"/>
  <cols>
    <col min="1" max="1" width="31.42578125" style="523" customWidth="1"/>
    <col min="2" max="2" width="14.28515625" style="523" customWidth="1"/>
    <col min="3" max="3" width="14" style="616" customWidth="1"/>
    <col min="4" max="4" width="15" style="523" customWidth="1"/>
    <col min="5" max="5" width="16" style="523" customWidth="1"/>
    <col min="6" max="256" width="9.140625" style="523"/>
    <col min="257" max="257" width="31.42578125" style="523" customWidth="1"/>
    <col min="258" max="258" width="14.28515625" style="523" customWidth="1"/>
    <col min="259" max="259" width="14" style="523" customWidth="1"/>
    <col min="260" max="260" width="15" style="523" customWidth="1"/>
    <col min="261" max="261" width="16" style="523" customWidth="1"/>
    <col min="262" max="512" width="9.140625" style="523"/>
    <col min="513" max="513" width="31.42578125" style="523" customWidth="1"/>
    <col min="514" max="514" width="14.28515625" style="523" customWidth="1"/>
    <col min="515" max="515" width="14" style="523" customWidth="1"/>
    <col min="516" max="516" width="15" style="523" customWidth="1"/>
    <col min="517" max="517" width="16" style="523" customWidth="1"/>
    <col min="518" max="768" width="9.140625" style="523"/>
    <col min="769" max="769" width="31.42578125" style="523" customWidth="1"/>
    <col min="770" max="770" width="14.28515625" style="523" customWidth="1"/>
    <col min="771" max="771" width="14" style="523" customWidth="1"/>
    <col min="772" max="772" width="15" style="523" customWidth="1"/>
    <col min="773" max="773" width="16" style="523" customWidth="1"/>
    <col min="774" max="1024" width="9.140625" style="523"/>
    <col min="1025" max="1025" width="31.42578125" style="523" customWidth="1"/>
    <col min="1026" max="1026" width="14.28515625" style="523" customWidth="1"/>
    <col min="1027" max="1027" width="14" style="523" customWidth="1"/>
    <col min="1028" max="1028" width="15" style="523" customWidth="1"/>
    <col min="1029" max="1029" width="16" style="523" customWidth="1"/>
    <col min="1030" max="1280" width="9.140625" style="523"/>
    <col min="1281" max="1281" width="31.42578125" style="523" customWidth="1"/>
    <col min="1282" max="1282" width="14.28515625" style="523" customWidth="1"/>
    <col min="1283" max="1283" width="14" style="523" customWidth="1"/>
    <col min="1284" max="1284" width="15" style="523" customWidth="1"/>
    <col min="1285" max="1285" width="16" style="523" customWidth="1"/>
    <col min="1286" max="1536" width="9.140625" style="523"/>
    <col min="1537" max="1537" width="31.42578125" style="523" customWidth="1"/>
    <col min="1538" max="1538" width="14.28515625" style="523" customWidth="1"/>
    <col min="1539" max="1539" width="14" style="523" customWidth="1"/>
    <col min="1540" max="1540" width="15" style="523" customWidth="1"/>
    <col min="1541" max="1541" width="16" style="523" customWidth="1"/>
    <col min="1542" max="1792" width="9.140625" style="523"/>
    <col min="1793" max="1793" width="31.42578125" style="523" customWidth="1"/>
    <col min="1794" max="1794" width="14.28515625" style="523" customWidth="1"/>
    <col min="1795" max="1795" width="14" style="523" customWidth="1"/>
    <col min="1796" max="1796" width="15" style="523" customWidth="1"/>
    <col min="1797" max="1797" width="16" style="523" customWidth="1"/>
    <col min="1798" max="2048" width="9.140625" style="523"/>
    <col min="2049" max="2049" width="31.42578125" style="523" customWidth="1"/>
    <col min="2050" max="2050" width="14.28515625" style="523" customWidth="1"/>
    <col min="2051" max="2051" width="14" style="523" customWidth="1"/>
    <col min="2052" max="2052" width="15" style="523" customWidth="1"/>
    <col min="2053" max="2053" width="16" style="523" customWidth="1"/>
    <col min="2054" max="2304" width="9.140625" style="523"/>
    <col min="2305" max="2305" width="31.42578125" style="523" customWidth="1"/>
    <col min="2306" max="2306" width="14.28515625" style="523" customWidth="1"/>
    <col min="2307" max="2307" width="14" style="523" customWidth="1"/>
    <col min="2308" max="2308" width="15" style="523" customWidth="1"/>
    <col min="2309" max="2309" width="16" style="523" customWidth="1"/>
    <col min="2310" max="2560" width="9.140625" style="523"/>
    <col min="2561" max="2561" width="31.42578125" style="523" customWidth="1"/>
    <col min="2562" max="2562" width="14.28515625" style="523" customWidth="1"/>
    <col min="2563" max="2563" width="14" style="523" customWidth="1"/>
    <col min="2564" max="2564" width="15" style="523" customWidth="1"/>
    <col min="2565" max="2565" width="16" style="523" customWidth="1"/>
    <col min="2566" max="2816" width="9.140625" style="523"/>
    <col min="2817" max="2817" width="31.42578125" style="523" customWidth="1"/>
    <col min="2818" max="2818" width="14.28515625" style="523" customWidth="1"/>
    <col min="2819" max="2819" width="14" style="523" customWidth="1"/>
    <col min="2820" max="2820" width="15" style="523" customWidth="1"/>
    <col min="2821" max="2821" width="16" style="523" customWidth="1"/>
    <col min="2822" max="3072" width="9.140625" style="523"/>
    <col min="3073" max="3073" width="31.42578125" style="523" customWidth="1"/>
    <col min="3074" max="3074" width="14.28515625" style="523" customWidth="1"/>
    <col min="3075" max="3075" width="14" style="523" customWidth="1"/>
    <col min="3076" max="3076" width="15" style="523" customWidth="1"/>
    <col min="3077" max="3077" width="16" style="523" customWidth="1"/>
    <col min="3078" max="3328" width="9.140625" style="523"/>
    <col min="3329" max="3329" width="31.42578125" style="523" customWidth="1"/>
    <col min="3330" max="3330" width="14.28515625" style="523" customWidth="1"/>
    <col min="3331" max="3331" width="14" style="523" customWidth="1"/>
    <col min="3332" max="3332" width="15" style="523" customWidth="1"/>
    <col min="3333" max="3333" width="16" style="523" customWidth="1"/>
    <col min="3334" max="3584" width="9.140625" style="523"/>
    <col min="3585" max="3585" width="31.42578125" style="523" customWidth="1"/>
    <col min="3586" max="3586" width="14.28515625" style="523" customWidth="1"/>
    <col min="3587" max="3587" width="14" style="523" customWidth="1"/>
    <col min="3588" max="3588" width="15" style="523" customWidth="1"/>
    <col min="3589" max="3589" width="16" style="523" customWidth="1"/>
    <col min="3590" max="3840" width="9.140625" style="523"/>
    <col min="3841" max="3841" width="31.42578125" style="523" customWidth="1"/>
    <col min="3842" max="3842" width="14.28515625" style="523" customWidth="1"/>
    <col min="3843" max="3843" width="14" style="523" customWidth="1"/>
    <col min="3844" max="3844" width="15" style="523" customWidth="1"/>
    <col min="3845" max="3845" width="16" style="523" customWidth="1"/>
    <col min="3846" max="4096" width="9.140625" style="523"/>
    <col min="4097" max="4097" width="31.42578125" style="523" customWidth="1"/>
    <col min="4098" max="4098" width="14.28515625" style="523" customWidth="1"/>
    <col min="4099" max="4099" width="14" style="523" customWidth="1"/>
    <col min="4100" max="4100" width="15" style="523" customWidth="1"/>
    <col min="4101" max="4101" width="16" style="523" customWidth="1"/>
    <col min="4102" max="4352" width="9.140625" style="523"/>
    <col min="4353" max="4353" width="31.42578125" style="523" customWidth="1"/>
    <col min="4354" max="4354" width="14.28515625" style="523" customWidth="1"/>
    <col min="4355" max="4355" width="14" style="523" customWidth="1"/>
    <col min="4356" max="4356" width="15" style="523" customWidth="1"/>
    <col min="4357" max="4357" width="16" style="523" customWidth="1"/>
    <col min="4358" max="4608" width="9.140625" style="523"/>
    <col min="4609" max="4609" width="31.42578125" style="523" customWidth="1"/>
    <col min="4610" max="4610" width="14.28515625" style="523" customWidth="1"/>
    <col min="4611" max="4611" width="14" style="523" customWidth="1"/>
    <col min="4612" max="4612" width="15" style="523" customWidth="1"/>
    <col min="4613" max="4613" width="16" style="523" customWidth="1"/>
    <col min="4614" max="4864" width="9.140625" style="523"/>
    <col min="4865" max="4865" width="31.42578125" style="523" customWidth="1"/>
    <col min="4866" max="4866" width="14.28515625" style="523" customWidth="1"/>
    <col min="4867" max="4867" width="14" style="523" customWidth="1"/>
    <col min="4868" max="4868" width="15" style="523" customWidth="1"/>
    <col min="4869" max="4869" width="16" style="523" customWidth="1"/>
    <col min="4870" max="5120" width="9.140625" style="523"/>
    <col min="5121" max="5121" width="31.42578125" style="523" customWidth="1"/>
    <col min="5122" max="5122" width="14.28515625" style="523" customWidth="1"/>
    <col min="5123" max="5123" width="14" style="523" customWidth="1"/>
    <col min="5124" max="5124" width="15" style="523" customWidth="1"/>
    <col min="5125" max="5125" width="16" style="523" customWidth="1"/>
    <col min="5126" max="5376" width="9.140625" style="523"/>
    <col min="5377" max="5377" width="31.42578125" style="523" customWidth="1"/>
    <col min="5378" max="5378" width="14.28515625" style="523" customWidth="1"/>
    <col min="5379" max="5379" width="14" style="523" customWidth="1"/>
    <col min="5380" max="5380" width="15" style="523" customWidth="1"/>
    <col min="5381" max="5381" width="16" style="523" customWidth="1"/>
    <col min="5382" max="5632" width="9.140625" style="523"/>
    <col min="5633" max="5633" width="31.42578125" style="523" customWidth="1"/>
    <col min="5634" max="5634" width="14.28515625" style="523" customWidth="1"/>
    <col min="5635" max="5635" width="14" style="523" customWidth="1"/>
    <col min="5636" max="5636" width="15" style="523" customWidth="1"/>
    <col min="5637" max="5637" width="16" style="523" customWidth="1"/>
    <col min="5638" max="5888" width="9.140625" style="523"/>
    <col min="5889" max="5889" width="31.42578125" style="523" customWidth="1"/>
    <col min="5890" max="5890" width="14.28515625" style="523" customWidth="1"/>
    <col min="5891" max="5891" width="14" style="523" customWidth="1"/>
    <col min="5892" max="5892" width="15" style="523" customWidth="1"/>
    <col min="5893" max="5893" width="16" style="523" customWidth="1"/>
    <col min="5894" max="6144" width="9.140625" style="523"/>
    <col min="6145" max="6145" width="31.42578125" style="523" customWidth="1"/>
    <col min="6146" max="6146" width="14.28515625" style="523" customWidth="1"/>
    <col min="6147" max="6147" width="14" style="523" customWidth="1"/>
    <col min="6148" max="6148" width="15" style="523" customWidth="1"/>
    <col min="6149" max="6149" width="16" style="523" customWidth="1"/>
    <col min="6150" max="6400" width="9.140625" style="523"/>
    <col min="6401" max="6401" width="31.42578125" style="523" customWidth="1"/>
    <col min="6402" max="6402" width="14.28515625" style="523" customWidth="1"/>
    <col min="6403" max="6403" width="14" style="523" customWidth="1"/>
    <col min="6404" max="6404" width="15" style="523" customWidth="1"/>
    <col min="6405" max="6405" width="16" style="523" customWidth="1"/>
    <col min="6406" max="6656" width="9.140625" style="523"/>
    <col min="6657" max="6657" width="31.42578125" style="523" customWidth="1"/>
    <col min="6658" max="6658" width="14.28515625" style="523" customWidth="1"/>
    <col min="6659" max="6659" width="14" style="523" customWidth="1"/>
    <col min="6660" max="6660" width="15" style="523" customWidth="1"/>
    <col min="6661" max="6661" width="16" style="523" customWidth="1"/>
    <col min="6662" max="6912" width="9.140625" style="523"/>
    <col min="6913" max="6913" width="31.42578125" style="523" customWidth="1"/>
    <col min="6914" max="6914" width="14.28515625" style="523" customWidth="1"/>
    <col min="6915" max="6915" width="14" style="523" customWidth="1"/>
    <col min="6916" max="6916" width="15" style="523" customWidth="1"/>
    <col min="6917" max="6917" width="16" style="523" customWidth="1"/>
    <col min="6918" max="7168" width="9.140625" style="523"/>
    <col min="7169" max="7169" width="31.42578125" style="523" customWidth="1"/>
    <col min="7170" max="7170" width="14.28515625" style="523" customWidth="1"/>
    <col min="7171" max="7171" width="14" style="523" customWidth="1"/>
    <col min="7172" max="7172" width="15" style="523" customWidth="1"/>
    <col min="7173" max="7173" width="16" style="523" customWidth="1"/>
    <col min="7174" max="7424" width="9.140625" style="523"/>
    <col min="7425" max="7425" width="31.42578125" style="523" customWidth="1"/>
    <col min="7426" max="7426" width="14.28515625" style="523" customWidth="1"/>
    <col min="7427" max="7427" width="14" style="523" customWidth="1"/>
    <col min="7428" max="7428" width="15" style="523" customWidth="1"/>
    <col min="7429" max="7429" width="16" style="523" customWidth="1"/>
    <col min="7430" max="7680" width="9.140625" style="523"/>
    <col min="7681" max="7681" width="31.42578125" style="523" customWidth="1"/>
    <col min="7682" max="7682" width="14.28515625" style="523" customWidth="1"/>
    <col min="7683" max="7683" width="14" style="523" customWidth="1"/>
    <col min="7684" max="7684" width="15" style="523" customWidth="1"/>
    <col min="7685" max="7685" width="16" style="523" customWidth="1"/>
    <col min="7686" max="7936" width="9.140625" style="523"/>
    <col min="7937" max="7937" width="31.42578125" style="523" customWidth="1"/>
    <col min="7938" max="7938" width="14.28515625" style="523" customWidth="1"/>
    <col min="7939" max="7939" width="14" style="523" customWidth="1"/>
    <col min="7940" max="7940" width="15" style="523" customWidth="1"/>
    <col min="7941" max="7941" width="16" style="523" customWidth="1"/>
    <col min="7942" max="8192" width="9.140625" style="523"/>
    <col min="8193" max="8193" width="31.42578125" style="523" customWidth="1"/>
    <col min="8194" max="8194" width="14.28515625" style="523" customWidth="1"/>
    <col min="8195" max="8195" width="14" style="523" customWidth="1"/>
    <col min="8196" max="8196" width="15" style="523" customWidth="1"/>
    <col min="8197" max="8197" width="16" style="523" customWidth="1"/>
    <col min="8198" max="8448" width="9.140625" style="523"/>
    <col min="8449" max="8449" width="31.42578125" style="523" customWidth="1"/>
    <col min="8450" max="8450" width="14.28515625" style="523" customWidth="1"/>
    <col min="8451" max="8451" width="14" style="523" customWidth="1"/>
    <col min="8452" max="8452" width="15" style="523" customWidth="1"/>
    <col min="8453" max="8453" width="16" style="523" customWidth="1"/>
    <col min="8454" max="8704" width="9.140625" style="523"/>
    <col min="8705" max="8705" width="31.42578125" style="523" customWidth="1"/>
    <col min="8706" max="8706" width="14.28515625" style="523" customWidth="1"/>
    <col min="8707" max="8707" width="14" style="523" customWidth="1"/>
    <col min="8708" max="8708" width="15" style="523" customWidth="1"/>
    <col min="8709" max="8709" width="16" style="523" customWidth="1"/>
    <col min="8710" max="8960" width="9.140625" style="523"/>
    <col min="8961" max="8961" width="31.42578125" style="523" customWidth="1"/>
    <col min="8962" max="8962" width="14.28515625" style="523" customWidth="1"/>
    <col min="8963" max="8963" width="14" style="523" customWidth="1"/>
    <col min="8964" max="8964" width="15" style="523" customWidth="1"/>
    <col min="8965" max="8965" width="16" style="523" customWidth="1"/>
    <col min="8966" max="9216" width="9.140625" style="523"/>
    <col min="9217" max="9217" width="31.42578125" style="523" customWidth="1"/>
    <col min="9218" max="9218" width="14.28515625" style="523" customWidth="1"/>
    <col min="9219" max="9219" width="14" style="523" customWidth="1"/>
    <col min="9220" max="9220" width="15" style="523" customWidth="1"/>
    <col min="9221" max="9221" width="16" style="523" customWidth="1"/>
    <col min="9222" max="9472" width="9.140625" style="523"/>
    <col min="9473" max="9473" width="31.42578125" style="523" customWidth="1"/>
    <col min="9474" max="9474" width="14.28515625" style="523" customWidth="1"/>
    <col min="9475" max="9475" width="14" style="523" customWidth="1"/>
    <col min="9476" max="9476" width="15" style="523" customWidth="1"/>
    <col min="9477" max="9477" width="16" style="523" customWidth="1"/>
    <col min="9478" max="9728" width="9.140625" style="523"/>
    <col min="9729" max="9729" width="31.42578125" style="523" customWidth="1"/>
    <col min="9730" max="9730" width="14.28515625" style="523" customWidth="1"/>
    <col min="9731" max="9731" width="14" style="523" customWidth="1"/>
    <col min="9732" max="9732" width="15" style="523" customWidth="1"/>
    <col min="9733" max="9733" width="16" style="523" customWidth="1"/>
    <col min="9734" max="9984" width="9.140625" style="523"/>
    <col min="9985" max="9985" width="31.42578125" style="523" customWidth="1"/>
    <col min="9986" max="9986" width="14.28515625" style="523" customWidth="1"/>
    <col min="9987" max="9987" width="14" style="523" customWidth="1"/>
    <col min="9988" max="9988" width="15" style="523" customWidth="1"/>
    <col min="9989" max="9989" width="16" style="523" customWidth="1"/>
    <col min="9990" max="10240" width="9.140625" style="523"/>
    <col min="10241" max="10241" width="31.42578125" style="523" customWidth="1"/>
    <col min="10242" max="10242" width="14.28515625" style="523" customWidth="1"/>
    <col min="10243" max="10243" width="14" style="523" customWidth="1"/>
    <col min="10244" max="10244" width="15" style="523" customWidth="1"/>
    <col min="10245" max="10245" width="16" style="523" customWidth="1"/>
    <col min="10246" max="10496" width="9.140625" style="523"/>
    <col min="10497" max="10497" width="31.42578125" style="523" customWidth="1"/>
    <col min="10498" max="10498" width="14.28515625" style="523" customWidth="1"/>
    <col min="10499" max="10499" width="14" style="523" customWidth="1"/>
    <col min="10500" max="10500" width="15" style="523" customWidth="1"/>
    <col min="10501" max="10501" width="16" style="523" customWidth="1"/>
    <col min="10502" max="10752" width="9.140625" style="523"/>
    <col min="10753" max="10753" width="31.42578125" style="523" customWidth="1"/>
    <col min="10754" max="10754" width="14.28515625" style="523" customWidth="1"/>
    <col min="10755" max="10755" width="14" style="523" customWidth="1"/>
    <col min="10756" max="10756" width="15" style="523" customWidth="1"/>
    <col min="10757" max="10757" width="16" style="523" customWidth="1"/>
    <col min="10758" max="11008" width="9.140625" style="523"/>
    <col min="11009" max="11009" width="31.42578125" style="523" customWidth="1"/>
    <col min="11010" max="11010" width="14.28515625" style="523" customWidth="1"/>
    <col min="11011" max="11011" width="14" style="523" customWidth="1"/>
    <col min="11012" max="11012" width="15" style="523" customWidth="1"/>
    <col min="11013" max="11013" width="16" style="523" customWidth="1"/>
    <col min="11014" max="11264" width="9.140625" style="523"/>
    <col min="11265" max="11265" width="31.42578125" style="523" customWidth="1"/>
    <col min="11266" max="11266" width="14.28515625" style="523" customWidth="1"/>
    <col min="11267" max="11267" width="14" style="523" customWidth="1"/>
    <col min="11268" max="11268" width="15" style="523" customWidth="1"/>
    <col min="11269" max="11269" width="16" style="523" customWidth="1"/>
    <col min="11270" max="11520" width="9.140625" style="523"/>
    <col min="11521" max="11521" width="31.42578125" style="523" customWidth="1"/>
    <col min="11522" max="11522" width="14.28515625" style="523" customWidth="1"/>
    <col min="11523" max="11523" width="14" style="523" customWidth="1"/>
    <col min="11524" max="11524" width="15" style="523" customWidth="1"/>
    <col min="11525" max="11525" width="16" style="523" customWidth="1"/>
    <col min="11526" max="11776" width="9.140625" style="523"/>
    <col min="11777" max="11777" width="31.42578125" style="523" customWidth="1"/>
    <col min="11778" max="11778" width="14.28515625" style="523" customWidth="1"/>
    <col min="11779" max="11779" width="14" style="523" customWidth="1"/>
    <col min="11780" max="11780" width="15" style="523" customWidth="1"/>
    <col min="11781" max="11781" width="16" style="523" customWidth="1"/>
    <col min="11782" max="12032" width="9.140625" style="523"/>
    <col min="12033" max="12033" width="31.42578125" style="523" customWidth="1"/>
    <col min="12034" max="12034" width="14.28515625" style="523" customWidth="1"/>
    <col min="12035" max="12035" width="14" style="523" customWidth="1"/>
    <col min="12036" max="12036" width="15" style="523" customWidth="1"/>
    <col min="12037" max="12037" width="16" style="523" customWidth="1"/>
    <col min="12038" max="12288" width="9.140625" style="523"/>
    <col min="12289" max="12289" width="31.42578125" style="523" customWidth="1"/>
    <col min="12290" max="12290" width="14.28515625" style="523" customWidth="1"/>
    <col min="12291" max="12291" width="14" style="523" customWidth="1"/>
    <col min="12292" max="12292" width="15" style="523" customWidth="1"/>
    <col min="12293" max="12293" width="16" style="523" customWidth="1"/>
    <col min="12294" max="12544" width="9.140625" style="523"/>
    <col min="12545" max="12545" width="31.42578125" style="523" customWidth="1"/>
    <col min="12546" max="12546" width="14.28515625" style="523" customWidth="1"/>
    <col min="12547" max="12547" width="14" style="523" customWidth="1"/>
    <col min="12548" max="12548" width="15" style="523" customWidth="1"/>
    <col min="12549" max="12549" width="16" style="523" customWidth="1"/>
    <col min="12550" max="12800" width="9.140625" style="523"/>
    <col min="12801" max="12801" width="31.42578125" style="523" customWidth="1"/>
    <col min="12802" max="12802" width="14.28515625" style="523" customWidth="1"/>
    <col min="12803" max="12803" width="14" style="523" customWidth="1"/>
    <col min="12804" max="12804" width="15" style="523" customWidth="1"/>
    <col min="12805" max="12805" width="16" style="523" customWidth="1"/>
    <col min="12806" max="13056" width="9.140625" style="523"/>
    <col min="13057" max="13057" width="31.42578125" style="523" customWidth="1"/>
    <col min="13058" max="13058" width="14.28515625" style="523" customWidth="1"/>
    <col min="13059" max="13059" width="14" style="523" customWidth="1"/>
    <col min="13060" max="13060" width="15" style="523" customWidth="1"/>
    <col min="13061" max="13061" width="16" style="523" customWidth="1"/>
    <col min="13062" max="13312" width="9.140625" style="523"/>
    <col min="13313" max="13313" width="31.42578125" style="523" customWidth="1"/>
    <col min="13314" max="13314" width="14.28515625" style="523" customWidth="1"/>
    <col min="13315" max="13315" width="14" style="523" customWidth="1"/>
    <col min="13316" max="13316" width="15" style="523" customWidth="1"/>
    <col min="13317" max="13317" width="16" style="523" customWidth="1"/>
    <col min="13318" max="13568" width="9.140625" style="523"/>
    <col min="13569" max="13569" width="31.42578125" style="523" customWidth="1"/>
    <col min="13570" max="13570" width="14.28515625" style="523" customWidth="1"/>
    <col min="13571" max="13571" width="14" style="523" customWidth="1"/>
    <col min="13572" max="13572" width="15" style="523" customWidth="1"/>
    <col min="13573" max="13573" width="16" style="523" customWidth="1"/>
    <col min="13574" max="13824" width="9.140625" style="523"/>
    <col min="13825" max="13825" width="31.42578125" style="523" customWidth="1"/>
    <col min="13826" max="13826" width="14.28515625" style="523" customWidth="1"/>
    <col min="13827" max="13827" width="14" style="523" customWidth="1"/>
    <col min="13828" max="13828" width="15" style="523" customWidth="1"/>
    <col min="13829" max="13829" width="16" style="523" customWidth="1"/>
    <col min="13830" max="14080" width="9.140625" style="523"/>
    <col min="14081" max="14081" width="31.42578125" style="523" customWidth="1"/>
    <col min="14082" max="14082" width="14.28515625" style="523" customWidth="1"/>
    <col min="14083" max="14083" width="14" style="523" customWidth="1"/>
    <col min="14084" max="14084" width="15" style="523" customWidth="1"/>
    <col min="14085" max="14085" width="16" style="523" customWidth="1"/>
    <col min="14086" max="14336" width="9.140625" style="523"/>
    <col min="14337" max="14337" width="31.42578125" style="523" customWidth="1"/>
    <col min="14338" max="14338" width="14.28515625" style="523" customWidth="1"/>
    <col min="14339" max="14339" width="14" style="523" customWidth="1"/>
    <col min="14340" max="14340" width="15" style="523" customWidth="1"/>
    <col min="14341" max="14341" width="16" style="523" customWidth="1"/>
    <col min="14342" max="14592" width="9.140625" style="523"/>
    <col min="14593" max="14593" width="31.42578125" style="523" customWidth="1"/>
    <col min="14594" max="14594" width="14.28515625" style="523" customWidth="1"/>
    <col min="14595" max="14595" width="14" style="523" customWidth="1"/>
    <col min="14596" max="14596" width="15" style="523" customWidth="1"/>
    <col min="14597" max="14597" width="16" style="523" customWidth="1"/>
    <col min="14598" max="14848" width="9.140625" style="523"/>
    <col min="14849" max="14849" width="31.42578125" style="523" customWidth="1"/>
    <col min="14850" max="14850" width="14.28515625" style="523" customWidth="1"/>
    <col min="14851" max="14851" width="14" style="523" customWidth="1"/>
    <col min="14852" max="14852" width="15" style="523" customWidth="1"/>
    <col min="14853" max="14853" width="16" style="523" customWidth="1"/>
    <col min="14854" max="15104" width="9.140625" style="523"/>
    <col min="15105" max="15105" width="31.42578125" style="523" customWidth="1"/>
    <col min="15106" max="15106" width="14.28515625" style="523" customWidth="1"/>
    <col min="15107" max="15107" width="14" style="523" customWidth="1"/>
    <col min="15108" max="15108" width="15" style="523" customWidth="1"/>
    <col min="15109" max="15109" width="16" style="523" customWidth="1"/>
    <col min="15110" max="15360" width="9.140625" style="523"/>
    <col min="15361" max="15361" width="31.42578125" style="523" customWidth="1"/>
    <col min="15362" max="15362" width="14.28515625" style="523" customWidth="1"/>
    <col min="15363" max="15363" width="14" style="523" customWidth="1"/>
    <col min="15364" max="15364" width="15" style="523" customWidth="1"/>
    <col min="15365" max="15365" width="16" style="523" customWidth="1"/>
    <col min="15366" max="15616" width="9.140625" style="523"/>
    <col min="15617" max="15617" width="31.42578125" style="523" customWidth="1"/>
    <col min="15618" max="15618" width="14.28515625" style="523" customWidth="1"/>
    <col min="15619" max="15619" width="14" style="523" customWidth="1"/>
    <col min="15620" max="15620" width="15" style="523" customWidth="1"/>
    <col min="15621" max="15621" width="16" style="523" customWidth="1"/>
    <col min="15622" max="15872" width="9.140625" style="523"/>
    <col min="15873" max="15873" width="31.42578125" style="523" customWidth="1"/>
    <col min="15874" max="15874" width="14.28515625" style="523" customWidth="1"/>
    <col min="15875" max="15875" width="14" style="523" customWidth="1"/>
    <col min="15876" max="15876" width="15" style="523" customWidth="1"/>
    <col min="15877" max="15877" width="16" style="523" customWidth="1"/>
    <col min="15878" max="16128" width="9.140625" style="523"/>
    <col min="16129" max="16129" width="31.42578125" style="523" customWidth="1"/>
    <col min="16130" max="16130" width="14.28515625" style="523" customWidth="1"/>
    <col min="16131" max="16131" width="14" style="523" customWidth="1"/>
    <col min="16132" max="16132" width="15" style="523" customWidth="1"/>
    <col min="16133" max="16133" width="16" style="523" customWidth="1"/>
    <col min="16134" max="16384" width="9.140625" style="523"/>
  </cols>
  <sheetData>
    <row r="1" spans="1:7">
      <c r="C1" s="616" t="s">
        <v>1772</v>
      </c>
      <c r="G1" s="1383" t="s">
        <v>1020</v>
      </c>
    </row>
    <row r="6" spans="1:7">
      <c r="A6" s="2409" t="s">
        <v>1771</v>
      </c>
      <c r="B6" s="2409"/>
      <c r="C6" s="2409"/>
      <c r="D6" s="2409"/>
      <c r="E6" s="2409"/>
    </row>
    <row r="7" spans="1:7">
      <c r="A7" s="2409" t="s">
        <v>1770</v>
      </c>
      <c r="B7" s="2409"/>
      <c r="C7" s="2409"/>
      <c r="D7" s="2409"/>
      <c r="E7" s="2409"/>
    </row>
    <row r="8" spans="1:7" ht="17.25" thickBot="1">
      <c r="C8" s="621"/>
      <c r="D8" s="524"/>
      <c r="E8" s="2302" t="s">
        <v>1263</v>
      </c>
    </row>
    <row r="9" spans="1:7" s="2302" customFormat="1" ht="23.25" customHeight="1" thickTop="1">
      <c r="A9" s="951" t="s">
        <v>1294</v>
      </c>
      <c r="B9" s="950" t="s">
        <v>235</v>
      </c>
      <c r="C9" s="949" t="s">
        <v>3</v>
      </c>
      <c r="D9" s="948" t="s">
        <v>1</v>
      </c>
      <c r="E9" s="947" t="s">
        <v>4</v>
      </c>
    </row>
    <row r="10" spans="1:7" ht="21" customHeight="1">
      <c r="A10" s="905" t="s">
        <v>1351</v>
      </c>
      <c r="B10" s="904"/>
      <c r="C10" s="916"/>
      <c r="D10" s="886"/>
      <c r="E10" s="903">
        <f>SUM(E23+E24)</f>
        <v>27128333.333333332</v>
      </c>
    </row>
    <row r="11" spans="1:7" ht="21" customHeight="1">
      <c r="A11" s="599" t="s">
        <v>1692</v>
      </c>
      <c r="B11" s="598" t="s">
        <v>1287</v>
      </c>
      <c r="C11" s="627">
        <v>300</v>
      </c>
      <c r="D11" s="597">
        <v>40000</v>
      </c>
      <c r="E11" s="595">
        <f t="shared" ref="E11:E21" si="0">D11*C11</f>
        <v>12000000</v>
      </c>
    </row>
    <row r="12" spans="1:7" ht="21" customHeight="1">
      <c r="A12" s="599" t="s">
        <v>1752</v>
      </c>
      <c r="B12" s="598" t="s">
        <v>228</v>
      </c>
      <c r="C12" s="627">
        <v>300000</v>
      </c>
      <c r="D12" s="597">
        <v>3</v>
      </c>
      <c r="E12" s="595">
        <f t="shared" si="0"/>
        <v>900000</v>
      </c>
    </row>
    <row r="13" spans="1:7" ht="21" customHeight="1">
      <c r="A13" s="599" t="s">
        <v>1751</v>
      </c>
      <c r="B13" s="598" t="s">
        <v>11</v>
      </c>
      <c r="C13" s="627">
        <v>10000</v>
      </c>
      <c r="D13" s="597">
        <v>100</v>
      </c>
      <c r="E13" s="595">
        <f t="shared" si="0"/>
        <v>1000000</v>
      </c>
    </row>
    <row r="14" spans="1:7" ht="21" customHeight="1">
      <c r="A14" s="599" t="s">
        <v>1750</v>
      </c>
      <c r="B14" s="598" t="s">
        <v>11</v>
      </c>
      <c r="C14" s="627">
        <v>10000</v>
      </c>
      <c r="D14" s="597">
        <v>30</v>
      </c>
      <c r="E14" s="595">
        <f t="shared" si="0"/>
        <v>300000</v>
      </c>
    </row>
    <row r="15" spans="1:7" ht="21" customHeight="1">
      <c r="A15" s="599" t="s">
        <v>1346</v>
      </c>
      <c r="B15" s="598" t="s">
        <v>11</v>
      </c>
      <c r="C15" s="627">
        <v>2000</v>
      </c>
      <c r="D15" s="597">
        <v>100</v>
      </c>
      <c r="E15" s="595">
        <f t="shared" si="0"/>
        <v>200000</v>
      </c>
    </row>
    <row r="16" spans="1:7" ht="21" customHeight="1">
      <c r="A16" s="599" t="s">
        <v>1724</v>
      </c>
      <c r="B16" s="598" t="s">
        <v>11</v>
      </c>
      <c r="C16" s="627">
        <v>3000</v>
      </c>
      <c r="D16" s="597">
        <v>60</v>
      </c>
      <c r="E16" s="595">
        <f t="shared" si="0"/>
        <v>180000</v>
      </c>
    </row>
    <row r="17" spans="1:5" ht="21" customHeight="1">
      <c r="A17" s="599" t="s">
        <v>1723</v>
      </c>
      <c r="B17" s="598" t="s">
        <v>11</v>
      </c>
      <c r="C17" s="627">
        <v>15000</v>
      </c>
      <c r="D17" s="597">
        <v>25</v>
      </c>
      <c r="E17" s="595">
        <f t="shared" si="0"/>
        <v>375000</v>
      </c>
    </row>
    <row r="18" spans="1:5" ht="21" customHeight="1">
      <c r="A18" s="599" t="s">
        <v>1722</v>
      </c>
      <c r="B18" s="598" t="s">
        <v>11</v>
      </c>
      <c r="C18" s="627">
        <v>12000</v>
      </c>
      <c r="D18" s="597">
        <v>20</v>
      </c>
      <c r="E18" s="595">
        <f t="shared" si="0"/>
        <v>240000</v>
      </c>
    </row>
    <row r="19" spans="1:5" ht="21" customHeight="1">
      <c r="A19" s="599" t="s">
        <v>1721</v>
      </c>
      <c r="B19" s="598" t="s">
        <v>11</v>
      </c>
      <c r="C19" s="627">
        <v>200000</v>
      </c>
      <c r="D19" s="597">
        <v>10</v>
      </c>
      <c r="E19" s="595">
        <f t="shared" si="0"/>
        <v>2000000</v>
      </c>
    </row>
    <row r="20" spans="1:5" ht="21" customHeight="1">
      <c r="A20" s="599" t="s">
        <v>1720</v>
      </c>
      <c r="B20" s="598" t="s">
        <v>1397</v>
      </c>
      <c r="C20" s="627">
        <v>70000</v>
      </c>
      <c r="D20" s="597">
        <v>50</v>
      </c>
      <c r="E20" s="595">
        <f t="shared" si="0"/>
        <v>3500000</v>
      </c>
    </row>
    <row r="21" spans="1:5" ht="21" customHeight="1">
      <c r="A21" s="599" t="s">
        <v>1719</v>
      </c>
      <c r="B21" s="598" t="s">
        <v>511</v>
      </c>
      <c r="C21" s="627">
        <v>180000</v>
      </c>
      <c r="D21" s="597">
        <v>30</v>
      </c>
      <c r="E21" s="595">
        <f t="shared" si="0"/>
        <v>5400000</v>
      </c>
    </row>
    <row r="22" spans="1:5" ht="21" customHeight="1">
      <c r="A22" s="599" t="s">
        <v>1718</v>
      </c>
      <c r="B22" s="598"/>
      <c r="C22" s="627"/>
      <c r="D22" s="597"/>
      <c r="E22" s="595">
        <v>500000</v>
      </c>
    </row>
    <row r="23" spans="1:5" ht="21" customHeight="1">
      <c r="A23" s="893" t="s">
        <v>1344</v>
      </c>
      <c r="B23" s="598"/>
      <c r="C23" s="627"/>
      <c r="D23" s="876"/>
      <c r="E23" s="879">
        <f>SUM(E11:E22)</f>
        <v>26595000</v>
      </c>
    </row>
    <row r="24" spans="1:5" ht="21" customHeight="1">
      <c r="A24" s="599" t="s">
        <v>1395</v>
      </c>
      <c r="B24" s="598" t="s">
        <v>1270</v>
      </c>
      <c r="C24" s="627"/>
      <c r="D24" s="597"/>
      <c r="E24" s="595">
        <f>20000000*8%/3</f>
        <v>533333.33333333337</v>
      </c>
    </row>
    <row r="25" spans="1:5" ht="21" customHeight="1">
      <c r="A25" s="893" t="s">
        <v>1341</v>
      </c>
      <c r="B25" s="598"/>
      <c r="C25" s="627"/>
      <c r="D25" s="597"/>
      <c r="E25" s="879">
        <f>E27</f>
        <v>33000000</v>
      </c>
    </row>
    <row r="26" spans="1:5" ht="21" customHeight="1">
      <c r="A26" s="599" t="s">
        <v>1340</v>
      </c>
      <c r="B26" s="598" t="s">
        <v>11</v>
      </c>
      <c r="C26" s="627"/>
      <c r="D26" s="597">
        <v>6000</v>
      </c>
      <c r="E26" s="595"/>
    </row>
    <row r="27" spans="1:5" ht="21" customHeight="1">
      <c r="A27" s="599" t="s">
        <v>1339</v>
      </c>
      <c r="B27" s="598" t="s">
        <v>1270</v>
      </c>
      <c r="C27" s="627">
        <v>5500</v>
      </c>
      <c r="D27" s="597">
        <f>D26</f>
        <v>6000</v>
      </c>
      <c r="E27" s="595">
        <f>D26*C27</f>
        <v>33000000</v>
      </c>
    </row>
    <row r="28" spans="1:5" ht="21" customHeight="1">
      <c r="A28" s="902" t="s">
        <v>1337</v>
      </c>
      <c r="B28" s="910"/>
      <c r="C28" s="914"/>
      <c r="D28" s="872"/>
      <c r="E28" s="870">
        <f>E25-E10</f>
        <v>5871666.6666666679</v>
      </c>
    </row>
    <row r="29" spans="1:5" ht="21" customHeight="1" thickBot="1">
      <c r="A29" s="789" t="s">
        <v>1269</v>
      </c>
      <c r="B29" s="723" t="s">
        <v>90</v>
      </c>
      <c r="C29" s="624"/>
      <c r="D29" s="764"/>
      <c r="E29" s="622">
        <f>E28/E25</f>
        <v>0.17792929292929296</v>
      </c>
    </row>
    <row r="30" spans="1:5" ht="21" customHeight="1" thickTop="1">
      <c r="A30" s="652"/>
      <c r="B30" s="620"/>
      <c r="C30" s="621"/>
      <c r="D30" s="927"/>
      <c r="E30" s="927"/>
    </row>
    <row r="31" spans="1:5" ht="21" customHeight="1">
      <c r="A31" s="524" t="s">
        <v>1268</v>
      </c>
    </row>
    <row r="32" spans="1:5" ht="21" customHeight="1">
      <c r="A32" s="523" t="s">
        <v>1769</v>
      </c>
    </row>
    <row r="33" spans="1:1" ht="21" customHeight="1">
      <c r="A33" s="617" t="s">
        <v>1613</v>
      </c>
    </row>
  </sheetData>
  <mergeCells count="2">
    <mergeCell ref="A6:E6"/>
    <mergeCell ref="A7:E7"/>
  </mergeCells>
  <pageMargins left="1" right="0.5" top="0.75" bottom="0.75" header="0.5" footer="0.5"/>
  <pageSetup orientation="portrait" r:id="rId1"/>
  <headerFooter alignWithMargins="0">
    <oddFooter>&amp;CTrang</oddFooter>
  </headerFooter>
  <drawing r:id="rId2"/>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G28"/>
  <sheetViews>
    <sheetView zoomScaleNormal="100" workbookViewId="0">
      <selection activeCell="H20" sqref="H20"/>
    </sheetView>
  </sheetViews>
  <sheetFormatPr defaultRowHeight="16.5"/>
  <cols>
    <col min="1" max="1" width="31.85546875" style="523" customWidth="1"/>
    <col min="2" max="2" width="14.7109375" style="523" customWidth="1"/>
    <col min="3" max="3" width="12.7109375" style="523" customWidth="1"/>
    <col min="4" max="4" width="13.7109375" style="523" customWidth="1"/>
    <col min="5" max="5" width="14.5703125" style="523" customWidth="1"/>
    <col min="6" max="256" width="9.140625" style="523"/>
    <col min="257" max="257" width="31.85546875" style="523" customWidth="1"/>
    <col min="258" max="258" width="14.7109375" style="523" customWidth="1"/>
    <col min="259" max="259" width="12.7109375" style="523" customWidth="1"/>
    <col min="260" max="260" width="13.7109375" style="523" customWidth="1"/>
    <col min="261" max="261" width="14.5703125" style="523" customWidth="1"/>
    <col min="262" max="512" width="9.140625" style="523"/>
    <col min="513" max="513" width="31.85546875" style="523" customWidth="1"/>
    <col min="514" max="514" width="14.7109375" style="523" customWidth="1"/>
    <col min="515" max="515" width="12.7109375" style="523" customWidth="1"/>
    <col min="516" max="516" width="13.7109375" style="523" customWidth="1"/>
    <col min="517" max="517" width="14.5703125" style="523" customWidth="1"/>
    <col min="518" max="768" width="9.140625" style="523"/>
    <col min="769" max="769" width="31.85546875" style="523" customWidth="1"/>
    <col min="770" max="770" width="14.7109375" style="523" customWidth="1"/>
    <col min="771" max="771" width="12.7109375" style="523" customWidth="1"/>
    <col min="772" max="772" width="13.7109375" style="523" customWidth="1"/>
    <col min="773" max="773" width="14.5703125" style="523" customWidth="1"/>
    <col min="774" max="1024" width="9.140625" style="523"/>
    <col min="1025" max="1025" width="31.85546875" style="523" customWidth="1"/>
    <col min="1026" max="1026" width="14.7109375" style="523" customWidth="1"/>
    <col min="1027" max="1027" width="12.7109375" style="523" customWidth="1"/>
    <col min="1028" max="1028" width="13.7109375" style="523" customWidth="1"/>
    <col min="1029" max="1029" width="14.5703125" style="523" customWidth="1"/>
    <col min="1030" max="1280" width="9.140625" style="523"/>
    <col min="1281" max="1281" width="31.85546875" style="523" customWidth="1"/>
    <col min="1282" max="1282" width="14.7109375" style="523" customWidth="1"/>
    <col min="1283" max="1283" width="12.7109375" style="523" customWidth="1"/>
    <col min="1284" max="1284" width="13.7109375" style="523" customWidth="1"/>
    <col min="1285" max="1285" width="14.5703125" style="523" customWidth="1"/>
    <col min="1286" max="1536" width="9.140625" style="523"/>
    <col min="1537" max="1537" width="31.85546875" style="523" customWidth="1"/>
    <col min="1538" max="1538" width="14.7109375" style="523" customWidth="1"/>
    <col min="1539" max="1539" width="12.7109375" style="523" customWidth="1"/>
    <col min="1540" max="1540" width="13.7109375" style="523" customWidth="1"/>
    <col min="1541" max="1541" width="14.5703125" style="523" customWidth="1"/>
    <col min="1542" max="1792" width="9.140625" style="523"/>
    <col min="1793" max="1793" width="31.85546875" style="523" customWidth="1"/>
    <col min="1794" max="1794" width="14.7109375" style="523" customWidth="1"/>
    <col min="1795" max="1795" width="12.7109375" style="523" customWidth="1"/>
    <col min="1796" max="1796" width="13.7109375" style="523" customWidth="1"/>
    <col min="1797" max="1797" width="14.5703125" style="523" customWidth="1"/>
    <col min="1798" max="2048" width="9.140625" style="523"/>
    <col min="2049" max="2049" width="31.85546875" style="523" customWidth="1"/>
    <col min="2050" max="2050" width="14.7109375" style="523" customWidth="1"/>
    <col min="2051" max="2051" width="12.7109375" style="523" customWidth="1"/>
    <col min="2052" max="2052" width="13.7109375" style="523" customWidth="1"/>
    <col min="2053" max="2053" width="14.5703125" style="523" customWidth="1"/>
    <col min="2054" max="2304" width="9.140625" style="523"/>
    <col min="2305" max="2305" width="31.85546875" style="523" customWidth="1"/>
    <col min="2306" max="2306" width="14.7109375" style="523" customWidth="1"/>
    <col min="2307" max="2307" width="12.7109375" style="523" customWidth="1"/>
    <col min="2308" max="2308" width="13.7109375" style="523" customWidth="1"/>
    <col min="2309" max="2309" width="14.5703125" style="523" customWidth="1"/>
    <col min="2310" max="2560" width="9.140625" style="523"/>
    <col min="2561" max="2561" width="31.85546875" style="523" customWidth="1"/>
    <col min="2562" max="2562" width="14.7109375" style="523" customWidth="1"/>
    <col min="2563" max="2563" width="12.7109375" style="523" customWidth="1"/>
    <col min="2564" max="2564" width="13.7109375" style="523" customWidth="1"/>
    <col min="2565" max="2565" width="14.5703125" style="523" customWidth="1"/>
    <col min="2566" max="2816" width="9.140625" style="523"/>
    <col min="2817" max="2817" width="31.85546875" style="523" customWidth="1"/>
    <col min="2818" max="2818" width="14.7109375" style="523" customWidth="1"/>
    <col min="2819" max="2819" width="12.7109375" style="523" customWidth="1"/>
    <col min="2820" max="2820" width="13.7109375" style="523" customWidth="1"/>
    <col min="2821" max="2821" width="14.5703125" style="523" customWidth="1"/>
    <col min="2822" max="3072" width="9.140625" style="523"/>
    <col min="3073" max="3073" width="31.85546875" style="523" customWidth="1"/>
    <col min="3074" max="3074" width="14.7109375" style="523" customWidth="1"/>
    <col min="3075" max="3075" width="12.7109375" style="523" customWidth="1"/>
    <col min="3076" max="3076" width="13.7109375" style="523" customWidth="1"/>
    <col min="3077" max="3077" width="14.5703125" style="523" customWidth="1"/>
    <col min="3078" max="3328" width="9.140625" style="523"/>
    <col min="3329" max="3329" width="31.85546875" style="523" customWidth="1"/>
    <col min="3330" max="3330" width="14.7109375" style="523" customWidth="1"/>
    <col min="3331" max="3331" width="12.7109375" style="523" customWidth="1"/>
    <col min="3332" max="3332" width="13.7109375" style="523" customWidth="1"/>
    <col min="3333" max="3333" width="14.5703125" style="523" customWidth="1"/>
    <col min="3334" max="3584" width="9.140625" style="523"/>
    <col min="3585" max="3585" width="31.85546875" style="523" customWidth="1"/>
    <col min="3586" max="3586" width="14.7109375" style="523" customWidth="1"/>
    <col min="3587" max="3587" width="12.7109375" style="523" customWidth="1"/>
    <col min="3588" max="3588" width="13.7109375" style="523" customWidth="1"/>
    <col min="3589" max="3589" width="14.5703125" style="523" customWidth="1"/>
    <col min="3590" max="3840" width="9.140625" style="523"/>
    <col min="3841" max="3841" width="31.85546875" style="523" customWidth="1"/>
    <col min="3842" max="3842" width="14.7109375" style="523" customWidth="1"/>
    <col min="3843" max="3843" width="12.7109375" style="523" customWidth="1"/>
    <col min="3844" max="3844" width="13.7109375" style="523" customWidth="1"/>
    <col min="3845" max="3845" width="14.5703125" style="523" customWidth="1"/>
    <col min="3846" max="4096" width="9.140625" style="523"/>
    <col min="4097" max="4097" width="31.85546875" style="523" customWidth="1"/>
    <col min="4098" max="4098" width="14.7109375" style="523" customWidth="1"/>
    <col min="4099" max="4099" width="12.7109375" style="523" customWidth="1"/>
    <col min="4100" max="4100" width="13.7109375" style="523" customWidth="1"/>
    <col min="4101" max="4101" width="14.5703125" style="523" customWidth="1"/>
    <col min="4102" max="4352" width="9.140625" style="523"/>
    <col min="4353" max="4353" width="31.85546875" style="523" customWidth="1"/>
    <col min="4354" max="4354" width="14.7109375" style="523" customWidth="1"/>
    <col min="4355" max="4355" width="12.7109375" style="523" customWidth="1"/>
    <col min="4356" max="4356" width="13.7109375" style="523" customWidth="1"/>
    <col min="4357" max="4357" width="14.5703125" style="523" customWidth="1"/>
    <col min="4358" max="4608" width="9.140625" style="523"/>
    <col min="4609" max="4609" width="31.85546875" style="523" customWidth="1"/>
    <col min="4610" max="4610" width="14.7109375" style="523" customWidth="1"/>
    <col min="4611" max="4611" width="12.7109375" style="523" customWidth="1"/>
    <col min="4612" max="4612" width="13.7109375" style="523" customWidth="1"/>
    <col min="4613" max="4613" width="14.5703125" style="523" customWidth="1"/>
    <col min="4614" max="4864" width="9.140625" style="523"/>
    <col min="4865" max="4865" width="31.85546875" style="523" customWidth="1"/>
    <col min="4866" max="4866" width="14.7109375" style="523" customWidth="1"/>
    <col min="4867" max="4867" width="12.7109375" style="523" customWidth="1"/>
    <col min="4868" max="4868" width="13.7109375" style="523" customWidth="1"/>
    <col min="4869" max="4869" width="14.5703125" style="523" customWidth="1"/>
    <col min="4870" max="5120" width="9.140625" style="523"/>
    <col min="5121" max="5121" width="31.85546875" style="523" customWidth="1"/>
    <col min="5122" max="5122" width="14.7109375" style="523" customWidth="1"/>
    <col min="5123" max="5123" width="12.7109375" style="523" customWidth="1"/>
    <col min="5124" max="5124" width="13.7109375" style="523" customWidth="1"/>
    <col min="5125" max="5125" width="14.5703125" style="523" customWidth="1"/>
    <col min="5126" max="5376" width="9.140625" style="523"/>
    <col min="5377" max="5377" width="31.85546875" style="523" customWidth="1"/>
    <col min="5378" max="5378" width="14.7109375" style="523" customWidth="1"/>
    <col min="5379" max="5379" width="12.7109375" style="523" customWidth="1"/>
    <col min="5380" max="5380" width="13.7109375" style="523" customWidth="1"/>
    <col min="5381" max="5381" width="14.5703125" style="523" customWidth="1"/>
    <col min="5382" max="5632" width="9.140625" style="523"/>
    <col min="5633" max="5633" width="31.85546875" style="523" customWidth="1"/>
    <col min="5634" max="5634" width="14.7109375" style="523" customWidth="1"/>
    <col min="5635" max="5635" width="12.7109375" style="523" customWidth="1"/>
    <col min="5636" max="5636" width="13.7109375" style="523" customWidth="1"/>
    <col min="5637" max="5637" width="14.5703125" style="523" customWidth="1"/>
    <col min="5638" max="5888" width="9.140625" style="523"/>
    <col min="5889" max="5889" width="31.85546875" style="523" customWidth="1"/>
    <col min="5890" max="5890" width="14.7109375" style="523" customWidth="1"/>
    <col min="5891" max="5891" width="12.7109375" style="523" customWidth="1"/>
    <col min="5892" max="5892" width="13.7109375" style="523" customWidth="1"/>
    <col min="5893" max="5893" width="14.5703125" style="523" customWidth="1"/>
    <col min="5894" max="6144" width="9.140625" style="523"/>
    <col min="6145" max="6145" width="31.85546875" style="523" customWidth="1"/>
    <col min="6146" max="6146" width="14.7109375" style="523" customWidth="1"/>
    <col min="6147" max="6147" width="12.7109375" style="523" customWidth="1"/>
    <col min="6148" max="6148" width="13.7109375" style="523" customWidth="1"/>
    <col min="6149" max="6149" width="14.5703125" style="523" customWidth="1"/>
    <col min="6150" max="6400" width="9.140625" style="523"/>
    <col min="6401" max="6401" width="31.85546875" style="523" customWidth="1"/>
    <col min="6402" max="6402" width="14.7109375" style="523" customWidth="1"/>
    <col min="6403" max="6403" width="12.7109375" style="523" customWidth="1"/>
    <col min="6404" max="6404" width="13.7109375" style="523" customWidth="1"/>
    <col min="6405" max="6405" width="14.5703125" style="523" customWidth="1"/>
    <col min="6406" max="6656" width="9.140625" style="523"/>
    <col min="6657" max="6657" width="31.85546875" style="523" customWidth="1"/>
    <col min="6658" max="6658" width="14.7109375" style="523" customWidth="1"/>
    <col min="6659" max="6659" width="12.7109375" style="523" customWidth="1"/>
    <col min="6660" max="6660" width="13.7109375" style="523" customWidth="1"/>
    <col min="6661" max="6661" width="14.5703125" style="523" customWidth="1"/>
    <col min="6662" max="6912" width="9.140625" style="523"/>
    <col min="6913" max="6913" width="31.85546875" style="523" customWidth="1"/>
    <col min="6914" max="6914" width="14.7109375" style="523" customWidth="1"/>
    <col min="6915" max="6915" width="12.7109375" style="523" customWidth="1"/>
    <col min="6916" max="6916" width="13.7109375" style="523" customWidth="1"/>
    <col min="6917" max="6917" width="14.5703125" style="523" customWidth="1"/>
    <col min="6918" max="7168" width="9.140625" style="523"/>
    <col min="7169" max="7169" width="31.85546875" style="523" customWidth="1"/>
    <col min="7170" max="7170" width="14.7109375" style="523" customWidth="1"/>
    <col min="7171" max="7171" width="12.7109375" style="523" customWidth="1"/>
    <col min="7172" max="7172" width="13.7109375" style="523" customWidth="1"/>
    <col min="7173" max="7173" width="14.5703125" style="523" customWidth="1"/>
    <col min="7174" max="7424" width="9.140625" style="523"/>
    <col min="7425" max="7425" width="31.85546875" style="523" customWidth="1"/>
    <col min="7426" max="7426" width="14.7109375" style="523" customWidth="1"/>
    <col min="7427" max="7427" width="12.7109375" style="523" customWidth="1"/>
    <col min="7428" max="7428" width="13.7109375" style="523" customWidth="1"/>
    <col min="7429" max="7429" width="14.5703125" style="523" customWidth="1"/>
    <col min="7430" max="7680" width="9.140625" style="523"/>
    <col min="7681" max="7681" width="31.85546875" style="523" customWidth="1"/>
    <col min="7682" max="7682" width="14.7109375" style="523" customWidth="1"/>
    <col min="7683" max="7683" width="12.7109375" style="523" customWidth="1"/>
    <col min="7684" max="7684" width="13.7109375" style="523" customWidth="1"/>
    <col min="7685" max="7685" width="14.5703125" style="523" customWidth="1"/>
    <col min="7686" max="7936" width="9.140625" style="523"/>
    <col min="7937" max="7937" width="31.85546875" style="523" customWidth="1"/>
    <col min="7938" max="7938" width="14.7109375" style="523" customWidth="1"/>
    <col min="7939" max="7939" width="12.7109375" style="523" customWidth="1"/>
    <col min="7940" max="7940" width="13.7109375" style="523" customWidth="1"/>
    <col min="7941" max="7941" width="14.5703125" style="523" customWidth="1"/>
    <col min="7942" max="8192" width="9.140625" style="523"/>
    <col min="8193" max="8193" width="31.85546875" style="523" customWidth="1"/>
    <col min="8194" max="8194" width="14.7109375" style="523" customWidth="1"/>
    <col min="8195" max="8195" width="12.7109375" style="523" customWidth="1"/>
    <col min="8196" max="8196" width="13.7109375" style="523" customWidth="1"/>
    <col min="8197" max="8197" width="14.5703125" style="523" customWidth="1"/>
    <col min="8198" max="8448" width="9.140625" style="523"/>
    <col min="8449" max="8449" width="31.85546875" style="523" customWidth="1"/>
    <col min="8450" max="8450" width="14.7109375" style="523" customWidth="1"/>
    <col min="8451" max="8451" width="12.7109375" style="523" customWidth="1"/>
    <col min="8452" max="8452" width="13.7109375" style="523" customWidth="1"/>
    <col min="8453" max="8453" width="14.5703125" style="523" customWidth="1"/>
    <col min="8454" max="8704" width="9.140625" style="523"/>
    <col min="8705" max="8705" width="31.85546875" style="523" customWidth="1"/>
    <col min="8706" max="8706" width="14.7109375" style="523" customWidth="1"/>
    <col min="8707" max="8707" width="12.7109375" style="523" customWidth="1"/>
    <col min="8708" max="8708" width="13.7109375" style="523" customWidth="1"/>
    <col min="8709" max="8709" width="14.5703125" style="523" customWidth="1"/>
    <col min="8710" max="8960" width="9.140625" style="523"/>
    <col min="8961" max="8961" width="31.85546875" style="523" customWidth="1"/>
    <col min="8962" max="8962" width="14.7109375" style="523" customWidth="1"/>
    <col min="8963" max="8963" width="12.7109375" style="523" customWidth="1"/>
    <col min="8964" max="8964" width="13.7109375" style="523" customWidth="1"/>
    <col min="8965" max="8965" width="14.5703125" style="523" customWidth="1"/>
    <col min="8966" max="9216" width="9.140625" style="523"/>
    <col min="9217" max="9217" width="31.85546875" style="523" customWidth="1"/>
    <col min="9218" max="9218" width="14.7109375" style="523" customWidth="1"/>
    <col min="9219" max="9219" width="12.7109375" style="523" customWidth="1"/>
    <col min="9220" max="9220" width="13.7109375" style="523" customWidth="1"/>
    <col min="9221" max="9221" width="14.5703125" style="523" customWidth="1"/>
    <col min="9222" max="9472" width="9.140625" style="523"/>
    <col min="9473" max="9473" width="31.85546875" style="523" customWidth="1"/>
    <col min="9474" max="9474" width="14.7109375" style="523" customWidth="1"/>
    <col min="9475" max="9475" width="12.7109375" style="523" customWidth="1"/>
    <col min="9476" max="9476" width="13.7109375" style="523" customWidth="1"/>
    <col min="9477" max="9477" width="14.5703125" style="523" customWidth="1"/>
    <col min="9478" max="9728" width="9.140625" style="523"/>
    <col min="9729" max="9729" width="31.85546875" style="523" customWidth="1"/>
    <col min="9730" max="9730" width="14.7109375" style="523" customWidth="1"/>
    <col min="9731" max="9731" width="12.7109375" style="523" customWidth="1"/>
    <col min="9732" max="9732" width="13.7109375" style="523" customWidth="1"/>
    <col min="9733" max="9733" width="14.5703125" style="523" customWidth="1"/>
    <col min="9734" max="9984" width="9.140625" style="523"/>
    <col min="9985" max="9985" width="31.85546875" style="523" customWidth="1"/>
    <col min="9986" max="9986" width="14.7109375" style="523" customWidth="1"/>
    <col min="9987" max="9987" width="12.7109375" style="523" customWidth="1"/>
    <col min="9988" max="9988" width="13.7109375" style="523" customWidth="1"/>
    <col min="9989" max="9989" width="14.5703125" style="523" customWidth="1"/>
    <col min="9990" max="10240" width="9.140625" style="523"/>
    <col min="10241" max="10241" width="31.85546875" style="523" customWidth="1"/>
    <col min="10242" max="10242" width="14.7109375" style="523" customWidth="1"/>
    <col min="10243" max="10243" width="12.7109375" style="523" customWidth="1"/>
    <col min="10244" max="10244" width="13.7109375" style="523" customWidth="1"/>
    <col min="10245" max="10245" width="14.5703125" style="523" customWidth="1"/>
    <col min="10246" max="10496" width="9.140625" style="523"/>
    <col min="10497" max="10497" width="31.85546875" style="523" customWidth="1"/>
    <col min="10498" max="10498" width="14.7109375" style="523" customWidth="1"/>
    <col min="10499" max="10499" width="12.7109375" style="523" customWidth="1"/>
    <col min="10500" max="10500" width="13.7109375" style="523" customWidth="1"/>
    <col min="10501" max="10501" width="14.5703125" style="523" customWidth="1"/>
    <col min="10502" max="10752" width="9.140625" style="523"/>
    <col min="10753" max="10753" width="31.85546875" style="523" customWidth="1"/>
    <col min="10754" max="10754" width="14.7109375" style="523" customWidth="1"/>
    <col min="10755" max="10755" width="12.7109375" style="523" customWidth="1"/>
    <col min="10756" max="10756" width="13.7109375" style="523" customWidth="1"/>
    <col min="10757" max="10757" width="14.5703125" style="523" customWidth="1"/>
    <col min="10758" max="11008" width="9.140625" style="523"/>
    <col min="11009" max="11009" width="31.85546875" style="523" customWidth="1"/>
    <col min="11010" max="11010" width="14.7109375" style="523" customWidth="1"/>
    <col min="11011" max="11011" width="12.7109375" style="523" customWidth="1"/>
    <col min="11012" max="11012" width="13.7109375" style="523" customWidth="1"/>
    <col min="11013" max="11013" width="14.5703125" style="523" customWidth="1"/>
    <col min="11014" max="11264" width="9.140625" style="523"/>
    <col min="11265" max="11265" width="31.85546875" style="523" customWidth="1"/>
    <col min="11266" max="11266" width="14.7109375" style="523" customWidth="1"/>
    <col min="11267" max="11267" width="12.7109375" style="523" customWidth="1"/>
    <col min="11268" max="11268" width="13.7109375" style="523" customWidth="1"/>
    <col min="11269" max="11269" width="14.5703125" style="523" customWidth="1"/>
    <col min="11270" max="11520" width="9.140625" style="523"/>
    <col min="11521" max="11521" width="31.85546875" style="523" customWidth="1"/>
    <col min="11522" max="11522" width="14.7109375" style="523" customWidth="1"/>
    <col min="11523" max="11523" width="12.7109375" style="523" customWidth="1"/>
    <col min="11524" max="11524" width="13.7109375" style="523" customWidth="1"/>
    <col min="11525" max="11525" width="14.5703125" style="523" customWidth="1"/>
    <col min="11526" max="11776" width="9.140625" style="523"/>
    <col min="11777" max="11777" width="31.85546875" style="523" customWidth="1"/>
    <col min="11778" max="11778" width="14.7109375" style="523" customWidth="1"/>
    <col min="11779" max="11779" width="12.7109375" style="523" customWidth="1"/>
    <col min="11780" max="11780" width="13.7109375" style="523" customWidth="1"/>
    <col min="11781" max="11781" width="14.5703125" style="523" customWidth="1"/>
    <col min="11782" max="12032" width="9.140625" style="523"/>
    <col min="12033" max="12033" width="31.85546875" style="523" customWidth="1"/>
    <col min="12034" max="12034" width="14.7109375" style="523" customWidth="1"/>
    <col min="12035" max="12035" width="12.7109375" style="523" customWidth="1"/>
    <col min="12036" max="12036" width="13.7109375" style="523" customWidth="1"/>
    <col min="12037" max="12037" width="14.5703125" style="523" customWidth="1"/>
    <col min="12038" max="12288" width="9.140625" style="523"/>
    <col min="12289" max="12289" width="31.85546875" style="523" customWidth="1"/>
    <col min="12290" max="12290" width="14.7109375" style="523" customWidth="1"/>
    <col min="12291" max="12291" width="12.7109375" style="523" customWidth="1"/>
    <col min="12292" max="12292" width="13.7109375" style="523" customWidth="1"/>
    <col min="12293" max="12293" width="14.5703125" style="523" customWidth="1"/>
    <col min="12294" max="12544" width="9.140625" style="523"/>
    <col min="12545" max="12545" width="31.85546875" style="523" customWidth="1"/>
    <col min="12546" max="12546" width="14.7109375" style="523" customWidth="1"/>
    <col min="12547" max="12547" width="12.7109375" style="523" customWidth="1"/>
    <col min="12548" max="12548" width="13.7109375" style="523" customWidth="1"/>
    <col min="12549" max="12549" width="14.5703125" style="523" customWidth="1"/>
    <col min="12550" max="12800" width="9.140625" style="523"/>
    <col min="12801" max="12801" width="31.85546875" style="523" customWidth="1"/>
    <col min="12802" max="12802" width="14.7109375" style="523" customWidth="1"/>
    <col min="12803" max="12803" width="12.7109375" style="523" customWidth="1"/>
    <col min="12804" max="12804" width="13.7109375" style="523" customWidth="1"/>
    <col min="12805" max="12805" width="14.5703125" style="523" customWidth="1"/>
    <col min="12806" max="13056" width="9.140625" style="523"/>
    <col min="13057" max="13057" width="31.85546875" style="523" customWidth="1"/>
    <col min="13058" max="13058" width="14.7109375" style="523" customWidth="1"/>
    <col min="13059" max="13059" width="12.7109375" style="523" customWidth="1"/>
    <col min="13060" max="13060" width="13.7109375" style="523" customWidth="1"/>
    <col min="13061" max="13061" width="14.5703125" style="523" customWidth="1"/>
    <col min="13062" max="13312" width="9.140625" style="523"/>
    <col min="13313" max="13313" width="31.85546875" style="523" customWidth="1"/>
    <col min="13314" max="13314" width="14.7109375" style="523" customWidth="1"/>
    <col min="13315" max="13315" width="12.7109375" style="523" customWidth="1"/>
    <col min="13316" max="13316" width="13.7109375" style="523" customWidth="1"/>
    <col min="13317" max="13317" width="14.5703125" style="523" customWidth="1"/>
    <col min="13318" max="13568" width="9.140625" style="523"/>
    <col min="13569" max="13569" width="31.85546875" style="523" customWidth="1"/>
    <col min="13570" max="13570" width="14.7109375" style="523" customWidth="1"/>
    <col min="13571" max="13571" width="12.7109375" style="523" customWidth="1"/>
    <col min="13572" max="13572" width="13.7109375" style="523" customWidth="1"/>
    <col min="13573" max="13573" width="14.5703125" style="523" customWidth="1"/>
    <col min="13574" max="13824" width="9.140625" style="523"/>
    <col min="13825" max="13825" width="31.85546875" style="523" customWidth="1"/>
    <col min="13826" max="13826" width="14.7109375" style="523" customWidth="1"/>
    <col min="13827" max="13827" width="12.7109375" style="523" customWidth="1"/>
    <col min="13828" max="13828" width="13.7109375" style="523" customWidth="1"/>
    <col min="13829" max="13829" width="14.5703125" style="523" customWidth="1"/>
    <col min="13830" max="14080" width="9.140625" style="523"/>
    <col min="14081" max="14081" width="31.85546875" style="523" customWidth="1"/>
    <col min="14082" max="14082" width="14.7109375" style="523" customWidth="1"/>
    <col min="14083" max="14083" width="12.7109375" style="523" customWidth="1"/>
    <col min="14084" max="14084" width="13.7109375" style="523" customWidth="1"/>
    <col min="14085" max="14085" width="14.5703125" style="523" customWidth="1"/>
    <col min="14086" max="14336" width="9.140625" style="523"/>
    <col min="14337" max="14337" width="31.85546875" style="523" customWidth="1"/>
    <col min="14338" max="14338" width="14.7109375" style="523" customWidth="1"/>
    <col min="14339" max="14339" width="12.7109375" style="523" customWidth="1"/>
    <col min="14340" max="14340" width="13.7109375" style="523" customWidth="1"/>
    <col min="14341" max="14341" width="14.5703125" style="523" customWidth="1"/>
    <col min="14342" max="14592" width="9.140625" style="523"/>
    <col min="14593" max="14593" width="31.85546875" style="523" customWidth="1"/>
    <col min="14594" max="14594" width="14.7109375" style="523" customWidth="1"/>
    <col min="14595" max="14595" width="12.7109375" style="523" customWidth="1"/>
    <col min="14596" max="14596" width="13.7109375" style="523" customWidth="1"/>
    <col min="14597" max="14597" width="14.5703125" style="523" customWidth="1"/>
    <col min="14598" max="14848" width="9.140625" style="523"/>
    <col min="14849" max="14849" width="31.85546875" style="523" customWidth="1"/>
    <col min="14850" max="14850" width="14.7109375" style="523" customWidth="1"/>
    <col min="14851" max="14851" width="12.7109375" style="523" customWidth="1"/>
    <col min="14852" max="14852" width="13.7109375" style="523" customWidth="1"/>
    <col min="14853" max="14853" width="14.5703125" style="523" customWidth="1"/>
    <col min="14854" max="15104" width="9.140625" style="523"/>
    <col min="15105" max="15105" width="31.85546875" style="523" customWidth="1"/>
    <col min="15106" max="15106" width="14.7109375" style="523" customWidth="1"/>
    <col min="15107" max="15107" width="12.7109375" style="523" customWidth="1"/>
    <col min="15108" max="15108" width="13.7109375" style="523" customWidth="1"/>
    <col min="15109" max="15109" width="14.5703125" style="523" customWidth="1"/>
    <col min="15110" max="15360" width="9.140625" style="523"/>
    <col min="15361" max="15361" width="31.85546875" style="523" customWidth="1"/>
    <col min="15362" max="15362" width="14.7109375" style="523" customWidth="1"/>
    <col min="15363" max="15363" width="12.7109375" style="523" customWidth="1"/>
    <col min="15364" max="15364" width="13.7109375" style="523" customWidth="1"/>
    <col min="15365" max="15365" width="14.5703125" style="523" customWidth="1"/>
    <col min="15366" max="15616" width="9.140625" style="523"/>
    <col min="15617" max="15617" width="31.85546875" style="523" customWidth="1"/>
    <col min="15618" max="15618" width="14.7109375" style="523" customWidth="1"/>
    <col min="15619" max="15619" width="12.7109375" style="523" customWidth="1"/>
    <col min="15620" max="15620" width="13.7109375" style="523" customWidth="1"/>
    <col min="15621" max="15621" width="14.5703125" style="523" customWidth="1"/>
    <col min="15622" max="15872" width="9.140625" style="523"/>
    <col min="15873" max="15873" width="31.85546875" style="523" customWidth="1"/>
    <col min="15874" max="15874" width="14.7109375" style="523" customWidth="1"/>
    <col min="15875" max="15875" width="12.7109375" style="523" customWidth="1"/>
    <col min="15876" max="15876" width="13.7109375" style="523" customWidth="1"/>
    <col min="15877" max="15877" width="14.5703125" style="523" customWidth="1"/>
    <col min="15878" max="16128" width="9.140625" style="523"/>
    <col min="16129" max="16129" width="31.85546875" style="523" customWidth="1"/>
    <col min="16130" max="16130" width="14.7109375" style="523" customWidth="1"/>
    <col min="16131" max="16131" width="12.7109375" style="523" customWidth="1"/>
    <col min="16132" max="16132" width="13.7109375" style="523" customWidth="1"/>
    <col min="16133" max="16133" width="14.5703125" style="523" customWidth="1"/>
    <col min="16134" max="16384" width="9.140625" style="523"/>
  </cols>
  <sheetData>
    <row r="1" spans="1:7">
      <c r="C1" s="523" t="s">
        <v>1699</v>
      </c>
      <c r="G1" s="1383" t="s">
        <v>1020</v>
      </c>
    </row>
    <row r="2" spans="1:7" ht="18" customHeight="1"/>
    <row r="6" spans="1:7">
      <c r="A6" s="2409" t="s">
        <v>1698</v>
      </c>
      <c r="B6" s="2409"/>
      <c r="C6" s="2409"/>
      <c r="D6" s="2409"/>
      <c r="E6" s="2409"/>
    </row>
    <row r="7" spans="1:7" ht="17.25" thickBot="1">
      <c r="E7" s="524" t="s">
        <v>1263</v>
      </c>
    </row>
    <row r="8" spans="1:7" ht="21" customHeight="1" thickTop="1">
      <c r="A8" s="614" t="s">
        <v>1294</v>
      </c>
      <c r="B8" s="2310" t="s">
        <v>235</v>
      </c>
      <c r="C8" s="2310" t="s">
        <v>3</v>
      </c>
      <c r="D8" s="906" t="s">
        <v>1</v>
      </c>
      <c r="E8" s="709" t="s">
        <v>4</v>
      </c>
    </row>
    <row r="9" spans="1:7" ht="21" customHeight="1">
      <c r="A9" s="905" t="s">
        <v>1351</v>
      </c>
      <c r="B9" s="904"/>
      <c r="C9" s="904"/>
      <c r="D9" s="887"/>
      <c r="E9" s="903">
        <f>E17+E18</f>
        <v>22690000</v>
      </c>
    </row>
    <row r="10" spans="1:7" ht="21" customHeight="1">
      <c r="A10" s="599" t="s">
        <v>1692</v>
      </c>
      <c r="B10" s="598" t="s">
        <v>11</v>
      </c>
      <c r="C10" s="627">
        <v>22000</v>
      </c>
      <c r="D10" s="627">
        <v>120</v>
      </c>
      <c r="E10" s="595">
        <f t="shared" ref="E10:E16" si="0">D10*C10</f>
        <v>2640000</v>
      </c>
    </row>
    <row r="11" spans="1:7" ht="21" customHeight="1">
      <c r="A11" s="599" t="s">
        <v>1691</v>
      </c>
      <c r="B11" s="598" t="s">
        <v>11</v>
      </c>
      <c r="C11" s="627">
        <v>2000</v>
      </c>
      <c r="D11" s="627">
        <v>100</v>
      </c>
      <c r="E11" s="595">
        <f t="shared" si="0"/>
        <v>200000</v>
      </c>
    </row>
    <row r="12" spans="1:7" ht="21" customHeight="1">
      <c r="A12" s="599" t="s">
        <v>1690</v>
      </c>
      <c r="B12" s="598" t="s">
        <v>11</v>
      </c>
      <c r="C12" s="627">
        <v>10000</v>
      </c>
      <c r="D12" s="627">
        <v>150</v>
      </c>
      <c r="E12" s="595">
        <f t="shared" si="0"/>
        <v>1500000</v>
      </c>
    </row>
    <row r="13" spans="1:7" ht="21" customHeight="1">
      <c r="A13" s="599" t="s">
        <v>1689</v>
      </c>
      <c r="B13" s="598" t="s">
        <v>11</v>
      </c>
      <c r="C13" s="627">
        <v>3000</v>
      </c>
      <c r="D13" s="627">
        <v>250</v>
      </c>
      <c r="E13" s="595">
        <f t="shared" si="0"/>
        <v>750000</v>
      </c>
    </row>
    <row r="14" spans="1:7" ht="21" customHeight="1">
      <c r="A14" s="599" t="s">
        <v>1688</v>
      </c>
      <c r="B14" s="598" t="s">
        <v>11</v>
      </c>
      <c r="C14" s="627">
        <v>10000</v>
      </c>
      <c r="D14" s="627">
        <v>120</v>
      </c>
      <c r="E14" s="595">
        <f t="shared" si="0"/>
        <v>1200000</v>
      </c>
    </row>
    <row r="15" spans="1:7" ht="21" customHeight="1">
      <c r="A15" s="599" t="s">
        <v>1687</v>
      </c>
      <c r="B15" s="598" t="s">
        <v>11</v>
      </c>
      <c r="C15" s="627">
        <v>160000</v>
      </c>
      <c r="D15" s="627">
        <v>5</v>
      </c>
      <c r="E15" s="595">
        <f t="shared" si="0"/>
        <v>800000</v>
      </c>
    </row>
    <row r="16" spans="1:7" ht="21" customHeight="1">
      <c r="A16" s="599" t="s">
        <v>1345</v>
      </c>
      <c r="B16" s="598" t="s">
        <v>511</v>
      </c>
      <c r="C16" s="627">
        <v>150000</v>
      </c>
      <c r="D16" s="627">
        <v>100</v>
      </c>
      <c r="E16" s="595">
        <f t="shared" si="0"/>
        <v>15000000</v>
      </c>
    </row>
    <row r="17" spans="1:5" ht="21" customHeight="1">
      <c r="A17" s="893" t="s">
        <v>1344</v>
      </c>
      <c r="B17" s="598"/>
      <c r="C17" s="627"/>
      <c r="D17" s="627"/>
      <c r="E17" s="879">
        <f>SUM(E10:E16)</f>
        <v>22090000</v>
      </c>
    </row>
    <row r="18" spans="1:5" ht="21" customHeight="1">
      <c r="A18" s="599" t="s">
        <v>1673</v>
      </c>
      <c r="B18" s="598" t="s">
        <v>1270</v>
      </c>
      <c r="C18" s="627"/>
      <c r="D18" s="627"/>
      <c r="E18" s="595">
        <f>15000000*8%/2</f>
        <v>600000</v>
      </c>
    </row>
    <row r="19" spans="1:5" ht="21" customHeight="1">
      <c r="A19" s="893" t="s">
        <v>1341</v>
      </c>
      <c r="B19" s="598"/>
      <c r="C19" s="627"/>
      <c r="D19" s="627"/>
      <c r="E19" s="879">
        <f>E21</f>
        <v>25000000</v>
      </c>
    </row>
    <row r="20" spans="1:5" ht="21" customHeight="1">
      <c r="A20" s="599" t="s">
        <v>1697</v>
      </c>
      <c r="B20" s="598" t="s">
        <v>11</v>
      </c>
      <c r="C20" s="627"/>
      <c r="D20" s="627">
        <v>5000</v>
      </c>
      <c r="E20" s="595"/>
    </row>
    <row r="21" spans="1:5" ht="21" customHeight="1">
      <c r="A21" s="599" t="s">
        <v>1339</v>
      </c>
      <c r="B21" s="598" t="s">
        <v>1270</v>
      </c>
      <c r="C21" s="627">
        <v>5000</v>
      </c>
      <c r="D21" s="627">
        <f>D20</f>
        <v>5000</v>
      </c>
      <c r="E21" s="595">
        <f>D21*C21</f>
        <v>25000000</v>
      </c>
    </row>
    <row r="22" spans="1:5" ht="21" customHeight="1">
      <c r="A22" s="902" t="s">
        <v>1337</v>
      </c>
      <c r="B22" s="901"/>
      <c r="C22" s="900"/>
      <c r="D22" s="900"/>
      <c r="E22" s="870">
        <f>E19-E9</f>
        <v>2310000</v>
      </c>
    </row>
    <row r="23" spans="1:5" ht="21" customHeight="1" thickBot="1">
      <c r="A23" s="789" t="s">
        <v>1269</v>
      </c>
      <c r="B23" s="892" t="s">
        <v>90</v>
      </c>
      <c r="C23" s="624"/>
      <c r="D23" s="899"/>
      <c r="E23" s="868">
        <f>E22/E19</f>
        <v>9.2399999999999996E-2</v>
      </c>
    </row>
    <row r="24" spans="1:5" ht="21" customHeight="1" thickTop="1">
      <c r="A24" s="652"/>
      <c r="B24" s="620"/>
      <c r="C24" s="620"/>
      <c r="D24" s="891"/>
      <c r="E24" s="891"/>
    </row>
    <row r="25" spans="1:5" ht="21" customHeight="1">
      <c r="A25" s="524" t="s">
        <v>1268</v>
      </c>
    </row>
    <row r="26" spans="1:5" ht="21" customHeight="1">
      <c r="A26" s="523" t="s">
        <v>1696</v>
      </c>
    </row>
    <row r="27" spans="1:5" ht="21" customHeight="1">
      <c r="A27" s="617" t="s">
        <v>1695</v>
      </c>
    </row>
    <row r="28" spans="1:5" ht="21" customHeight="1">
      <c r="A28" s="524"/>
    </row>
  </sheetData>
  <mergeCells count="1">
    <mergeCell ref="A6:E6"/>
  </mergeCells>
  <pageMargins left="1" right="0.5" top="0.75" bottom="0.75" header="0.5" footer="0.5"/>
  <pageSetup paperSize="9" orientation="portrait" r:id="rId1"/>
  <headerFooter alignWithMargins="0">
    <oddFooter>&amp;CTrang</oddFooter>
  </headerFooter>
  <drawing r:id="rId2"/>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S55"/>
  <sheetViews>
    <sheetView workbookViewId="0">
      <selection activeCell="F69" sqref="F69"/>
    </sheetView>
  </sheetViews>
  <sheetFormatPr defaultRowHeight="16.5"/>
  <cols>
    <col min="1" max="1" width="9.140625" style="1468"/>
    <col min="2" max="2" width="10" style="1468" customWidth="1"/>
    <col min="3" max="3" width="9.5703125" style="1468" customWidth="1"/>
    <col min="4" max="4" width="10.28515625" style="1468" customWidth="1"/>
    <col min="5" max="5" width="17.85546875" style="1468" customWidth="1"/>
    <col min="6" max="6" width="19.5703125" style="1468" bestFit="1" customWidth="1"/>
    <col min="7" max="7" width="5.5703125" style="1471" customWidth="1"/>
    <col min="8" max="8" width="17.140625" style="1470" customWidth="1"/>
    <col min="9" max="9" width="17.28515625" style="1469" bestFit="1" customWidth="1"/>
    <col min="10" max="257" width="9.140625" style="1468"/>
    <col min="258" max="258" width="10" style="1468" customWidth="1"/>
    <col min="259" max="259" width="9.5703125" style="1468" customWidth="1"/>
    <col min="260" max="260" width="10.28515625" style="1468" customWidth="1"/>
    <col min="261" max="261" width="17.85546875" style="1468" customWidth="1"/>
    <col min="262" max="262" width="19.5703125" style="1468" bestFit="1" customWidth="1"/>
    <col min="263" max="263" width="5.5703125" style="1468" customWidth="1"/>
    <col min="264" max="264" width="17.140625" style="1468" customWidth="1"/>
    <col min="265" max="265" width="17.28515625" style="1468" bestFit="1" customWidth="1"/>
    <col min="266" max="513" width="9.140625" style="1468"/>
    <col min="514" max="514" width="10" style="1468" customWidth="1"/>
    <col min="515" max="515" width="9.5703125" style="1468" customWidth="1"/>
    <col min="516" max="516" width="10.28515625" style="1468" customWidth="1"/>
    <col min="517" max="517" width="17.85546875" style="1468" customWidth="1"/>
    <col min="518" max="518" width="19.5703125" style="1468" bestFit="1" customWidth="1"/>
    <col min="519" max="519" width="5.5703125" style="1468" customWidth="1"/>
    <col min="520" max="520" width="17.140625" style="1468" customWidth="1"/>
    <col min="521" max="521" width="17.28515625" style="1468" bestFit="1" customWidth="1"/>
    <col min="522" max="769" width="9.140625" style="1468"/>
    <col min="770" max="770" width="10" style="1468" customWidth="1"/>
    <col min="771" max="771" width="9.5703125" style="1468" customWidth="1"/>
    <col min="772" max="772" width="10.28515625" style="1468" customWidth="1"/>
    <col min="773" max="773" width="17.85546875" style="1468" customWidth="1"/>
    <col min="774" max="774" width="19.5703125" style="1468" bestFit="1" customWidth="1"/>
    <col min="775" max="775" width="5.5703125" style="1468" customWidth="1"/>
    <col min="776" max="776" width="17.140625" style="1468" customWidth="1"/>
    <col min="777" max="777" width="17.28515625" style="1468" bestFit="1" customWidth="1"/>
    <col min="778" max="1025" width="9.140625" style="1468"/>
    <col min="1026" max="1026" width="10" style="1468" customWidth="1"/>
    <col min="1027" max="1027" width="9.5703125" style="1468" customWidth="1"/>
    <col min="1028" max="1028" width="10.28515625" style="1468" customWidth="1"/>
    <col min="1029" max="1029" width="17.85546875" style="1468" customWidth="1"/>
    <col min="1030" max="1030" width="19.5703125" style="1468" bestFit="1" customWidth="1"/>
    <col min="1031" max="1031" width="5.5703125" style="1468" customWidth="1"/>
    <col min="1032" max="1032" width="17.140625" style="1468" customWidth="1"/>
    <col min="1033" max="1033" width="17.28515625" style="1468" bestFit="1" customWidth="1"/>
    <col min="1034" max="1281" width="9.140625" style="1468"/>
    <col min="1282" max="1282" width="10" style="1468" customWidth="1"/>
    <col min="1283" max="1283" width="9.5703125" style="1468" customWidth="1"/>
    <col min="1284" max="1284" width="10.28515625" style="1468" customWidth="1"/>
    <col min="1285" max="1285" width="17.85546875" style="1468" customWidth="1"/>
    <col min="1286" max="1286" width="19.5703125" style="1468" bestFit="1" customWidth="1"/>
    <col min="1287" max="1287" width="5.5703125" style="1468" customWidth="1"/>
    <col min="1288" max="1288" width="17.140625" style="1468" customWidth="1"/>
    <col min="1289" max="1289" width="17.28515625" style="1468" bestFit="1" customWidth="1"/>
    <col min="1290" max="1537" width="9.140625" style="1468"/>
    <col min="1538" max="1538" width="10" style="1468" customWidth="1"/>
    <col min="1539" max="1539" width="9.5703125" style="1468" customWidth="1"/>
    <col min="1540" max="1540" width="10.28515625" style="1468" customWidth="1"/>
    <col min="1541" max="1541" width="17.85546875" style="1468" customWidth="1"/>
    <col min="1542" max="1542" width="19.5703125" style="1468" bestFit="1" customWidth="1"/>
    <col min="1543" max="1543" width="5.5703125" style="1468" customWidth="1"/>
    <col min="1544" max="1544" width="17.140625" style="1468" customWidth="1"/>
    <col min="1545" max="1545" width="17.28515625" style="1468" bestFit="1" customWidth="1"/>
    <col min="1546" max="1793" width="9.140625" style="1468"/>
    <col min="1794" max="1794" width="10" style="1468" customWidth="1"/>
    <col min="1795" max="1795" width="9.5703125" style="1468" customWidth="1"/>
    <col min="1796" max="1796" width="10.28515625" style="1468" customWidth="1"/>
    <col min="1797" max="1797" width="17.85546875" style="1468" customWidth="1"/>
    <col min="1798" max="1798" width="19.5703125" style="1468" bestFit="1" customWidth="1"/>
    <col min="1799" max="1799" width="5.5703125" style="1468" customWidth="1"/>
    <col min="1800" max="1800" width="17.140625" style="1468" customWidth="1"/>
    <col min="1801" max="1801" width="17.28515625" style="1468" bestFit="1" customWidth="1"/>
    <col min="1802" max="2049" width="9.140625" style="1468"/>
    <col min="2050" max="2050" width="10" style="1468" customWidth="1"/>
    <col min="2051" max="2051" width="9.5703125" style="1468" customWidth="1"/>
    <col min="2052" max="2052" width="10.28515625" style="1468" customWidth="1"/>
    <col min="2053" max="2053" width="17.85546875" style="1468" customWidth="1"/>
    <col min="2054" max="2054" width="19.5703125" style="1468" bestFit="1" customWidth="1"/>
    <col min="2055" max="2055" width="5.5703125" style="1468" customWidth="1"/>
    <col min="2056" max="2056" width="17.140625" style="1468" customWidth="1"/>
    <col min="2057" max="2057" width="17.28515625" style="1468" bestFit="1" customWidth="1"/>
    <col min="2058" max="2305" width="9.140625" style="1468"/>
    <col min="2306" max="2306" width="10" style="1468" customWidth="1"/>
    <col min="2307" max="2307" width="9.5703125" style="1468" customWidth="1"/>
    <col min="2308" max="2308" width="10.28515625" style="1468" customWidth="1"/>
    <col min="2309" max="2309" width="17.85546875" style="1468" customWidth="1"/>
    <col min="2310" max="2310" width="19.5703125" style="1468" bestFit="1" customWidth="1"/>
    <col min="2311" max="2311" width="5.5703125" style="1468" customWidth="1"/>
    <col min="2312" max="2312" width="17.140625" style="1468" customWidth="1"/>
    <col min="2313" max="2313" width="17.28515625" style="1468" bestFit="1" customWidth="1"/>
    <col min="2314" max="2561" width="9.140625" style="1468"/>
    <col min="2562" max="2562" width="10" style="1468" customWidth="1"/>
    <col min="2563" max="2563" width="9.5703125" style="1468" customWidth="1"/>
    <col min="2564" max="2564" width="10.28515625" style="1468" customWidth="1"/>
    <col min="2565" max="2565" width="17.85546875" style="1468" customWidth="1"/>
    <col min="2566" max="2566" width="19.5703125" style="1468" bestFit="1" customWidth="1"/>
    <col min="2567" max="2567" width="5.5703125" style="1468" customWidth="1"/>
    <col min="2568" max="2568" width="17.140625" style="1468" customWidth="1"/>
    <col min="2569" max="2569" width="17.28515625" style="1468" bestFit="1" customWidth="1"/>
    <col min="2570" max="2817" width="9.140625" style="1468"/>
    <col min="2818" max="2818" width="10" style="1468" customWidth="1"/>
    <col min="2819" max="2819" width="9.5703125" style="1468" customWidth="1"/>
    <col min="2820" max="2820" width="10.28515625" style="1468" customWidth="1"/>
    <col min="2821" max="2821" width="17.85546875" style="1468" customWidth="1"/>
    <col min="2822" max="2822" width="19.5703125" style="1468" bestFit="1" customWidth="1"/>
    <col min="2823" max="2823" width="5.5703125" style="1468" customWidth="1"/>
    <col min="2824" max="2824" width="17.140625" style="1468" customWidth="1"/>
    <col min="2825" max="2825" width="17.28515625" style="1468" bestFit="1" customWidth="1"/>
    <col min="2826" max="3073" width="9.140625" style="1468"/>
    <col min="3074" max="3074" width="10" style="1468" customWidth="1"/>
    <col min="3075" max="3075" width="9.5703125" style="1468" customWidth="1"/>
    <col min="3076" max="3076" width="10.28515625" style="1468" customWidth="1"/>
    <col min="3077" max="3077" width="17.85546875" style="1468" customWidth="1"/>
    <col min="3078" max="3078" width="19.5703125" style="1468" bestFit="1" customWidth="1"/>
    <col min="3079" max="3079" width="5.5703125" style="1468" customWidth="1"/>
    <col min="3080" max="3080" width="17.140625" style="1468" customWidth="1"/>
    <col min="3081" max="3081" width="17.28515625" style="1468" bestFit="1" customWidth="1"/>
    <col min="3082" max="3329" width="9.140625" style="1468"/>
    <col min="3330" max="3330" width="10" style="1468" customWidth="1"/>
    <col min="3331" max="3331" width="9.5703125" style="1468" customWidth="1"/>
    <col min="3332" max="3332" width="10.28515625" style="1468" customWidth="1"/>
    <col min="3333" max="3333" width="17.85546875" style="1468" customWidth="1"/>
    <col min="3334" max="3334" width="19.5703125" style="1468" bestFit="1" customWidth="1"/>
    <col min="3335" max="3335" width="5.5703125" style="1468" customWidth="1"/>
    <col min="3336" max="3336" width="17.140625" style="1468" customWidth="1"/>
    <col min="3337" max="3337" width="17.28515625" style="1468" bestFit="1" customWidth="1"/>
    <col min="3338" max="3585" width="9.140625" style="1468"/>
    <col min="3586" max="3586" width="10" style="1468" customWidth="1"/>
    <col min="3587" max="3587" width="9.5703125" style="1468" customWidth="1"/>
    <col min="3588" max="3588" width="10.28515625" style="1468" customWidth="1"/>
    <col min="3589" max="3589" width="17.85546875" style="1468" customWidth="1"/>
    <col min="3590" max="3590" width="19.5703125" style="1468" bestFit="1" customWidth="1"/>
    <col min="3591" max="3591" width="5.5703125" style="1468" customWidth="1"/>
    <col min="3592" max="3592" width="17.140625" style="1468" customWidth="1"/>
    <col min="3593" max="3593" width="17.28515625" style="1468" bestFit="1" customWidth="1"/>
    <col min="3594" max="3841" width="9.140625" style="1468"/>
    <col min="3842" max="3842" width="10" style="1468" customWidth="1"/>
    <col min="3843" max="3843" width="9.5703125" style="1468" customWidth="1"/>
    <col min="3844" max="3844" width="10.28515625" style="1468" customWidth="1"/>
    <col min="3845" max="3845" width="17.85546875" style="1468" customWidth="1"/>
    <col min="3846" max="3846" width="19.5703125" style="1468" bestFit="1" customWidth="1"/>
    <col min="3847" max="3847" width="5.5703125" style="1468" customWidth="1"/>
    <col min="3848" max="3848" width="17.140625" style="1468" customWidth="1"/>
    <col min="3849" max="3849" width="17.28515625" style="1468" bestFit="1" customWidth="1"/>
    <col min="3850" max="4097" width="9.140625" style="1468"/>
    <col min="4098" max="4098" width="10" style="1468" customWidth="1"/>
    <col min="4099" max="4099" width="9.5703125" style="1468" customWidth="1"/>
    <col min="4100" max="4100" width="10.28515625" style="1468" customWidth="1"/>
    <col min="4101" max="4101" width="17.85546875" style="1468" customWidth="1"/>
    <col min="4102" max="4102" width="19.5703125" style="1468" bestFit="1" customWidth="1"/>
    <col min="4103" max="4103" width="5.5703125" style="1468" customWidth="1"/>
    <col min="4104" max="4104" width="17.140625" style="1468" customWidth="1"/>
    <col min="4105" max="4105" width="17.28515625" style="1468" bestFit="1" customWidth="1"/>
    <col min="4106" max="4353" width="9.140625" style="1468"/>
    <col min="4354" max="4354" width="10" style="1468" customWidth="1"/>
    <col min="4355" max="4355" width="9.5703125" style="1468" customWidth="1"/>
    <col min="4356" max="4356" width="10.28515625" style="1468" customWidth="1"/>
    <col min="4357" max="4357" width="17.85546875" style="1468" customWidth="1"/>
    <col min="4358" max="4358" width="19.5703125" style="1468" bestFit="1" customWidth="1"/>
    <col min="4359" max="4359" width="5.5703125" style="1468" customWidth="1"/>
    <col min="4360" max="4360" width="17.140625" style="1468" customWidth="1"/>
    <col min="4361" max="4361" width="17.28515625" style="1468" bestFit="1" customWidth="1"/>
    <col min="4362" max="4609" width="9.140625" style="1468"/>
    <col min="4610" max="4610" width="10" style="1468" customWidth="1"/>
    <col min="4611" max="4611" width="9.5703125" style="1468" customWidth="1"/>
    <col min="4612" max="4612" width="10.28515625" style="1468" customWidth="1"/>
    <col min="4613" max="4613" width="17.85546875" style="1468" customWidth="1"/>
    <col min="4614" max="4614" width="19.5703125" style="1468" bestFit="1" customWidth="1"/>
    <col min="4615" max="4615" width="5.5703125" style="1468" customWidth="1"/>
    <col min="4616" max="4616" width="17.140625" style="1468" customWidth="1"/>
    <col min="4617" max="4617" width="17.28515625" style="1468" bestFit="1" customWidth="1"/>
    <col min="4618" max="4865" width="9.140625" style="1468"/>
    <col min="4866" max="4866" width="10" style="1468" customWidth="1"/>
    <col min="4867" max="4867" width="9.5703125" style="1468" customWidth="1"/>
    <col min="4868" max="4868" width="10.28515625" style="1468" customWidth="1"/>
    <col min="4869" max="4869" width="17.85546875" style="1468" customWidth="1"/>
    <col min="4870" max="4870" width="19.5703125" style="1468" bestFit="1" customWidth="1"/>
    <col min="4871" max="4871" width="5.5703125" style="1468" customWidth="1"/>
    <col min="4872" max="4872" width="17.140625" style="1468" customWidth="1"/>
    <col min="4873" max="4873" width="17.28515625" style="1468" bestFit="1" customWidth="1"/>
    <col min="4874" max="5121" width="9.140625" style="1468"/>
    <col min="5122" max="5122" width="10" style="1468" customWidth="1"/>
    <col min="5123" max="5123" width="9.5703125" style="1468" customWidth="1"/>
    <col min="5124" max="5124" width="10.28515625" style="1468" customWidth="1"/>
    <col min="5125" max="5125" width="17.85546875" style="1468" customWidth="1"/>
    <col min="5126" max="5126" width="19.5703125" style="1468" bestFit="1" customWidth="1"/>
    <col min="5127" max="5127" width="5.5703125" style="1468" customWidth="1"/>
    <col min="5128" max="5128" width="17.140625" style="1468" customWidth="1"/>
    <col min="5129" max="5129" width="17.28515625" style="1468" bestFit="1" customWidth="1"/>
    <col min="5130" max="5377" width="9.140625" style="1468"/>
    <col min="5378" max="5378" width="10" style="1468" customWidth="1"/>
    <col min="5379" max="5379" width="9.5703125" style="1468" customWidth="1"/>
    <col min="5380" max="5380" width="10.28515625" style="1468" customWidth="1"/>
    <col min="5381" max="5381" width="17.85546875" style="1468" customWidth="1"/>
    <col min="5382" max="5382" width="19.5703125" style="1468" bestFit="1" customWidth="1"/>
    <col min="5383" max="5383" width="5.5703125" style="1468" customWidth="1"/>
    <col min="5384" max="5384" width="17.140625" style="1468" customWidth="1"/>
    <col min="5385" max="5385" width="17.28515625" style="1468" bestFit="1" customWidth="1"/>
    <col min="5386" max="5633" width="9.140625" style="1468"/>
    <col min="5634" max="5634" width="10" style="1468" customWidth="1"/>
    <col min="5635" max="5635" width="9.5703125" style="1468" customWidth="1"/>
    <col min="5636" max="5636" width="10.28515625" style="1468" customWidth="1"/>
    <col min="5637" max="5637" width="17.85546875" style="1468" customWidth="1"/>
    <col min="5638" max="5638" width="19.5703125" style="1468" bestFit="1" customWidth="1"/>
    <col min="5639" max="5639" width="5.5703125" style="1468" customWidth="1"/>
    <col min="5640" max="5640" width="17.140625" style="1468" customWidth="1"/>
    <col min="5641" max="5641" width="17.28515625" style="1468" bestFit="1" customWidth="1"/>
    <col min="5642" max="5889" width="9.140625" style="1468"/>
    <col min="5890" max="5890" width="10" style="1468" customWidth="1"/>
    <col min="5891" max="5891" width="9.5703125" style="1468" customWidth="1"/>
    <col min="5892" max="5892" width="10.28515625" style="1468" customWidth="1"/>
    <col min="5893" max="5893" width="17.85546875" style="1468" customWidth="1"/>
    <col min="5894" max="5894" width="19.5703125" style="1468" bestFit="1" customWidth="1"/>
    <col min="5895" max="5895" width="5.5703125" style="1468" customWidth="1"/>
    <col min="5896" max="5896" width="17.140625" style="1468" customWidth="1"/>
    <col min="5897" max="5897" width="17.28515625" style="1468" bestFit="1" customWidth="1"/>
    <col min="5898" max="6145" width="9.140625" style="1468"/>
    <col min="6146" max="6146" width="10" style="1468" customWidth="1"/>
    <col min="6147" max="6147" width="9.5703125" style="1468" customWidth="1"/>
    <col min="6148" max="6148" width="10.28515625" style="1468" customWidth="1"/>
    <col min="6149" max="6149" width="17.85546875" style="1468" customWidth="1"/>
    <col min="6150" max="6150" width="19.5703125" style="1468" bestFit="1" customWidth="1"/>
    <col min="6151" max="6151" width="5.5703125" style="1468" customWidth="1"/>
    <col min="6152" max="6152" width="17.140625" style="1468" customWidth="1"/>
    <col min="6153" max="6153" width="17.28515625" style="1468" bestFit="1" customWidth="1"/>
    <col min="6154" max="6401" width="9.140625" style="1468"/>
    <col min="6402" max="6402" width="10" style="1468" customWidth="1"/>
    <col min="6403" max="6403" width="9.5703125" style="1468" customWidth="1"/>
    <col min="6404" max="6404" width="10.28515625" style="1468" customWidth="1"/>
    <col min="6405" max="6405" width="17.85546875" style="1468" customWidth="1"/>
    <col min="6406" max="6406" width="19.5703125" style="1468" bestFit="1" customWidth="1"/>
    <col min="6407" max="6407" width="5.5703125" style="1468" customWidth="1"/>
    <col min="6408" max="6408" width="17.140625" style="1468" customWidth="1"/>
    <col min="6409" max="6409" width="17.28515625" style="1468" bestFit="1" customWidth="1"/>
    <col min="6410" max="6657" width="9.140625" style="1468"/>
    <col min="6658" max="6658" width="10" style="1468" customWidth="1"/>
    <col min="6659" max="6659" width="9.5703125" style="1468" customWidth="1"/>
    <col min="6660" max="6660" width="10.28515625" style="1468" customWidth="1"/>
    <col min="6661" max="6661" width="17.85546875" style="1468" customWidth="1"/>
    <col min="6662" max="6662" width="19.5703125" style="1468" bestFit="1" customWidth="1"/>
    <col min="6663" max="6663" width="5.5703125" style="1468" customWidth="1"/>
    <col min="6664" max="6664" width="17.140625" style="1468" customWidth="1"/>
    <col min="6665" max="6665" width="17.28515625" style="1468" bestFit="1" customWidth="1"/>
    <col min="6666" max="6913" width="9.140625" style="1468"/>
    <col min="6914" max="6914" width="10" style="1468" customWidth="1"/>
    <col min="6915" max="6915" width="9.5703125" style="1468" customWidth="1"/>
    <col min="6916" max="6916" width="10.28515625" style="1468" customWidth="1"/>
    <col min="6917" max="6917" width="17.85546875" style="1468" customWidth="1"/>
    <col min="6918" max="6918" width="19.5703125" style="1468" bestFit="1" customWidth="1"/>
    <col min="6919" max="6919" width="5.5703125" style="1468" customWidth="1"/>
    <col min="6920" max="6920" width="17.140625" style="1468" customWidth="1"/>
    <col min="6921" max="6921" width="17.28515625" style="1468" bestFit="1" customWidth="1"/>
    <col min="6922" max="7169" width="9.140625" style="1468"/>
    <col min="7170" max="7170" width="10" style="1468" customWidth="1"/>
    <col min="7171" max="7171" width="9.5703125" style="1468" customWidth="1"/>
    <col min="7172" max="7172" width="10.28515625" style="1468" customWidth="1"/>
    <col min="7173" max="7173" width="17.85546875" style="1468" customWidth="1"/>
    <col min="7174" max="7174" width="19.5703125" style="1468" bestFit="1" customWidth="1"/>
    <col min="7175" max="7175" width="5.5703125" style="1468" customWidth="1"/>
    <col min="7176" max="7176" width="17.140625" style="1468" customWidth="1"/>
    <col min="7177" max="7177" width="17.28515625" style="1468" bestFit="1" customWidth="1"/>
    <col min="7178" max="7425" width="9.140625" style="1468"/>
    <col min="7426" max="7426" width="10" style="1468" customWidth="1"/>
    <col min="7427" max="7427" width="9.5703125" style="1468" customWidth="1"/>
    <col min="7428" max="7428" width="10.28515625" style="1468" customWidth="1"/>
    <col min="7429" max="7429" width="17.85546875" style="1468" customWidth="1"/>
    <col min="7430" max="7430" width="19.5703125" style="1468" bestFit="1" customWidth="1"/>
    <col min="7431" max="7431" width="5.5703125" style="1468" customWidth="1"/>
    <col min="7432" max="7432" width="17.140625" style="1468" customWidth="1"/>
    <col min="7433" max="7433" width="17.28515625" style="1468" bestFit="1" customWidth="1"/>
    <col min="7434" max="7681" width="9.140625" style="1468"/>
    <col min="7682" max="7682" width="10" style="1468" customWidth="1"/>
    <col min="7683" max="7683" width="9.5703125" style="1468" customWidth="1"/>
    <col min="7684" max="7684" width="10.28515625" style="1468" customWidth="1"/>
    <col min="7685" max="7685" width="17.85546875" style="1468" customWidth="1"/>
    <col min="7686" max="7686" width="19.5703125" style="1468" bestFit="1" customWidth="1"/>
    <col min="7687" max="7687" width="5.5703125" style="1468" customWidth="1"/>
    <col min="7688" max="7688" width="17.140625" style="1468" customWidth="1"/>
    <col min="7689" max="7689" width="17.28515625" style="1468" bestFit="1" customWidth="1"/>
    <col min="7690" max="7937" width="9.140625" style="1468"/>
    <col min="7938" max="7938" width="10" style="1468" customWidth="1"/>
    <col min="7939" max="7939" width="9.5703125" style="1468" customWidth="1"/>
    <col min="7940" max="7940" width="10.28515625" style="1468" customWidth="1"/>
    <col min="7941" max="7941" width="17.85546875" style="1468" customWidth="1"/>
    <col min="7942" max="7942" width="19.5703125" style="1468" bestFit="1" customWidth="1"/>
    <col min="7943" max="7943" width="5.5703125" style="1468" customWidth="1"/>
    <col min="7944" max="7944" width="17.140625" style="1468" customWidth="1"/>
    <col min="7945" max="7945" width="17.28515625" style="1468" bestFit="1" customWidth="1"/>
    <col min="7946" max="8193" width="9.140625" style="1468"/>
    <col min="8194" max="8194" width="10" style="1468" customWidth="1"/>
    <col min="8195" max="8195" width="9.5703125" style="1468" customWidth="1"/>
    <col min="8196" max="8196" width="10.28515625" style="1468" customWidth="1"/>
    <col min="8197" max="8197" width="17.85546875" style="1468" customWidth="1"/>
    <col min="8198" max="8198" width="19.5703125" style="1468" bestFit="1" customWidth="1"/>
    <col min="8199" max="8199" width="5.5703125" style="1468" customWidth="1"/>
    <col min="8200" max="8200" width="17.140625" style="1468" customWidth="1"/>
    <col min="8201" max="8201" width="17.28515625" style="1468" bestFit="1" customWidth="1"/>
    <col min="8202" max="8449" width="9.140625" style="1468"/>
    <col min="8450" max="8450" width="10" style="1468" customWidth="1"/>
    <col min="8451" max="8451" width="9.5703125" style="1468" customWidth="1"/>
    <col min="8452" max="8452" width="10.28515625" style="1468" customWidth="1"/>
    <col min="8453" max="8453" width="17.85546875" style="1468" customWidth="1"/>
    <col min="8454" max="8454" width="19.5703125" style="1468" bestFit="1" customWidth="1"/>
    <col min="8455" max="8455" width="5.5703125" style="1468" customWidth="1"/>
    <col min="8456" max="8456" width="17.140625" style="1468" customWidth="1"/>
    <col min="8457" max="8457" width="17.28515625" style="1468" bestFit="1" customWidth="1"/>
    <col min="8458" max="8705" width="9.140625" style="1468"/>
    <col min="8706" max="8706" width="10" style="1468" customWidth="1"/>
    <col min="8707" max="8707" width="9.5703125" style="1468" customWidth="1"/>
    <col min="8708" max="8708" width="10.28515625" style="1468" customWidth="1"/>
    <col min="8709" max="8709" width="17.85546875" style="1468" customWidth="1"/>
    <col min="8710" max="8710" width="19.5703125" style="1468" bestFit="1" customWidth="1"/>
    <col min="8711" max="8711" width="5.5703125" style="1468" customWidth="1"/>
    <col min="8712" max="8712" width="17.140625" style="1468" customWidth="1"/>
    <col min="8713" max="8713" width="17.28515625" style="1468" bestFit="1" customWidth="1"/>
    <col min="8714" max="8961" width="9.140625" style="1468"/>
    <col min="8962" max="8962" width="10" style="1468" customWidth="1"/>
    <col min="8963" max="8963" width="9.5703125" style="1468" customWidth="1"/>
    <col min="8964" max="8964" width="10.28515625" style="1468" customWidth="1"/>
    <col min="8965" max="8965" width="17.85546875" style="1468" customWidth="1"/>
    <col min="8966" max="8966" width="19.5703125" style="1468" bestFit="1" customWidth="1"/>
    <col min="8967" max="8967" width="5.5703125" style="1468" customWidth="1"/>
    <col min="8968" max="8968" width="17.140625" style="1468" customWidth="1"/>
    <col min="8969" max="8969" width="17.28515625" style="1468" bestFit="1" customWidth="1"/>
    <col min="8970" max="9217" width="9.140625" style="1468"/>
    <col min="9218" max="9218" width="10" style="1468" customWidth="1"/>
    <col min="9219" max="9219" width="9.5703125" style="1468" customWidth="1"/>
    <col min="9220" max="9220" width="10.28515625" style="1468" customWidth="1"/>
    <col min="9221" max="9221" width="17.85546875" style="1468" customWidth="1"/>
    <col min="9222" max="9222" width="19.5703125" style="1468" bestFit="1" customWidth="1"/>
    <col min="9223" max="9223" width="5.5703125" style="1468" customWidth="1"/>
    <col min="9224" max="9224" width="17.140625" style="1468" customWidth="1"/>
    <col min="9225" max="9225" width="17.28515625" style="1468" bestFit="1" customWidth="1"/>
    <col min="9226" max="9473" width="9.140625" style="1468"/>
    <col min="9474" max="9474" width="10" style="1468" customWidth="1"/>
    <col min="9475" max="9475" width="9.5703125" style="1468" customWidth="1"/>
    <col min="9476" max="9476" width="10.28515625" style="1468" customWidth="1"/>
    <col min="9477" max="9477" width="17.85546875" style="1468" customWidth="1"/>
    <col min="9478" max="9478" width="19.5703125" style="1468" bestFit="1" customWidth="1"/>
    <col min="9479" max="9479" width="5.5703125" style="1468" customWidth="1"/>
    <col min="9480" max="9480" width="17.140625" style="1468" customWidth="1"/>
    <col min="9481" max="9481" width="17.28515625" style="1468" bestFit="1" customWidth="1"/>
    <col min="9482" max="9729" width="9.140625" style="1468"/>
    <col min="9730" max="9730" width="10" style="1468" customWidth="1"/>
    <col min="9731" max="9731" width="9.5703125" style="1468" customWidth="1"/>
    <col min="9732" max="9732" width="10.28515625" style="1468" customWidth="1"/>
    <col min="9733" max="9733" width="17.85546875" style="1468" customWidth="1"/>
    <col min="9734" max="9734" width="19.5703125" style="1468" bestFit="1" customWidth="1"/>
    <col min="9735" max="9735" width="5.5703125" style="1468" customWidth="1"/>
    <col min="9736" max="9736" width="17.140625" style="1468" customWidth="1"/>
    <col min="9737" max="9737" width="17.28515625" style="1468" bestFit="1" customWidth="1"/>
    <col min="9738" max="9985" width="9.140625" style="1468"/>
    <col min="9986" max="9986" width="10" style="1468" customWidth="1"/>
    <col min="9987" max="9987" width="9.5703125" style="1468" customWidth="1"/>
    <col min="9988" max="9988" width="10.28515625" style="1468" customWidth="1"/>
    <col min="9989" max="9989" width="17.85546875" style="1468" customWidth="1"/>
    <col min="9990" max="9990" width="19.5703125" style="1468" bestFit="1" customWidth="1"/>
    <col min="9991" max="9991" width="5.5703125" style="1468" customWidth="1"/>
    <col min="9992" max="9992" width="17.140625" style="1468" customWidth="1"/>
    <col min="9993" max="9993" width="17.28515625" style="1468" bestFit="1" customWidth="1"/>
    <col min="9994" max="10241" width="9.140625" style="1468"/>
    <col min="10242" max="10242" width="10" style="1468" customWidth="1"/>
    <col min="10243" max="10243" width="9.5703125" style="1468" customWidth="1"/>
    <col min="10244" max="10244" width="10.28515625" style="1468" customWidth="1"/>
    <col min="10245" max="10245" width="17.85546875" style="1468" customWidth="1"/>
    <col min="10246" max="10246" width="19.5703125" style="1468" bestFit="1" customWidth="1"/>
    <col min="10247" max="10247" width="5.5703125" style="1468" customWidth="1"/>
    <col min="10248" max="10248" width="17.140625" style="1468" customWidth="1"/>
    <col min="10249" max="10249" width="17.28515625" style="1468" bestFit="1" customWidth="1"/>
    <col min="10250" max="10497" width="9.140625" style="1468"/>
    <col min="10498" max="10498" width="10" style="1468" customWidth="1"/>
    <col min="10499" max="10499" width="9.5703125" style="1468" customWidth="1"/>
    <col min="10500" max="10500" width="10.28515625" style="1468" customWidth="1"/>
    <col min="10501" max="10501" width="17.85546875" style="1468" customWidth="1"/>
    <col min="10502" max="10502" width="19.5703125" style="1468" bestFit="1" customWidth="1"/>
    <col min="10503" max="10503" width="5.5703125" style="1468" customWidth="1"/>
    <col min="10504" max="10504" width="17.140625" style="1468" customWidth="1"/>
    <col min="10505" max="10505" width="17.28515625" style="1468" bestFit="1" customWidth="1"/>
    <col min="10506" max="10753" width="9.140625" style="1468"/>
    <col min="10754" max="10754" width="10" style="1468" customWidth="1"/>
    <col min="10755" max="10755" width="9.5703125" style="1468" customWidth="1"/>
    <col min="10756" max="10756" width="10.28515625" style="1468" customWidth="1"/>
    <col min="10757" max="10757" width="17.85546875" style="1468" customWidth="1"/>
    <col min="10758" max="10758" width="19.5703125" style="1468" bestFit="1" customWidth="1"/>
    <col min="10759" max="10759" width="5.5703125" style="1468" customWidth="1"/>
    <col min="10760" max="10760" width="17.140625" style="1468" customWidth="1"/>
    <col min="10761" max="10761" width="17.28515625" style="1468" bestFit="1" customWidth="1"/>
    <col min="10762" max="11009" width="9.140625" style="1468"/>
    <col min="11010" max="11010" width="10" style="1468" customWidth="1"/>
    <col min="11011" max="11011" width="9.5703125" style="1468" customWidth="1"/>
    <col min="11012" max="11012" width="10.28515625" style="1468" customWidth="1"/>
    <col min="11013" max="11013" width="17.85546875" style="1468" customWidth="1"/>
    <col min="11014" max="11014" width="19.5703125" style="1468" bestFit="1" customWidth="1"/>
    <col min="11015" max="11015" width="5.5703125" style="1468" customWidth="1"/>
    <col min="11016" max="11016" width="17.140625" style="1468" customWidth="1"/>
    <col min="11017" max="11017" width="17.28515625" style="1468" bestFit="1" customWidth="1"/>
    <col min="11018" max="11265" width="9.140625" style="1468"/>
    <col min="11266" max="11266" width="10" style="1468" customWidth="1"/>
    <col min="11267" max="11267" width="9.5703125" style="1468" customWidth="1"/>
    <col min="11268" max="11268" width="10.28515625" style="1468" customWidth="1"/>
    <col min="11269" max="11269" width="17.85546875" style="1468" customWidth="1"/>
    <col min="11270" max="11270" width="19.5703125" style="1468" bestFit="1" customWidth="1"/>
    <col min="11271" max="11271" width="5.5703125" style="1468" customWidth="1"/>
    <col min="11272" max="11272" width="17.140625" style="1468" customWidth="1"/>
    <col min="11273" max="11273" width="17.28515625" style="1468" bestFit="1" customWidth="1"/>
    <col min="11274" max="11521" width="9.140625" style="1468"/>
    <col min="11522" max="11522" width="10" style="1468" customWidth="1"/>
    <col min="11523" max="11523" width="9.5703125" style="1468" customWidth="1"/>
    <col min="11524" max="11524" width="10.28515625" style="1468" customWidth="1"/>
    <col min="11525" max="11525" width="17.85546875" style="1468" customWidth="1"/>
    <col min="11526" max="11526" width="19.5703125" style="1468" bestFit="1" customWidth="1"/>
    <col min="11527" max="11527" width="5.5703125" style="1468" customWidth="1"/>
    <col min="11528" max="11528" width="17.140625" style="1468" customWidth="1"/>
    <col min="11529" max="11529" width="17.28515625" style="1468" bestFit="1" customWidth="1"/>
    <col min="11530" max="11777" width="9.140625" style="1468"/>
    <col min="11778" max="11778" width="10" style="1468" customWidth="1"/>
    <col min="11779" max="11779" width="9.5703125" style="1468" customWidth="1"/>
    <col min="11780" max="11780" width="10.28515625" style="1468" customWidth="1"/>
    <col min="11781" max="11781" width="17.85546875" style="1468" customWidth="1"/>
    <col min="11782" max="11782" width="19.5703125" style="1468" bestFit="1" customWidth="1"/>
    <col min="11783" max="11783" width="5.5703125" style="1468" customWidth="1"/>
    <col min="11784" max="11784" width="17.140625" style="1468" customWidth="1"/>
    <col min="11785" max="11785" width="17.28515625" style="1468" bestFit="1" customWidth="1"/>
    <col min="11786" max="12033" width="9.140625" style="1468"/>
    <col min="12034" max="12034" width="10" style="1468" customWidth="1"/>
    <col min="12035" max="12035" width="9.5703125" style="1468" customWidth="1"/>
    <col min="12036" max="12036" width="10.28515625" style="1468" customWidth="1"/>
    <col min="12037" max="12037" width="17.85546875" style="1468" customWidth="1"/>
    <col min="12038" max="12038" width="19.5703125" style="1468" bestFit="1" customWidth="1"/>
    <col min="12039" max="12039" width="5.5703125" style="1468" customWidth="1"/>
    <col min="12040" max="12040" width="17.140625" style="1468" customWidth="1"/>
    <col min="12041" max="12041" width="17.28515625" style="1468" bestFit="1" customWidth="1"/>
    <col min="12042" max="12289" width="9.140625" style="1468"/>
    <col min="12290" max="12290" width="10" style="1468" customWidth="1"/>
    <col min="12291" max="12291" width="9.5703125" style="1468" customWidth="1"/>
    <col min="12292" max="12292" width="10.28515625" style="1468" customWidth="1"/>
    <col min="12293" max="12293" width="17.85546875" style="1468" customWidth="1"/>
    <col min="12294" max="12294" width="19.5703125" style="1468" bestFit="1" customWidth="1"/>
    <col min="12295" max="12295" width="5.5703125" style="1468" customWidth="1"/>
    <col min="12296" max="12296" width="17.140625" style="1468" customWidth="1"/>
    <col min="12297" max="12297" width="17.28515625" style="1468" bestFit="1" customWidth="1"/>
    <col min="12298" max="12545" width="9.140625" style="1468"/>
    <col min="12546" max="12546" width="10" style="1468" customWidth="1"/>
    <col min="12547" max="12547" width="9.5703125" style="1468" customWidth="1"/>
    <col min="12548" max="12548" width="10.28515625" style="1468" customWidth="1"/>
    <col min="12549" max="12549" width="17.85546875" style="1468" customWidth="1"/>
    <col min="12550" max="12550" width="19.5703125" style="1468" bestFit="1" customWidth="1"/>
    <col min="12551" max="12551" width="5.5703125" style="1468" customWidth="1"/>
    <col min="12552" max="12552" width="17.140625" style="1468" customWidth="1"/>
    <col min="12553" max="12553" width="17.28515625" style="1468" bestFit="1" customWidth="1"/>
    <col min="12554" max="12801" width="9.140625" style="1468"/>
    <col min="12802" max="12802" width="10" style="1468" customWidth="1"/>
    <col min="12803" max="12803" width="9.5703125" style="1468" customWidth="1"/>
    <col min="12804" max="12804" width="10.28515625" style="1468" customWidth="1"/>
    <col min="12805" max="12805" width="17.85546875" style="1468" customWidth="1"/>
    <col min="12806" max="12806" width="19.5703125" style="1468" bestFit="1" customWidth="1"/>
    <col min="12807" max="12807" width="5.5703125" style="1468" customWidth="1"/>
    <col min="12808" max="12808" width="17.140625" style="1468" customWidth="1"/>
    <col min="12809" max="12809" width="17.28515625" style="1468" bestFit="1" customWidth="1"/>
    <col min="12810" max="13057" width="9.140625" style="1468"/>
    <col min="13058" max="13058" width="10" style="1468" customWidth="1"/>
    <col min="13059" max="13059" width="9.5703125" style="1468" customWidth="1"/>
    <col min="13060" max="13060" width="10.28515625" style="1468" customWidth="1"/>
    <col min="13061" max="13061" width="17.85546875" style="1468" customWidth="1"/>
    <col min="13062" max="13062" width="19.5703125" style="1468" bestFit="1" customWidth="1"/>
    <col min="13063" max="13063" width="5.5703125" style="1468" customWidth="1"/>
    <col min="13064" max="13064" width="17.140625" style="1468" customWidth="1"/>
    <col min="13065" max="13065" width="17.28515625" style="1468" bestFit="1" customWidth="1"/>
    <col min="13066" max="13313" width="9.140625" style="1468"/>
    <col min="13314" max="13314" width="10" style="1468" customWidth="1"/>
    <col min="13315" max="13315" width="9.5703125" style="1468" customWidth="1"/>
    <col min="13316" max="13316" width="10.28515625" style="1468" customWidth="1"/>
    <col min="13317" max="13317" width="17.85546875" style="1468" customWidth="1"/>
    <col min="13318" max="13318" width="19.5703125" style="1468" bestFit="1" customWidth="1"/>
    <col min="13319" max="13319" width="5.5703125" style="1468" customWidth="1"/>
    <col min="13320" max="13320" width="17.140625" style="1468" customWidth="1"/>
    <col min="13321" max="13321" width="17.28515625" style="1468" bestFit="1" customWidth="1"/>
    <col min="13322" max="13569" width="9.140625" style="1468"/>
    <col min="13570" max="13570" width="10" style="1468" customWidth="1"/>
    <col min="13571" max="13571" width="9.5703125" style="1468" customWidth="1"/>
    <col min="13572" max="13572" width="10.28515625" style="1468" customWidth="1"/>
    <col min="13573" max="13573" width="17.85546875" style="1468" customWidth="1"/>
    <col min="13574" max="13574" width="19.5703125" style="1468" bestFit="1" customWidth="1"/>
    <col min="13575" max="13575" width="5.5703125" style="1468" customWidth="1"/>
    <col min="13576" max="13576" width="17.140625" style="1468" customWidth="1"/>
    <col min="13577" max="13577" width="17.28515625" style="1468" bestFit="1" customWidth="1"/>
    <col min="13578" max="13825" width="9.140625" style="1468"/>
    <col min="13826" max="13826" width="10" style="1468" customWidth="1"/>
    <col min="13827" max="13827" width="9.5703125" style="1468" customWidth="1"/>
    <col min="13828" max="13828" width="10.28515625" style="1468" customWidth="1"/>
    <col min="13829" max="13829" width="17.85546875" style="1468" customWidth="1"/>
    <col min="13830" max="13830" width="19.5703125" style="1468" bestFit="1" customWidth="1"/>
    <col min="13831" max="13831" width="5.5703125" style="1468" customWidth="1"/>
    <col min="13832" max="13832" width="17.140625" style="1468" customWidth="1"/>
    <col min="13833" max="13833" width="17.28515625" style="1468" bestFit="1" customWidth="1"/>
    <col min="13834" max="14081" width="9.140625" style="1468"/>
    <col min="14082" max="14082" width="10" style="1468" customWidth="1"/>
    <col min="14083" max="14083" width="9.5703125" style="1468" customWidth="1"/>
    <col min="14084" max="14084" width="10.28515625" style="1468" customWidth="1"/>
    <col min="14085" max="14085" width="17.85546875" style="1468" customWidth="1"/>
    <col min="14086" max="14086" width="19.5703125" style="1468" bestFit="1" customWidth="1"/>
    <col min="14087" max="14087" width="5.5703125" style="1468" customWidth="1"/>
    <col min="14088" max="14088" width="17.140625" style="1468" customWidth="1"/>
    <col min="14089" max="14089" width="17.28515625" style="1468" bestFit="1" customWidth="1"/>
    <col min="14090" max="14337" width="9.140625" style="1468"/>
    <col min="14338" max="14338" width="10" style="1468" customWidth="1"/>
    <col min="14339" max="14339" width="9.5703125" style="1468" customWidth="1"/>
    <col min="14340" max="14340" width="10.28515625" style="1468" customWidth="1"/>
    <col min="14341" max="14341" width="17.85546875" style="1468" customWidth="1"/>
    <col min="14342" max="14342" width="19.5703125" style="1468" bestFit="1" customWidth="1"/>
    <col min="14343" max="14343" width="5.5703125" style="1468" customWidth="1"/>
    <col min="14344" max="14344" width="17.140625" style="1468" customWidth="1"/>
    <col min="14345" max="14345" width="17.28515625" style="1468" bestFit="1" customWidth="1"/>
    <col min="14346" max="14593" width="9.140625" style="1468"/>
    <col min="14594" max="14594" width="10" style="1468" customWidth="1"/>
    <col min="14595" max="14595" width="9.5703125" style="1468" customWidth="1"/>
    <col min="14596" max="14596" width="10.28515625" style="1468" customWidth="1"/>
    <col min="14597" max="14597" width="17.85546875" style="1468" customWidth="1"/>
    <col min="14598" max="14598" width="19.5703125" style="1468" bestFit="1" customWidth="1"/>
    <col min="14599" max="14599" width="5.5703125" style="1468" customWidth="1"/>
    <col min="14600" max="14600" width="17.140625" style="1468" customWidth="1"/>
    <col min="14601" max="14601" width="17.28515625" style="1468" bestFit="1" customWidth="1"/>
    <col min="14602" max="14849" width="9.140625" style="1468"/>
    <col min="14850" max="14850" width="10" style="1468" customWidth="1"/>
    <col min="14851" max="14851" width="9.5703125" style="1468" customWidth="1"/>
    <col min="14852" max="14852" width="10.28515625" style="1468" customWidth="1"/>
    <col min="14853" max="14853" width="17.85546875" style="1468" customWidth="1"/>
    <col min="14854" max="14854" width="19.5703125" style="1468" bestFit="1" customWidth="1"/>
    <col min="14855" max="14855" width="5.5703125" style="1468" customWidth="1"/>
    <col min="14856" max="14856" width="17.140625" style="1468" customWidth="1"/>
    <col min="14857" max="14857" width="17.28515625" style="1468" bestFit="1" customWidth="1"/>
    <col min="14858" max="15105" width="9.140625" style="1468"/>
    <col min="15106" max="15106" width="10" style="1468" customWidth="1"/>
    <col min="15107" max="15107" width="9.5703125" style="1468" customWidth="1"/>
    <col min="15108" max="15108" width="10.28515625" style="1468" customWidth="1"/>
    <col min="15109" max="15109" width="17.85546875" style="1468" customWidth="1"/>
    <col min="15110" max="15110" width="19.5703125" style="1468" bestFit="1" customWidth="1"/>
    <col min="15111" max="15111" width="5.5703125" style="1468" customWidth="1"/>
    <col min="15112" max="15112" width="17.140625" style="1468" customWidth="1"/>
    <col min="15113" max="15113" width="17.28515625" style="1468" bestFit="1" customWidth="1"/>
    <col min="15114" max="15361" width="9.140625" style="1468"/>
    <col min="15362" max="15362" width="10" style="1468" customWidth="1"/>
    <col min="15363" max="15363" width="9.5703125" style="1468" customWidth="1"/>
    <col min="15364" max="15364" width="10.28515625" style="1468" customWidth="1"/>
    <col min="15365" max="15365" width="17.85546875" style="1468" customWidth="1"/>
    <col min="15366" max="15366" width="19.5703125" style="1468" bestFit="1" customWidth="1"/>
    <col min="15367" max="15367" width="5.5703125" style="1468" customWidth="1"/>
    <col min="15368" max="15368" width="17.140625" style="1468" customWidth="1"/>
    <col min="15369" max="15369" width="17.28515625" style="1468" bestFit="1" customWidth="1"/>
    <col min="15370" max="15617" width="9.140625" style="1468"/>
    <col min="15618" max="15618" width="10" style="1468" customWidth="1"/>
    <col min="15619" max="15619" width="9.5703125" style="1468" customWidth="1"/>
    <col min="15620" max="15620" width="10.28515625" style="1468" customWidth="1"/>
    <col min="15621" max="15621" width="17.85546875" style="1468" customWidth="1"/>
    <col min="15622" max="15622" width="19.5703125" style="1468" bestFit="1" customWidth="1"/>
    <col min="15623" max="15623" width="5.5703125" style="1468" customWidth="1"/>
    <col min="15624" max="15624" width="17.140625" style="1468" customWidth="1"/>
    <col min="15625" max="15625" width="17.28515625" style="1468" bestFit="1" customWidth="1"/>
    <col min="15626" max="15873" width="9.140625" style="1468"/>
    <col min="15874" max="15874" width="10" style="1468" customWidth="1"/>
    <col min="15875" max="15875" width="9.5703125" style="1468" customWidth="1"/>
    <col min="15876" max="15876" width="10.28515625" style="1468" customWidth="1"/>
    <col min="15877" max="15877" width="17.85546875" style="1468" customWidth="1"/>
    <col min="15878" max="15878" width="19.5703125" style="1468" bestFit="1" customWidth="1"/>
    <col min="15879" max="15879" width="5.5703125" style="1468" customWidth="1"/>
    <col min="15880" max="15880" width="17.140625" style="1468" customWidth="1"/>
    <col min="15881" max="15881" width="17.28515625" style="1468" bestFit="1" customWidth="1"/>
    <col min="15882" max="16129" width="9.140625" style="1468"/>
    <col min="16130" max="16130" width="10" style="1468" customWidth="1"/>
    <col min="16131" max="16131" width="9.5703125" style="1468" customWidth="1"/>
    <col min="16132" max="16132" width="10.28515625" style="1468" customWidth="1"/>
    <col min="16133" max="16133" width="17.85546875" style="1468" customWidth="1"/>
    <col min="16134" max="16134" width="19.5703125" style="1468" bestFit="1" customWidth="1"/>
    <col min="16135" max="16135" width="5.5703125" style="1468" customWidth="1"/>
    <col min="16136" max="16136" width="17.140625" style="1468" customWidth="1"/>
    <col min="16137" max="16137" width="17.28515625" style="1468" bestFit="1" customWidth="1"/>
    <col min="16138" max="16384" width="9.140625" style="1468"/>
  </cols>
  <sheetData>
    <row r="1" spans="1:19">
      <c r="A1" s="1490"/>
      <c r="B1" s="1490"/>
      <c r="C1" s="1490" t="s">
        <v>2589</v>
      </c>
      <c r="E1" s="1490"/>
      <c r="G1" s="1492" t="s">
        <v>1020</v>
      </c>
      <c r="I1" s="1491"/>
      <c r="J1" s="1490"/>
      <c r="K1" s="1490"/>
      <c r="L1" s="1490"/>
      <c r="M1" s="1490"/>
      <c r="N1" s="1490"/>
      <c r="O1" s="1490"/>
      <c r="P1" s="1490"/>
      <c r="Q1" s="1490"/>
      <c r="R1" s="1490"/>
      <c r="S1" s="1490"/>
    </row>
    <row r="2" spans="1:19">
      <c r="A2" s="1490"/>
      <c r="B2" s="1490"/>
      <c r="C2" s="1490"/>
      <c r="E2" s="1490"/>
      <c r="I2" s="1491"/>
      <c r="J2" s="1490"/>
      <c r="K2" s="1490"/>
      <c r="L2" s="1490"/>
      <c r="M2" s="1490"/>
      <c r="N2" s="1490"/>
      <c r="O2" s="1490"/>
      <c r="P2" s="1490"/>
      <c r="Q2" s="1490"/>
      <c r="R2" s="1490"/>
      <c r="S2" s="1490"/>
    </row>
    <row r="3" spans="1:19">
      <c r="A3" s="1490"/>
      <c r="B3" s="1490"/>
      <c r="C3" s="1490"/>
      <c r="E3" s="1490"/>
      <c r="I3" s="1491"/>
      <c r="J3" s="1490"/>
      <c r="K3" s="1490"/>
      <c r="L3" s="1490"/>
      <c r="M3" s="1490"/>
      <c r="N3" s="1490"/>
      <c r="O3" s="1490"/>
      <c r="P3" s="1490"/>
      <c r="Q3" s="1490"/>
      <c r="R3" s="1490"/>
      <c r="S3" s="1490"/>
    </row>
    <row r="4" spans="1:19">
      <c r="A4" s="1490"/>
      <c r="B4" s="1490"/>
      <c r="C4" s="1490"/>
      <c r="E4" s="1490"/>
      <c r="I4" s="1491"/>
      <c r="J4" s="1490"/>
      <c r="K4" s="1490"/>
      <c r="L4" s="1490"/>
      <c r="M4" s="1490"/>
      <c r="N4" s="1490"/>
      <c r="O4" s="1490"/>
      <c r="P4" s="1490"/>
      <c r="Q4" s="1490"/>
      <c r="R4" s="1490"/>
      <c r="S4" s="1490"/>
    </row>
    <row r="5" spans="1:19">
      <c r="A5" s="2810" t="s">
        <v>2588</v>
      </c>
      <c r="B5" s="2810"/>
      <c r="C5" s="2810"/>
      <c r="D5" s="2810"/>
      <c r="E5" s="2810"/>
      <c r="F5" s="2810"/>
      <c r="G5" s="2810"/>
      <c r="H5" s="2810"/>
      <c r="I5" s="1491"/>
      <c r="J5" s="1490"/>
      <c r="K5" s="1490"/>
      <c r="L5" s="1490"/>
      <c r="M5" s="1490"/>
      <c r="N5" s="1490"/>
      <c r="O5" s="1490"/>
      <c r="P5" s="1490"/>
      <c r="Q5" s="1490"/>
      <c r="R5" s="1490"/>
      <c r="S5" s="1490"/>
    </row>
    <row r="6" spans="1:19">
      <c r="A6" s="1489" t="s">
        <v>2587</v>
      </c>
      <c r="G6" s="1471" t="s">
        <v>1025</v>
      </c>
      <c r="H6" s="1479">
        <f>+H10</f>
        <v>2850000000</v>
      </c>
    </row>
    <row r="7" spans="1:19">
      <c r="A7" s="1468" t="s">
        <v>1077</v>
      </c>
      <c r="C7" s="1468" t="s">
        <v>154</v>
      </c>
      <c r="G7" s="1471" t="s">
        <v>1025</v>
      </c>
      <c r="H7" s="1470">
        <f>+H6-H8</f>
        <v>850000000</v>
      </c>
      <c r="I7" s="1488"/>
      <c r="J7" s="1468">
        <f>+H7/H6</f>
        <v>0.2982456140350877</v>
      </c>
    </row>
    <row r="8" spans="1:19">
      <c r="C8" s="1468" t="s">
        <v>2586</v>
      </c>
      <c r="G8" s="1471" t="s">
        <v>1025</v>
      </c>
      <c r="H8" s="1470">
        <v>2000000000</v>
      </c>
    </row>
    <row r="9" spans="1:19">
      <c r="A9" s="1476" t="s">
        <v>2585</v>
      </c>
      <c r="B9" s="1474"/>
      <c r="C9" s="1474"/>
      <c r="D9" s="1474"/>
      <c r="E9" s="1474"/>
      <c r="F9" s="1474"/>
      <c r="G9" s="1473"/>
      <c r="H9" s="1472"/>
    </row>
    <row r="10" spans="1:19">
      <c r="A10" s="1476" t="s">
        <v>2584</v>
      </c>
      <c r="B10" s="1474"/>
      <c r="C10" s="1474"/>
      <c r="D10" s="1474"/>
      <c r="E10" s="1474"/>
      <c r="F10" s="1474"/>
      <c r="G10" s="1473" t="s">
        <v>1025</v>
      </c>
      <c r="H10" s="1475">
        <f>SUM(H11:H18)</f>
        <v>2850000000</v>
      </c>
    </row>
    <row r="11" spans="1:19">
      <c r="A11" s="2811" t="s">
        <v>2583</v>
      </c>
      <c r="B11" s="2812"/>
      <c r="C11" s="1474"/>
      <c r="D11" s="1474"/>
      <c r="E11" s="1486">
        <v>20</v>
      </c>
      <c r="F11" s="1487">
        <v>30000000</v>
      </c>
      <c r="G11" s="1473" t="s">
        <v>1025</v>
      </c>
      <c r="H11" s="1472">
        <f>+E11*F11</f>
        <v>600000000</v>
      </c>
    </row>
    <row r="12" spans="1:19">
      <c r="A12" s="2811" t="s">
        <v>2582</v>
      </c>
      <c r="B12" s="2812"/>
      <c r="C12" s="1474"/>
      <c r="D12" s="1474"/>
      <c r="E12" s="1486">
        <v>60</v>
      </c>
      <c r="F12" s="1487">
        <v>15000000</v>
      </c>
      <c r="G12" s="1473" t="s">
        <v>1025</v>
      </c>
      <c r="H12" s="1472">
        <f>+E12*F12</f>
        <v>900000000</v>
      </c>
    </row>
    <row r="13" spans="1:19">
      <c r="A13" s="1483" t="s">
        <v>2581</v>
      </c>
      <c r="B13" s="1474"/>
      <c r="C13" s="1474"/>
      <c r="D13" s="1474"/>
      <c r="E13" s="1486"/>
      <c r="F13" s="1485"/>
      <c r="G13" s="1473" t="s">
        <v>1025</v>
      </c>
      <c r="H13" s="1472">
        <v>200000000</v>
      </c>
    </row>
    <row r="14" spans="1:19">
      <c r="A14" s="1483" t="s">
        <v>2580</v>
      </c>
      <c r="B14" s="1474"/>
      <c r="C14" s="1474"/>
      <c r="D14" s="1474"/>
      <c r="E14" s="1482">
        <v>4000000</v>
      </c>
      <c r="F14" s="1484">
        <v>60</v>
      </c>
      <c r="G14" s="1473" t="s">
        <v>1025</v>
      </c>
      <c r="H14" s="1472">
        <f>+F14*E14</f>
        <v>240000000</v>
      </c>
    </row>
    <row r="15" spans="1:19">
      <c r="A15" s="1483" t="s">
        <v>2579</v>
      </c>
      <c r="B15" s="1474"/>
      <c r="C15" s="1474"/>
      <c r="D15" s="2808">
        <v>6000000</v>
      </c>
      <c r="E15" s="2808"/>
      <c r="F15" s="1474" t="s">
        <v>2560</v>
      </c>
      <c r="G15" s="1473" t="s">
        <v>1025</v>
      </c>
      <c r="H15" s="1472">
        <f>+D15*60</f>
        <v>360000000</v>
      </c>
    </row>
    <row r="16" spans="1:19">
      <c r="A16" s="1483" t="s">
        <v>2578</v>
      </c>
      <c r="B16" s="1474"/>
      <c r="C16" s="1474"/>
      <c r="D16" s="2808">
        <v>6000000</v>
      </c>
      <c r="E16" s="2808"/>
      <c r="F16" s="1484">
        <v>60</v>
      </c>
      <c r="G16" s="1473" t="s">
        <v>1025</v>
      </c>
      <c r="H16" s="1472">
        <f>+F16*D16</f>
        <v>360000000</v>
      </c>
    </row>
    <row r="17" spans="1:9">
      <c r="A17" s="1483" t="s">
        <v>2577</v>
      </c>
      <c r="B17" s="1474"/>
      <c r="C17" s="1474"/>
      <c r="D17" s="2808"/>
      <c r="E17" s="2808"/>
      <c r="F17" s="1474"/>
      <c r="G17" s="1473" t="s">
        <v>1025</v>
      </c>
      <c r="H17" s="1472">
        <v>140000000</v>
      </c>
    </row>
    <row r="18" spans="1:9">
      <c r="A18" s="1483" t="s">
        <v>2576</v>
      </c>
      <c r="B18" s="1474"/>
      <c r="C18" s="1474"/>
      <c r="D18" s="1482"/>
      <c r="E18" s="1482"/>
      <c r="F18" s="1474"/>
      <c r="G18" s="1473" t="s">
        <v>1025</v>
      </c>
      <c r="H18" s="1472">
        <v>50000000</v>
      </c>
    </row>
    <row r="19" spans="1:9">
      <c r="A19" s="1476" t="s">
        <v>2575</v>
      </c>
      <c r="B19" s="1474"/>
      <c r="C19" s="1474"/>
      <c r="D19" s="1474"/>
      <c r="E19" s="1474"/>
      <c r="F19" s="1474"/>
      <c r="G19" s="1473"/>
      <c r="H19" s="1475"/>
    </row>
    <row r="20" spans="1:9">
      <c r="A20" s="2809" t="s">
        <v>2574</v>
      </c>
      <c r="B20" s="2809"/>
      <c r="C20" s="2809"/>
      <c r="D20" s="2809"/>
      <c r="E20" s="2809"/>
      <c r="F20" s="2809"/>
      <c r="G20" s="2809"/>
      <c r="H20" s="2291">
        <f>+H21+H25+H29+H33+H37</f>
        <v>3722000000</v>
      </c>
      <c r="I20" s="1469">
        <f>+H20-H6</f>
        <v>872000000</v>
      </c>
    </row>
    <row r="21" spans="1:9">
      <c r="A21" s="1478" t="s">
        <v>2573</v>
      </c>
      <c r="E21" s="1481"/>
      <c r="F21" s="1480"/>
      <c r="H21" s="1479">
        <f>+H22+H23+H24</f>
        <v>464000000</v>
      </c>
      <c r="I21" s="1468"/>
    </row>
    <row r="22" spans="1:9">
      <c r="A22" s="2806" t="s">
        <v>2568</v>
      </c>
      <c r="B22" s="2806"/>
      <c r="C22" s="2806"/>
      <c r="D22" s="1481">
        <v>3</v>
      </c>
      <c r="E22" s="1480">
        <v>38000000</v>
      </c>
      <c r="F22" s="1474"/>
      <c r="G22" s="1473" t="s">
        <v>1025</v>
      </c>
      <c r="H22" s="1472">
        <f>+D22*E22</f>
        <v>114000000</v>
      </c>
      <c r="I22" s="1468"/>
    </row>
    <row r="23" spans="1:9">
      <c r="A23" s="2806" t="s">
        <v>2567</v>
      </c>
      <c r="B23" s="2806"/>
      <c r="C23" s="2806"/>
      <c r="D23" s="1481">
        <v>10</v>
      </c>
      <c r="E23" s="1480">
        <v>25000000</v>
      </c>
      <c r="F23" s="1474"/>
      <c r="G23" s="1473" t="s">
        <v>1025</v>
      </c>
      <c r="H23" s="1472">
        <f>+D23*E23</f>
        <v>250000000</v>
      </c>
      <c r="I23" s="1468"/>
    </row>
    <row r="24" spans="1:9">
      <c r="A24" s="2806" t="s">
        <v>2566</v>
      </c>
      <c r="B24" s="2806"/>
      <c r="C24" s="2806"/>
      <c r="D24" s="2807"/>
      <c r="E24" s="2807"/>
      <c r="F24" s="1474"/>
      <c r="G24" s="1473" t="s">
        <v>1025</v>
      </c>
      <c r="H24" s="1472">
        <v>100000000</v>
      </c>
      <c r="I24" s="1468"/>
    </row>
    <row r="25" spans="1:9">
      <c r="A25" s="1478" t="s">
        <v>2572</v>
      </c>
      <c r="D25" s="1486"/>
      <c r="E25" s="1487"/>
      <c r="F25" s="1474"/>
      <c r="G25" s="1473" t="s">
        <v>1025</v>
      </c>
      <c r="H25" s="1475">
        <f>+SUM(H26:H28)</f>
        <v>526000000</v>
      </c>
      <c r="I25" s="1468"/>
    </row>
    <row r="26" spans="1:9">
      <c r="A26" s="2806" t="s">
        <v>2568</v>
      </c>
      <c r="B26" s="2806"/>
      <c r="C26" s="2806"/>
      <c r="D26" s="1481">
        <v>3</v>
      </c>
      <c r="E26" s="1480">
        <v>42000000</v>
      </c>
      <c r="F26" s="1474"/>
      <c r="G26" s="1473" t="s">
        <v>1025</v>
      </c>
      <c r="H26" s="1472">
        <f>+D26*E26</f>
        <v>126000000</v>
      </c>
      <c r="I26" s="1468"/>
    </row>
    <row r="27" spans="1:9">
      <c r="A27" s="2806" t="s">
        <v>2567</v>
      </c>
      <c r="B27" s="2806"/>
      <c r="C27" s="2806"/>
      <c r="D27" s="1481">
        <v>10</v>
      </c>
      <c r="E27" s="1480">
        <v>30000000</v>
      </c>
      <c r="F27" s="1474"/>
      <c r="G27" s="1473" t="s">
        <v>1025</v>
      </c>
      <c r="H27" s="1472">
        <f>+D27*E27</f>
        <v>300000000</v>
      </c>
      <c r="I27" s="1468"/>
    </row>
    <row r="28" spans="1:9">
      <c r="A28" s="2806" t="s">
        <v>2566</v>
      </c>
      <c r="B28" s="2806"/>
      <c r="C28" s="2806"/>
      <c r="D28" s="2807"/>
      <c r="E28" s="2807"/>
      <c r="F28" s="1474"/>
      <c r="G28" s="1473"/>
      <c r="H28" s="1472">
        <v>100000000</v>
      </c>
      <c r="I28" s="1468"/>
    </row>
    <row r="29" spans="1:9">
      <c r="A29" s="1478" t="s">
        <v>2571</v>
      </c>
      <c r="D29" s="1486"/>
      <c r="E29" s="1487"/>
      <c r="F29" s="1474"/>
      <c r="G29" s="1473" t="s">
        <v>1025</v>
      </c>
      <c r="H29" s="1475">
        <f>+SUM(H30:H32)</f>
        <v>570000000</v>
      </c>
      <c r="I29" s="1468"/>
    </row>
    <row r="30" spans="1:9">
      <c r="A30" s="2806" t="s">
        <v>2568</v>
      </c>
      <c r="B30" s="2806"/>
      <c r="C30" s="2806"/>
      <c r="D30" s="1481">
        <v>3</v>
      </c>
      <c r="E30" s="1480">
        <v>50000000</v>
      </c>
      <c r="F30" s="1474"/>
      <c r="G30" s="1473" t="s">
        <v>1025</v>
      </c>
      <c r="H30" s="1472">
        <f>+D30*E30</f>
        <v>150000000</v>
      </c>
      <c r="I30" s="1468"/>
    </row>
    <row r="31" spans="1:9">
      <c r="A31" s="2806" t="s">
        <v>2567</v>
      </c>
      <c r="B31" s="2806"/>
      <c r="C31" s="2806"/>
      <c r="D31" s="1481">
        <v>10</v>
      </c>
      <c r="E31" s="1480">
        <v>32000000</v>
      </c>
      <c r="F31" s="1474"/>
      <c r="G31" s="1473" t="s">
        <v>1025</v>
      </c>
      <c r="H31" s="1472">
        <f>+D31*E31</f>
        <v>320000000</v>
      </c>
      <c r="I31" s="1468"/>
    </row>
    <row r="32" spans="1:9">
      <c r="A32" s="2806" t="s">
        <v>2566</v>
      </c>
      <c r="B32" s="2806"/>
      <c r="C32" s="2806"/>
      <c r="D32" s="2807"/>
      <c r="E32" s="2807"/>
      <c r="F32" s="1474"/>
      <c r="G32" s="1473" t="s">
        <v>1025</v>
      </c>
      <c r="H32" s="1472">
        <v>100000000</v>
      </c>
      <c r="I32" s="1468"/>
    </row>
    <row r="33" spans="1:9">
      <c r="A33" s="1478" t="s">
        <v>2570</v>
      </c>
      <c r="D33" s="1486"/>
      <c r="E33" s="1487"/>
      <c r="F33" s="1474"/>
      <c r="G33" s="1473"/>
      <c r="H33" s="1475">
        <f>+SUM(H34:H36)</f>
        <v>1000000000</v>
      </c>
      <c r="I33" s="1468"/>
    </row>
    <row r="34" spans="1:9">
      <c r="A34" s="2806" t="s">
        <v>2568</v>
      </c>
      <c r="B34" s="2806"/>
      <c r="C34" s="2806"/>
      <c r="D34" s="1481">
        <v>5</v>
      </c>
      <c r="E34" s="1480">
        <v>55000000</v>
      </c>
      <c r="F34" s="1474"/>
      <c r="G34" s="1473" t="s">
        <v>1025</v>
      </c>
      <c r="H34" s="1472">
        <f>+D34*E34</f>
        <v>275000000</v>
      </c>
      <c r="I34" s="1468"/>
    </row>
    <row r="35" spans="1:9">
      <c r="A35" s="2806" t="s">
        <v>2567</v>
      </c>
      <c r="B35" s="2806"/>
      <c r="C35" s="2806"/>
      <c r="D35" s="1481">
        <v>15</v>
      </c>
      <c r="E35" s="1480">
        <v>35000000</v>
      </c>
      <c r="F35" s="1474"/>
      <c r="G35" s="1473" t="s">
        <v>1025</v>
      </c>
      <c r="H35" s="1472">
        <f>+D35*E35</f>
        <v>525000000</v>
      </c>
      <c r="I35" s="1468"/>
    </row>
    <row r="36" spans="1:9">
      <c r="A36" s="2806" t="s">
        <v>2566</v>
      </c>
      <c r="B36" s="2806"/>
      <c r="C36" s="2806"/>
      <c r="D36" s="2807"/>
      <c r="E36" s="2807"/>
      <c r="F36" s="1474"/>
      <c r="G36" s="1473" t="s">
        <v>1025</v>
      </c>
      <c r="H36" s="1472">
        <v>200000000</v>
      </c>
      <c r="I36" s="1468"/>
    </row>
    <row r="37" spans="1:9">
      <c r="A37" s="1478" t="s">
        <v>2569</v>
      </c>
      <c r="D37" s="1486"/>
      <c r="E37" s="1487"/>
      <c r="F37" s="1474"/>
      <c r="G37" s="1473"/>
      <c r="H37" s="1475">
        <f>+SUM(H38:H40)</f>
        <v>1162000000</v>
      </c>
      <c r="I37" s="1468"/>
    </row>
    <row r="38" spans="1:9">
      <c r="A38" s="2806" t="s">
        <v>2568</v>
      </c>
      <c r="B38" s="2806"/>
      <c r="C38" s="2806"/>
      <c r="D38" s="1481">
        <v>6</v>
      </c>
      <c r="E38" s="1480">
        <v>62000000</v>
      </c>
      <c r="F38" s="1474"/>
      <c r="G38" s="1473" t="s">
        <v>1025</v>
      </c>
      <c r="H38" s="1472">
        <f>+D38*E38</f>
        <v>372000000</v>
      </c>
      <c r="I38" s="1468"/>
    </row>
    <row r="39" spans="1:9">
      <c r="A39" s="2806" t="s">
        <v>2567</v>
      </c>
      <c r="B39" s="2806"/>
      <c r="C39" s="2806"/>
      <c r="D39" s="1481">
        <v>15</v>
      </c>
      <c r="E39" s="1480">
        <v>36000000</v>
      </c>
      <c r="F39" s="1474"/>
      <c r="G39" s="1473" t="s">
        <v>1025</v>
      </c>
      <c r="H39" s="1472">
        <f>+D39*E39</f>
        <v>540000000</v>
      </c>
      <c r="I39" s="1468"/>
    </row>
    <row r="40" spans="1:9">
      <c r="A40" s="2806" t="s">
        <v>2566</v>
      </c>
      <c r="B40" s="2806"/>
      <c r="C40" s="2806"/>
      <c r="D40" s="2807"/>
      <c r="E40" s="2807"/>
      <c r="G40" s="1473" t="s">
        <v>1025</v>
      </c>
      <c r="H40" s="1470">
        <v>250000000</v>
      </c>
    </row>
    <row r="41" spans="1:9">
      <c r="A41" s="1476" t="s">
        <v>2565</v>
      </c>
      <c r="B41" s="1474"/>
      <c r="C41" s="2803">
        <f>+H20</f>
        <v>3722000000</v>
      </c>
      <c r="D41" s="2803"/>
      <c r="E41" s="2804">
        <f>+H10</f>
        <v>2850000000</v>
      </c>
      <c r="F41" s="2804"/>
      <c r="G41" s="1473" t="s">
        <v>1025</v>
      </c>
      <c r="H41" s="1475">
        <f>+C41-E41</f>
        <v>872000000</v>
      </c>
    </row>
    <row r="42" spans="1:9">
      <c r="A42" s="1476" t="s">
        <v>2564</v>
      </c>
      <c r="B42" s="1474"/>
      <c r="C42" s="1474"/>
      <c r="D42" s="1474"/>
      <c r="E42" s="1474"/>
      <c r="F42" s="1474"/>
      <c r="G42" s="1473"/>
      <c r="H42" s="1475">
        <f>+SUM(H43:H47)</f>
        <v>540000000</v>
      </c>
    </row>
    <row r="43" spans="1:9">
      <c r="A43" s="1474"/>
      <c r="B43" s="1474"/>
      <c r="C43" s="2805">
        <v>2000000000</v>
      </c>
      <c r="D43" s="2805"/>
      <c r="E43" s="1477">
        <v>0.09</v>
      </c>
      <c r="F43" s="1474"/>
      <c r="G43" s="1473" t="s">
        <v>1025</v>
      </c>
      <c r="H43" s="1472">
        <f>+C43*E43</f>
        <v>180000000</v>
      </c>
    </row>
    <row r="44" spans="1:9">
      <c r="A44" s="1474"/>
      <c r="B44" s="1474"/>
      <c r="C44" s="2805">
        <v>1600000000</v>
      </c>
      <c r="D44" s="2805"/>
      <c r="E44" s="1477">
        <v>0.09</v>
      </c>
      <c r="F44" s="1474"/>
      <c r="G44" s="1473" t="s">
        <v>1025</v>
      </c>
      <c r="H44" s="1472">
        <f>+C44*E44</f>
        <v>144000000</v>
      </c>
    </row>
    <row r="45" spans="1:9">
      <c r="A45" s="1474"/>
      <c r="B45" s="1474"/>
      <c r="C45" s="2805">
        <v>1200000000</v>
      </c>
      <c r="D45" s="2805"/>
      <c r="E45" s="1477">
        <v>0.09</v>
      </c>
      <c r="F45" s="1474"/>
      <c r="G45" s="1473" t="s">
        <v>1025</v>
      </c>
      <c r="H45" s="1472">
        <f>+C45*E45</f>
        <v>108000000</v>
      </c>
    </row>
    <row r="46" spans="1:9">
      <c r="A46" s="1474"/>
      <c r="B46" s="1474"/>
      <c r="C46" s="2805">
        <v>800000000</v>
      </c>
      <c r="D46" s="2805"/>
      <c r="E46" s="1477">
        <v>0.09</v>
      </c>
      <c r="F46" s="1474"/>
      <c r="G46" s="1473" t="s">
        <v>1025</v>
      </c>
      <c r="H46" s="1472">
        <f>+C46*E46</f>
        <v>72000000</v>
      </c>
    </row>
    <row r="47" spans="1:9">
      <c r="A47" s="1474"/>
      <c r="B47" s="1474"/>
      <c r="C47" s="2805">
        <v>400000000</v>
      </c>
      <c r="D47" s="2805"/>
      <c r="E47" s="1477">
        <v>0.09</v>
      </c>
      <c r="F47" s="1474"/>
      <c r="G47" s="1473" t="s">
        <v>1025</v>
      </c>
      <c r="H47" s="1472">
        <f>+C47*E47</f>
        <v>36000000</v>
      </c>
    </row>
    <row r="48" spans="1:9">
      <c r="A48" s="1476" t="s">
        <v>2563</v>
      </c>
      <c r="B48" s="1474"/>
      <c r="C48" s="2803">
        <f>+H41</f>
        <v>872000000</v>
      </c>
      <c r="D48" s="2803"/>
      <c r="E48" s="2804">
        <f>+H42</f>
        <v>540000000</v>
      </c>
      <c r="F48" s="2804"/>
      <c r="G48" s="1473" t="s">
        <v>1025</v>
      </c>
      <c r="H48" s="1475">
        <f>+C48-E48</f>
        <v>332000000</v>
      </c>
    </row>
    <row r="49" spans="1:8">
      <c r="A49" s="1474" t="s">
        <v>2562</v>
      </c>
      <c r="B49" s="1474"/>
      <c r="C49" s="1474"/>
      <c r="D49" s="1474"/>
      <c r="E49" s="1474"/>
      <c r="F49" s="1474"/>
      <c r="G49" s="1473"/>
      <c r="H49" s="1472"/>
    </row>
    <row r="50" spans="1:8">
      <c r="A50" s="1474" t="s">
        <v>2561</v>
      </c>
      <c r="B50" s="1474"/>
      <c r="C50" s="1474" t="s">
        <v>2560</v>
      </c>
      <c r="D50" s="1474"/>
      <c r="E50" s="1474"/>
      <c r="F50" s="1474"/>
      <c r="G50" s="1473"/>
      <c r="H50" s="1472"/>
    </row>
    <row r="51" spans="1:8">
      <c r="A51" s="1474" t="s">
        <v>2559</v>
      </c>
      <c r="B51" s="1474"/>
      <c r="C51" s="1474" t="s">
        <v>2554</v>
      </c>
      <c r="D51" s="1474"/>
      <c r="E51" s="1474"/>
      <c r="F51" s="1474"/>
      <c r="G51" s="1473"/>
      <c r="H51" s="1472"/>
    </row>
    <row r="52" spans="1:8">
      <c r="A52" s="1474" t="s">
        <v>2558</v>
      </c>
      <c r="B52" s="1474"/>
      <c r="C52" s="1474" t="s">
        <v>2554</v>
      </c>
      <c r="D52" s="1474"/>
      <c r="E52" s="1474"/>
      <c r="F52" s="1474"/>
      <c r="G52" s="1473"/>
      <c r="H52" s="1472"/>
    </row>
    <row r="53" spans="1:8">
      <c r="A53" s="1474" t="s">
        <v>2557</v>
      </c>
      <c r="B53" s="1474"/>
      <c r="C53" s="1474" t="s">
        <v>2554</v>
      </c>
      <c r="D53" s="1474"/>
      <c r="E53" s="1474"/>
      <c r="F53" s="1474"/>
      <c r="G53" s="1473"/>
      <c r="H53" s="1472"/>
    </row>
    <row r="54" spans="1:8">
      <c r="A54" s="1474" t="s">
        <v>2556</v>
      </c>
      <c r="B54" s="1474"/>
      <c r="C54" s="1474" t="s">
        <v>2554</v>
      </c>
      <c r="D54" s="1474"/>
      <c r="E54" s="1474"/>
      <c r="F54" s="1474"/>
      <c r="G54" s="1473"/>
      <c r="H54" s="1472"/>
    </row>
    <row r="55" spans="1:8">
      <c r="A55" s="1474" t="s">
        <v>2555</v>
      </c>
      <c r="B55" s="1474"/>
      <c r="C55" s="1474" t="s">
        <v>2554</v>
      </c>
      <c r="D55" s="1474"/>
      <c r="E55" s="1474"/>
      <c r="F55" s="1474"/>
      <c r="G55" s="1473"/>
      <c r="H55" s="1472"/>
    </row>
  </sheetData>
  <mergeCells count="36">
    <mergeCell ref="D17:E17"/>
    <mergeCell ref="A20:G20"/>
    <mergeCell ref="A5:H5"/>
    <mergeCell ref="A11:B11"/>
    <mergeCell ref="A12:B12"/>
    <mergeCell ref="D15:E15"/>
    <mergeCell ref="D16:E16"/>
    <mergeCell ref="A28:C28"/>
    <mergeCell ref="D28:E28"/>
    <mergeCell ref="A30:C30"/>
    <mergeCell ref="A31:C31"/>
    <mergeCell ref="A22:C22"/>
    <mergeCell ref="A23:C23"/>
    <mergeCell ref="A24:C24"/>
    <mergeCell ref="D24:E24"/>
    <mergeCell ref="A26:C26"/>
    <mergeCell ref="A27:C27"/>
    <mergeCell ref="A32:C32"/>
    <mergeCell ref="D32:E32"/>
    <mergeCell ref="A34:C34"/>
    <mergeCell ref="C46:D46"/>
    <mergeCell ref="A36:C36"/>
    <mergeCell ref="D36:E36"/>
    <mergeCell ref="A38:C38"/>
    <mergeCell ref="A39:C39"/>
    <mergeCell ref="A40:C40"/>
    <mergeCell ref="D40:E40"/>
    <mergeCell ref="A35:C35"/>
    <mergeCell ref="C48:D48"/>
    <mergeCell ref="E48:F48"/>
    <mergeCell ref="C41:D41"/>
    <mergeCell ref="E41:F41"/>
    <mergeCell ref="C43:D43"/>
    <mergeCell ref="C44:D44"/>
    <mergeCell ref="C45:D45"/>
    <mergeCell ref="C47:D47"/>
  </mergeCells>
  <pageMargins left="0.25" right="0" top="0.75" bottom="0.75" header="0.3" footer="0.3"/>
  <pageSetup orientation="portrait" r:id="rId1"/>
  <headerFooter alignWithMargins="0"/>
  <drawing r:id="rId2"/>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G28"/>
  <sheetViews>
    <sheetView zoomScaleNormal="100" workbookViewId="0">
      <selection activeCell="H20" sqref="H20"/>
    </sheetView>
  </sheetViews>
  <sheetFormatPr defaultRowHeight="16.5"/>
  <cols>
    <col min="1" max="1" width="31" style="523" customWidth="1"/>
    <col min="2" max="2" width="14.5703125" style="523" customWidth="1"/>
    <col min="3" max="3" width="14.42578125" style="523" customWidth="1"/>
    <col min="4" max="4" width="13.140625" style="523" customWidth="1"/>
    <col min="5" max="5" width="14.5703125" style="523" customWidth="1"/>
    <col min="6" max="256" width="9.140625" style="523"/>
    <col min="257" max="257" width="31" style="523" customWidth="1"/>
    <col min="258" max="258" width="14.5703125" style="523" customWidth="1"/>
    <col min="259" max="259" width="14.42578125" style="523" customWidth="1"/>
    <col min="260" max="260" width="13.140625" style="523" customWidth="1"/>
    <col min="261" max="261" width="14.5703125" style="523" customWidth="1"/>
    <col min="262" max="512" width="9.140625" style="523"/>
    <col min="513" max="513" width="31" style="523" customWidth="1"/>
    <col min="514" max="514" width="14.5703125" style="523" customWidth="1"/>
    <col min="515" max="515" width="14.42578125" style="523" customWidth="1"/>
    <col min="516" max="516" width="13.140625" style="523" customWidth="1"/>
    <col min="517" max="517" width="14.5703125" style="523" customWidth="1"/>
    <col min="518" max="768" width="9.140625" style="523"/>
    <col min="769" max="769" width="31" style="523" customWidth="1"/>
    <col min="770" max="770" width="14.5703125" style="523" customWidth="1"/>
    <col min="771" max="771" width="14.42578125" style="523" customWidth="1"/>
    <col min="772" max="772" width="13.140625" style="523" customWidth="1"/>
    <col min="773" max="773" width="14.5703125" style="523" customWidth="1"/>
    <col min="774" max="1024" width="9.140625" style="523"/>
    <col min="1025" max="1025" width="31" style="523" customWidth="1"/>
    <col min="1026" max="1026" width="14.5703125" style="523" customWidth="1"/>
    <col min="1027" max="1027" width="14.42578125" style="523" customWidth="1"/>
    <col min="1028" max="1028" width="13.140625" style="523" customWidth="1"/>
    <col min="1029" max="1029" width="14.5703125" style="523" customWidth="1"/>
    <col min="1030" max="1280" width="9.140625" style="523"/>
    <col min="1281" max="1281" width="31" style="523" customWidth="1"/>
    <col min="1282" max="1282" width="14.5703125" style="523" customWidth="1"/>
    <col min="1283" max="1283" width="14.42578125" style="523" customWidth="1"/>
    <col min="1284" max="1284" width="13.140625" style="523" customWidth="1"/>
    <col min="1285" max="1285" width="14.5703125" style="523" customWidth="1"/>
    <col min="1286" max="1536" width="9.140625" style="523"/>
    <col min="1537" max="1537" width="31" style="523" customWidth="1"/>
    <col min="1538" max="1538" width="14.5703125" style="523" customWidth="1"/>
    <col min="1539" max="1539" width="14.42578125" style="523" customWidth="1"/>
    <col min="1540" max="1540" width="13.140625" style="523" customWidth="1"/>
    <col min="1541" max="1541" width="14.5703125" style="523" customWidth="1"/>
    <col min="1542" max="1792" width="9.140625" style="523"/>
    <col min="1793" max="1793" width="31" style="523" customWidth="1"/>
    <col min="1794" max="1794" width="14.5703125" style="523" customWidth="1"/>
    <col min="1795" max="1795" width="14.42578125" style="523" customWidth="1"/>
    <col min="1796" max="1796" width="13.140625" style="523" customWidth="1"/>
    <col min="1797" max="1797" width="14.5703125" style="523" customWidth="1"/>
    <col min="1798" max="2048" width="9.140625" style="523"/>
    <col min="2049" max="2049" width="31" style="523" customWidth="1"/>
    <col min="2050" max="2050" width="14.5703125" style="523" customWidth="1"/>
    <col min="2051" max="2051" width="14.42578125" style="523" customWidth="1"/>
    <col min="2052" max="2052" width="13.140625" style="523" customWidth="1"/>
    <col min="2053" max="2053" width="14.5703125" style="523" customWidth="1"/>
    <col min="2054" max="2304" width="9.140625" style="523"/>
    <col min="2305" max="2305" width="31" style="523" customWidth="1"/>
    <col min="2306" max="2306" width="14.5703125" style="523" customWidth="1"/>
    <col min="2307" max="2307" width="14.42578125" style="523" customWidth="1"/>
    <col min="2308" max="2308" width="13.140625" style="523" customWidth="1"/>
    <col min="2309" max="2309" width="14.5703125" style="523" customWidth="1"/>
    <col min="2310" max="2560" width="9.140625" style="523"/>
    <col min="2561" max="2561" width="31" style="523" customWidth="1"/>
    <col min="2562" max="2562" width="14.5703125" style="523" customWidth="1"/>
    <col min="2563" max="2563" width="14.42578125" style="523" customWidth="1"/>
    <col min="2564" max="2564" width="13.140625" style="523" customWidth="1"/>
    <col min="2565" max="2565" width="14.5703125" style="523" customWidth="1"/>
    <col min="2566" max="2816" width="9.140625" style="523"/>
    <col min="2817" max="2817" width="31" style="523" customWidth="1"/>
    <col min="2818" max="2818" width="14.5703125" style="523" customWidth="1"/>
    <col min="2819" max="2819" width="14.42578125" style="523" customWidth="1"/>
    <col min="2820" max="2820" width="13.140625" style="523" customWidth="1"/>
    <col min="2821" max="2821" width="14.5703125" style="523" customWidth="1"/>
    <col min="2822" max="3072" width="9.140625" style="523"/>
    <col min="3073" max="3073" width="31" style="523" customWidth="1"/>
    <col min="3074" max="3074" width="14.5703125" style="523" customWidth="1"/>
    <col min="3075" max="3075" width="14.42578125" style="523" customWidth="1"/>
    <col min="3076" max="3076" width="13.140625" style="523" customWidth="1"/>
    <col min="3077" max="3077" width="14.5703125" style="523" customWidth="1"/>
    <col min="3078" max="3328" width="9.140625" style="523"/>
    <col min="3329" max="3329" width="31" style="523" customWidth="1"/>
    <col min="3330" max="3330" width="14.5703125" style="523" customWidth="1"/>
    <col min="3331" max="3331" width="14.42578125" style="523" customWidth="1"/>
    <col min="3332" max="3332" width="13.140625" style="523" customWidth="1"/>
    <col min="3333" max="3333" width="14.5703125" style="523" customWidth="1"/>
    <col min="3334" max="3584" width="9.140625" style="523"/>
    <col min="3585" max="3585" width="31" style="523" customWidth="1"/>
    <col min="3586" max="3586" width="14.5703125" style="523" customWidth="1"/>
    <col min="3587" max="3587" width="14.42578125" style="523" customWidth="1"/>
    <col min="3588" max="3588" width="13.140625" style="523" customWidth="1"/>
    <col min="3589" max="3589" width="14.5703125" style="523" customWidth="1"/>
    <col min="3590" max="3840" width="9.140625" style="523"/>
    <col min="3841" max="3841" width="31" style="523" customWidth="1"/>
    <col min="3842" max="3842" width="14.5703125" style="523" customWidth="1"/>
    <col min="3843" max="3843" width="14.42578125" style="523" customWidth="1"/>
    <col min="3844" max="3844" width="13.140625" style="523" customWidth="1"/>
    <col min="3845" max="3845" width="14.5703125" style="523" customWidth="1"/>
    <col min="3846" max="4096" width="9.140625" style="523"/>
    <col min="4097" max="4097" width="31" style="523" customWidth="1"/>
    <col min="4098" max="4098" width="14.5703125" style="523" customWidth="1"/>
    <col min="4099" max="4099" width="14.42578125" style="523" customWidth="1"/>
    <col min="4100" max="4100" width="13.140625" style="523" customWidth="1"/>
    <col min="4101" max="4101" width="14.5703125" style="523" customWidth="1"/>
    <col min="4102" max="4352" width="9.140625" style="523"/>
    <col min="4353" max="4353" width="31" style="523" customWidth="1"/>
    <col min="4354" max="4354" width="14.5703125" style="523" customWidth="1"/>
    <col min="4355" max="4355" width="14.42578125" style="523" customWidth="1"/>
    <col min="4356" max="4356" width="13.140625" style="523" customWidth="1"/>
    <col min="4357" max="4357" width="14.5703125" style="523" customWidth="1"/>
    <col min="4358" max="4608" width="9.140625" style="523"/>
    <col min="4609" max="4609" width="31" style="523" customWidth="1"/>
    <col min="4610" max="4610" width="14.5703125" style="523" customWidth="1"/>
    <col min="4611" max="4611" width="14.42578125" style="523" customWidth="1"/>
    <col min="4612" max="4612" width="13.140625" style="523" customWidth="1"/>
    <col min="4613" max="4613" width="14.5703125" style="523" customWidth="1"/>
    <col min="4614" max="4864" width="9.140625" style="523"/>
    <col min="4865" max="4865" width="31" style="523" customWidth="1"/>
    <col min="4866" max="4866" width="14.5703125" style="523" customWidth="1"/>
    <col min="4867" max="4867" width="14.42578125" style="523" customWidth="1"/>
    <col min="4868" max="4868" width="13.140625" style="523" customWidth="1"/>
    <col min="4869" max="4869" width="14.5703125" style="523" customWidth="1"/>
    <col min="4870" max="5120" width="9.140625" style="523"/>
    <col min="5121" max="5121" width="31" style="523" customWidth="1"/>
    <col min="5122" max="5122" width="14.5703125" style="523" customWidth="1"/>
    <col min="5123" max="5123" width="14.42578125" style="523" customWidth="1"/>
    <col min="5124" max="5124" width="13.140625" style="523" customWidth="1"/>
    <col min="5125" max="5125" width="14.5703125" style="523" customWidth="1"/>
    <col min="5126" max="5376" width="9.140625" style="523"/>
    <col min="5377" max="5377" width="31" style="523" customWidth="1"/>
    <col min="5378" max="5378" width="14.5703125" style="523" customWidth="1"/>
    <col min="5379" max="5379" width="14.42578125" style="523" customWidth="1"/>
    <col min="5380" max="5380" width="13.140625" style="523" customWidth="1"/>
    <col min="5381" max="5381" width="14.5703125" style="523" customWidth="1"/>
    <col min="5382" max="5632" width="9.140625" style="523"/>
    <col min="5633" max="5633" width="31" style="523" customWidth="1"/>
    <col min="5634" max="5634" width="14.5703125" style="523" customWidth="1"/>
    <col min="5635" max="5635" width="14.42578125" style="523" customWidth="1"/>
    <col min="5636" max="5636" width="13.140625" style="523" customWidth="1"/>
    <col min="5637" max="5637" width="14.5703125" style="523" customWidth="1"/>
    <col min="5638" max="5888" width="9.140625" style="523"/>
    <col min="5889" max="5889" width="31" style="523" customWidth="1"/>
    <col min="5890" max="5890" width="14.5703125" style="523" customWidth="1"/>
    <col min="5891" max="5891" width="14.42578125" style="523" customWidth="1"/>
    <col min="5892" max="5892" width="13.140625" style="523" customWidth="1"/>
    <col min="5893" max="5893" width="14.5703125" style="523" customWidth="1"/>
    <col min="5894" max="6144" width="9.140625" style="523"/>
    <col min="6145" max="6145" width="31" style="523" customWidth="1"/>
    <col min="6146" max="6146" width="14.5703125" style="523" customWidth="1"/>
    <col min="6147" max="6147" width="14.42578125" style="523" customWidth="1"/>
    <col min="6148" max="6148" width="13.140625" style="523" customWidth="1"/>
    <col min="6149" max="6149" width="14.5703125" style="523" customWidth="1"/>
    <col min="6150" max="6400" width="9.140625" style="523"/>
    <col min="6401" max="6401" width="31" style="523" customWidth="1"/>
    <col min="6402" max="6402" width="14.5703125" style="523" customWidth="1"/>
    <col min="6403" max="6403" width="14.42578125" style="523" customWidth="1"/>
    <col min="6404" max="6404" width="13.140625" style="523" customWidth="1"/>
    <col min="6405" max="6405" width="14.5703125" style="523" customWidth="1"/>
    <col min="6406" max="6656" width="9.140625" style="523"/>
    <col min="6657" max="6657" width="31" style="523" customWidth="1"/>
    <col min="6658" max="6658" width="14.5703125" style="523" customWidth="1"/>
    <col min="6659" max="6659" width="14.42578125" style="523" customWidth="1"/>
    <col min="6660" max="6660" width="13.140625" style="523" customWidth="1"/>
    <col min="6661" max="6661" width="14.5703125" style="523" customWidth="1"/>
    <col min="6662" max="6912" width="9.140625" style="523"/>
    <col min="6913" max="6913" width="31" style="523" customWidth="1"/>
    <col min="6914" max="6914" width="14.5703125" style="523" customWidth="1"/>
    <col min="6915" max="6915" width="14.42578125" style="523" customWidth="1"/>
    <col min="6916" max="6916" width="13.140625" style="523" customWidth="1"/>
    <col min="6917" max="6917" width="14.5703125" style="523" customWidth="1"/>
    <col min="6918" max="7168" width="9.140625" style="523"/>
    <col min="7169" max="7169" width="31" style="523" customWidth="1"/>
    <col min="7170" max="7170" width="14.5703125" style="523" customWidth="1"/>
    <col min="7171" max="7171" width="14.42578125" style="523" customWidth="1"/>
    <col min="7172" max="7172" width="13.140625" style="523" customWidth="1"/>
    <col min="7173" max="7173" width="14.5703125" style="523" customWidth="1"/>
    <col min="7174" max="7424" width="9.140625" style="523"/>
    <col min="7425" max="7425" width="31" style="523" customWidth="1"/>
    <col min="7426" max="7426" width="14.5703125" style="523" customWidth="1"/>
    <col min="7427" max="7427" width="14.42578125" style="523" customWidth="1"/>
    <col min="7428" max="7428" width="13.140625" style="523" customWidth="1"/>
    <col min="7429" max="7429" width="14.5703125" style="523" customWidth="1"/>
    <col min="7430" max="7680" width="9.140625" style="523"/>
    <col min="7681" max="7681" width="31" style="523" customWidth="1"/>
    <col min="7682" max="7682" width="14.5703125" style="523" customWidth="1"/>
    <col min="7683" max="7683" width="14.42578125" style="523" customWidth="1"/>
    <col min="7684" max="7684" width="13.140625" style="523" customWidth="1"/>
    <col min="7685" max="7685" width="14.5703125" style="523" customWidth="1"/>
    <col min="7686" max="7936" width="9.140625" style="523"/>
    <col min="7937" max="7937" width="31" style="523" customWidth="1"/>
    <col min="7938" max="7938" width="14.5703125" style="523" customWidth="1"/>
    <col min="7939" max="7939" width="14.42578125" style="523" customWidth="1"/>
    <col min="7940" max="7940" width="13.140625" style="523" customWidth="1"/>
    <col min="7941" max="7941" width="14.5703125" style="523" customWidth="1"/>
    <col min="7942" max="8192" width="9.140625" style="523"/>
    <col min="8193" max="8193" width="31" style="523" customWidth="1"/>
    <col min="8194" max="8194" width="14.5703125" style="523" customWidth="1"/>
    <col min="8195" max="8195" width="14.42578125" style="523" customWidth="1"/>
    <col min="8196" max="8196" width="13.140625" style="523" customWidth="1"/>
    <col min="8197" max="8197" width="14.5703125" style="523" customWidth="1"/>
    <col min="8198" max="8448" width="9.140625" style="523"/>
    <col min="8449" max="8449" width="31" style="523" customWidth="1"/>
    <col min="8450" max="8450" width="14.5703125" style="523" customWidth="1"/>
    <col min="8451" max="8451" width="14.42578125" style="523" customWidth="1"/>
    <col min="8452" max="8452" width="13.140625" style="523" customWidth="1"/>
    <col min="8453" max="8453" width="14.5703125" style="523" customWidth="1"/>
    <col min="8454" max="8704" width="9.140625" style="523"/>
    <col min="8705" max="8705" width="31" style="523" customWidth="1"/>
    <col min="8706" max="8706" width="14.5703125" style="523" customWidth="1"/>
    <col min="8707" max="8707" width="14.42578125" style="523" customWidth="1"/>
    <col min="8708" max="8708" width="13.140625" style="523" customWidth="1"/>
    <col min="8709" max="8709" width="14.5703125" style="523" customWidth="1"/>
    <col min="8710" max="8960" width="9.140625" style="523"/>
    <col min="8961" max="8961" width="31" style="523" customWidth="1"/>
    <col min="8962" max="8962" width="14.5703125" style="523" customWidth="1"/>
    <col min="8963" max="8963" width="14.42578125" style="523" customWidth="1"/>
    <col min="8964" max="8964" width="13.140625" style="523" customWidth="1"/>
    <col min="8965" max="8965" width="14.5703125" style="523" customWidth="1"/>
    <col min="8966" max="9216" width="9.140625" style="523"/>
    <col min="9217" max="9217" width="31" style="523" customWidth="1"/>
    <col min="9218" max="9218" width="14.5703125" style="523" customWidth="1"/>
    <col min="9219" max="9219" width="14.42578125" style="523" customWidth="1"/>
    <col min="9220" max="9220" width="13.140625" style="523" customWidth="1"/>
    <col min="9221" max="9221" width="14.5703125" style="523" customWidth="1"/>
    <col min="9222" max="9472" width="9.140625" style="523"/>
    <col min="9473" max="9473" width="31" style="523" customWidth="1"/>
    <col min="9474" max="9474" width="14.5703125" style="523" customWidth="1"/>
    <col min="9475" max="9475" width="14.42578125" style="523" customWidth="1"/>
    <col min="9476" max="9476" width="13.140625" style="523" customWidth="1"/>
    <col min="9477" max="9477" width="14.5703125" style="523" customWidth="1"/>
    <col min="9478" max="9728" width="9.140625" style="523"/>
    <col min="9729" max="9729" width="31" style="523" customWidth="1"/>
    <col min="9730" max="9730" width="14.5703125" style="523" customWidth="1"/>
    <col min="9731" max="9731" width="14.42578125" style="523" customWidth="1"/>
    <col min="9732" max="9732" width="13.140625" style="523" customWidth="1"/>
    <col min="9733" max="9733" width="14.5703125" style="523" customWidth="1"/>
    <col min="9734" max="9984" width="9.140625" style="523"/>
    <col min="9985" max="9985" width="31" style="523" customWidth="1"/>
    <col min="9986" max="9986" width="14.5703125" style="523" customWidth="1"/>
    <col min="9987" max="9987" width="14.42578125" style="523" customWidth="1"/>
    <col min="9988" max="9988" width="13.140625" style="523" customWidth="1"/>
    <col min="9989" max="9989" width="14.5703125" style="523" customWidth="1"/>
    <col min="9990" max="10240" width="9.140625" style="523"/>
    <col min="10241" max="10241" width="31" style="523" customWidth="1"/>
    <col min="10242" max="10242" width="14.5703125" style="523" customWidth="1"/>
    <col min="10243" max="10243" width="14.42578125" style="523" customWidth="1"/>
    <col min="10244" max="10244" width="13.140625" style="523" customWidth="1"/>
    <col min="10245" max="10245" width="14.5703125" style="523" customWidth="1"/>
    <col min="10246" max="10496" width="9.140625" style="523"/>
    <col min="10497" max="10497" width="31" style="523" customWidth="1"/>
    <col min="10498" max="10498" width="14.5703125" style="523" customWidth="1"/>
    <col min="10499" max="10499" width="14.42578125" style="523" customWidth="1"/>
    <col min="10500" max="10500" width="13.140625" style="523" customWidth="1"/>
    <col min="10501" max="10501" width="14.5703125" style="523" customWidth="1"/>
    <col min="10502" max="10752" width="9.140625" style="523"/>
    <col min="10753" max="10753" width="31" style="523" customWidth="1"/>
    <col min="10754" max="10754" width="14.5703125" style="523" customWidth="1"/>
    <col min="10755" max="10755" width="14.42578125" style="523" customWidth="1"/>
    <col min="10756" max="10756" width="13.140625" style="523" customWidth="1"/>
    <col min="10757" max="10757" width="14.5703125" style="523" customWidth="1"/>
    <col min="10758" max="11008" width="9.140625" style="523"/>
    <col min="11009" max="11009" width="31" style="523" customWidth="1"/>
    <col min="11010" max="11010" width="14.5703125" style="523" customWidth="1"/>
    <col min="11011" max="11011" width="14.42578125" style="523" customWidth="1"/>
    <col min="11012" max="11012" width="13.140625" style="523" customWidth="1"/>
    <col min="11013" max="11013" width="14.5703125" style="523" customWidth="1"/>
    <col min="11014" max="11264" width="9.140625" style="523"/>
    <col min="11265" max="11265" width="31" style="523" customWidth="1"/>
    <col min="11266" max="11266" width="14.5703125" style="523" customWidth="1"/>
    <col min="11267" max="11267" width="14.42578125" style="523" customWidth="1"/>
    <col min="11268" max="11268" width="13.140625" style="523" customWidth="1"/>
    <col min="11269" max="11269" width="14.5703125" style="523" customWidth="1"/>
    <col min="11270" max="11520" width="9.140625" style="523"/>
    <col min="11521" max="11521" width="31" style="523" customWidth="1"/>
    <col min="11522" max="11522" width="14.5703125" style="523" customWidth="1"/>
    <col min="11523" max="11523" width="14.42578125" style="523" customWidth="1"/>
    <col min="11524" max="11524" width="13.140625" style="523" customWidth="1"/>
    <col min="11525" max="11525" width="14.5703125" style="523" customWidth="1"/>
    <col min="11526" max="11776" width="9.140625" style="523"/>
    <col min="11777" max="11777" width="31" style="523" customWidth="1"/>
    <col min="11778" max="11778" width="14.5703125" style="523" customWidth="1"/>
    <col min="11779" max="11779" width="14.42578125" style="523" customWidth="1"/>
    <col min="11780" max="11780" width="13.140625" style="523" customWidth="1"/>
    <col min="11781" max="11781" width="14.5703125" style="523" customWidth="1"/>
    <col min="11782" max="12032" width="9.140625" style="523"/>
    <col min="12033" max="12033" width="31" style="523" customWidth="1"/>
    <col min="12034" max="12034" width="14.5703125" style="523" customWidth="1"/>
    <col min="12035" max="12035" width="14.42578125" style="523" customWidth="1"/>
    <col min="12036" max="12036" width="13.140625" style="523" customWidth="1"/>
    <col min="12037" max="12037" width="14.5703125" style="523" customWidth="1"/>
    <col min="12038" max="12288" width="9.140625" style="523"/>
    <col min="12289" max="12289" width="31" style="523" customWidth="1"/>
    <col min="12290" max="12290" width="14.5703125" style="523" customWidth="1"/>
    <col min="12291" max="12291" width="14.42578125" style="523" customWidth="1"/>
    <col min="12292" max="12292" width="13.140625" style="523" customWidth="1"/>
    <col min="12293" max="12293" width="14.5703125" style="523" customWidth="1"/>
    <col min="12294" max="12544" width="9.140625" style="523"/>
    <col min="12545" max="12545" width="31" style="523" customWidth="1"/>
    <col min="12546" max="12546" width="14.5703125" style="523" customWidth="1"/>
    <col min="12547" max="12547" width="14.42578125" style="523" customWidth="1"/>
    <col min="12548" max="12548" width="13.140625" style="523" customWidth="1"/>
    <col min="12549" max="12549" width="14.5703125" style="523" customWidth="1"/>
    <col min="12550" max="12800" width="9.140625" style="523"/>
    <col min="12801" max="12801" width="31" style="523" customWidth="1"/>
    <col min="12802" max="12802" width="14.5703125" style="523" customWidth="1"/>
    <col min="12803" max="12803" width="14.42578125" style="523" customWidth="1"/>
    <col min="12804" max="12804" width="13.140625" style="523" customWidth="1"/>
    <col min="12805" max="12805" width="14.5703125" style="523" customWidth="1"/>
    <col min="12806" max="13056" width="9.140625" style="523"/>
    <col min="13057" max="13057" width="31" style="523" customWidth="1"/>
    <col min="13058" max="13058" width="14.5703125" style="523" customWidth="1"/>
    <col min="13059" max="13059" width="14.42578125" style="523" customWidth="1"/>
    <col min="13060" max="13060" width="13.140625" style="523" customWidth="1"/>
    <col min="13061" max="13061" width="14.5703125" style="523" customWidth="1"/>
    <col min="13062" max="13312" width="9.140625" style="523"/>
    <col min="13313" max="13313" width="31" style="523" customWidth="1"/>
    <col min="13314" max="13314" width="14.5703125" style="523" customWidth="1"/>
    <col min="13315" max="13315" width="14.42578125" style="523" customWidth="1"/>
    <col min="13316" max="13316" width="13.140625" style="523" customWidth="1"/>
    <col min="13317" max="13317" width="14.5703125" style="523" customWidth="1"/>
    <col min="13318" max="13568" width="9.140625" style="523"/>
    <col min="13569" max="13569" width="31" style="523" customWidth="1"/>
    <col min="13570" max="13570" width="14.5703125" style="523" customWidth="1"/>
    <col min="13571" max="13571" width="14.42578125" style="523" customWidth="1"/>
    <col min="13572" max="13572" width="13.140625" style="523" customWidth="1"/>
    <col min="13573" max="13573" width="14.5703125" style="523" customWidth="1"/>
    <col min="13574" max="13824" width="9.140625" style="523"/>
    <col min="13825" max="13825" width="31" style="523" customWidth="1"/>
    <col min="13826" max="13826" width="14.5703125" style="523" customWidth="1"/>
    <col min="13827" max="13827" width="14.42578125" style="523" customWidth="1"/>
    <col min="13828" max="13828" width="13.140625" style="523" customWidth="1"/>
    <col min="13829" max="13829" width="14.5703125" style="523" customWidth="1"/>
    <col min="13830" max="14080" width="9.140625" style="523"/>
    <col min="14081" max="14081" width="31" style="523" customWidth="1"/>
    <col min="14082" max="14082" width="14.5703125" style="523" customWidth="1"/>
    <col min="14083" max="14083" width="14.42578125" style="523" customWidth="1"/>
    <col min="14084" max="14084" width="13.140625" style="523" customWidth="1"/>
    <col min="14085" max="14085" width="14.5703125" style="523" customWidth="1"/>
    <col min="14086" max="14336" width="9.140625" style="523"/>
    <col min="14337" max="14337" width="31" style="523" customWidth="1"/>
    <col min="14338" max="14338" width="14.5703125" style="523" customWidth="1"/>
    <col min="14339" max="14339" width="14.42578125" style="523" customWidth="1"/>
    <col min="14340" max="14340" width="13.140625" style="523" customWidth="1"/>
    <col min="14341" max="14341" width="14.5703125" style="523" customWidth="1"/>
    <col min="14342" max="14592" width="9.140625" style="523"/>
    <col min="14593" max="14593" width="31" style="523" customWidth="1"/>
    <col min="14594" max="14594" width="14.5703125" style="523" customWidth="1"/>
    <col min="14595" max="14595" width="14.42578125" style="523" customWidth="1"/>
    <col min="14596" max="14596" width="13.140625" style="523" customWidth="1"/>
    <col min="14597" max="14597" width="14.5703125" style="523" customWidth="1"/>
    <col min="14598" max="14848" width="9.140625" style="523"/>
    <col min="14849" max="14849" width="31" style="523" customWidth="1"/>
    <col min="14850" max="14850" width="14.5703125" style="523" customWidth="1"/>
    <col min="14851" max="14851" width="14.42578125" style="523" customWidth="1"/>
    <col min="14852" max="14852" width="13.140625" style="523" customWidth="1"/>
    <col min="14853" max="14853" width="14.5703125" style="523" customWidth="1"/>
    <col min="14854" max="15104" width="9.140625" style="523"/>
    <col min="15105" max="15105" width="31" style="523" customWidth="1"/>
    <col min="15106" max="15106" width="14.5703125" style="523" customWidth="1"/>
    <col min="15107" max="15107" width="14.42578125" style="523" customWidth="1"/>
    <col min="15108" max="15108" width="13.140625" style="523" customWidth="1"/>
    <col min="15109" max="15109" width="14.5703125" style="523" customWidth="1"/>
    <col min="15110" max="15360" width="9.140625" style="523"/>
    <col min="15361" max="15361" width="31" style="523" customWidth="1"/>
    <col min="15362" max="15362" width="14.5703125" style="523" customWidth="1"/>
    <col min="15363" max="15363" width="14.42578125" style="523" customWidth="1"/>
    <col min="15364" max="15364" width="13.140625" style="523" customWidth="1"/>
    <col min="15365" max="15365" width="14.5703125" style="523" customWidth="1"/>
    <col min="15366" max="15616" width="9.140625" style="523"/>
    <col min="15617" max="15617" width="31" style="523" customWidth="1"/>
    <col min="15618" max="15618" width="14.5703125" style="523" customWidth="1"/>
    <col min="15619" max="15619" width="14.42578125" style="523" customWidth="1"/>
    <col min="15620" max="15620" width="13.140625" style="523" customWidth="1"/>
    <col min="15621" max="15621" width="14.5703125" style="523" customWidth="1"/>
    <col min="15622" max="15872" width="9.140625" style="523"/>
    <col min="15873" max="15873" width="31" style="523" customWidth="1"/>
    <col min="15874" max="15874" width="14.5703125" style="523" customWidth="1"/>
    <col min="15875" max="15875" width="14.42578125" style="523" customWidth="1"/>
    <col min="15876" max="15876" width="13.140625" style="523" customWidth="1"/>
    <col min="15877" max="15877" width="14.5703125" style="523" customWidth="1"/>
    <col min="15878" max="16128" width="9.140625" style="523"/>
    <col min="16129" max="16129" width="31" style="523" customWidth="1"/>
    <col min="16130" max="16130" width="14.5703125" style="523" customWidth="1"/>
    <col min="16131" max="16131" width="14.42578125" style="523" customWidth="1"/>
    <col min="16132" max="16132" width="13.140625" style="523" customWidth="1"/>
    <col min="16133" max="16133" width="14.5703125" style="523" customWidth="1"/>
    <col min="16134" max="16384" width="9.140625" style="523"/>
  </cols>
  <sheetData>
    <row r="1" spans="1:7">
      <c r="C1" s="523" t="s">
        <v>1694</v>
      </c>
      <c r="G1" s="1383" t="s">
        <v>1020</v>
      </c>
    </row>
    <row r="5" spans="1:7">
      <c r="A5" s="2409" t="s">
        <v>1693</v>
      </c>
      <c r="B5" s="2409"/>
      <c r="C5" s="2409"/>
      <c r="D5" s="2409"/>
      <c r="E5" s="2409"/>
    </row>
    <row r="6" spans="1:7" ht="17.25" thickBot="1">
      <c r="E6" s="700" t="s">
        <v>1263</v>
      </c>
    </row>
    <row r="7" spans="1:7" ht="21.75" customHeight="1" thickTop="1">
      <c r="A7" s="898" t="s">
        <v>1294</v>
      </c>
      <c r="B7" s="2310" t="s">
        <v>235</v>
      </c>
      <c r="C7" s="2310" t="s">
        <v>3</v>
      </c>
      <c r="D7" s="2310" t="s">
        <v>1</v>
      </c>
      <c r="E7" s="709" t="s">
        <v>4</v>
      </c>
    </row>
    <row r="8" spans="1:7" ht="21.75" customHeight="1">
      <c r="A8" s="897" t="s">
        <v>1351</v>
      </c>
      <c r="B8" s="896"/>
      <c r="C8" s="896"/>
      <c r="D8" s="895"/>
      <c r="E8" s="894">
        <f>E18+E19</f>
        <v>22875000</v>
      </c>
    </row>
    <row r="9" spans="1:7" ht="21.75" customHeight="1">
      <c r="A9" s="599" t="s">
        <v>1692</v>
      </c>
      <c r="B9" s="598" t="s">
        <v>11</v>
      </c>
      <c r="C9" s="627">
        <v>60000</v>
      </c>
      <c r="D9" s="597">
        <v>15</v>
      </c>
      <c r="E9" s="595">
        <f t="shared" ref="E9:E14" si="0">D9*C9</f>
        <v>900000</v>
      </c>
    </row>
    <row r="10" spans="1:7" ht="21.75" customHeight="1">
      <c r="A10" s="599" t="s">
        <v>1691</v>
      </c>
      <c r="B10" s="598" t="s">
        <v>11</v>
      </c>
      <c r="C10" s="627">
        <v>2000</v>
      </c>
      <c r="D10" s="597">
        <v>350</v>
      </c>
      <c r="E10" s="595">
        <f t="shared" si="0"/>
        <v>700000</v>
      </c>
    </row>
    <row r="11" spans="1:7" ht="21.75" customHeight="1">
      <c r="A11" s="599" t="s">
        <v>1690</v>
      </c>
      <c r="B11" s="598" t="s">
        <v>11</v>
      </c>
      <c r="C11" s="627">
        <v>10000</v>
      </c>
      <c r="D11" s="597">
        <v>140</v>
      </c>
      <c r="E11" s="595">
        <f t="shared" si="0"/>
        <v>1400000</v>
      </c>
    </row>
    <row r="12" spans="1:7" ht="21.75" customHeight="1">
      <c r="A12" s="599" t="s">
        <v>1689</v>
      </c>
      <c r="B12" s="598" t="s">
        <v>11</v>
      </c>
      <c r="C12" s="627">
        <v>3000</v>
      </c>
      <c r="D12" s="597">
        <v>200</v>
      </c>
      <c r="E12" s="595">
        <f t="shared" si="0"/>
        <v>600000</v>
      </c>
    </row>
    <row r="13" spans="1:7" ht="21.75" customHeight="1">
      <c r="A13" s="599" t="s">
        <v>1688</v>
      </c>
      <c r="B13" s="598" t="s">
        <v>11</v>
      </c>
      <c r="C13" s="627">
        <v>15000</v>
      </c>
      <c r="D13" s="597">
        <v>75</v>
      </c>
      <c r="E13" s="595">
        <f t="shared" si="0"/>
        <v>1125000</v>
      </c>
    </row>
    <row r="14" spans="1:7" ht="21.75" customHeight="1">
      <c r="A14" s="599" t="s">
        <v>1687</v>
      </c>
      <c r="B14" s="598" t="s">
        <v>11</v>
      </c>
      <c r="C14" s="627">
        <v>150000</v>
      </c>
      <c r="D14" s="597">
        <v>2</v>
      </c>
      <c r="E14" s="595">
        <f t="shared" si="0"/>
        <v>300000</v>
      </c>
    </row>
    <row r="15" spans="1:7" ht="21.75" customHeight="1">
      <c r="A15" s="599" t="s">
        <v>1686</v>
      </c>
      <c r="B15" s="598"/>
      <c r="C15" s="627"/>
      <c r="D15" s="597"/>
      <c r="E15" s="595">
        <v>1500000</v>
      </c>
    </row>
    <row r="16" spans="1:7" ht="21.75" customHeight="1">
      <c r="A16" s="599" t="s">
        <v>1685</v>
      </c>
      <c r="B16" s="598"/>
      <c r="C16" s="627"/>
      <c r="D16" s="597"/>
      <c r="E16" s="595">
        <v>750000</v>
      </c>
    </row>
    <row r="17" spans="1:5" ht="21.75" customHeight="1">
      <c r="A17" s="599" t="s">
        <v>1684</v>
      </c>
      <c r="B17" s="598" t="s">
        <v>1683</v>
      </c>
      <c r="C17" s="627">
        <v>150000</v>
      </c>
      <c r="D17" s="597">
        <v>100</v>
      </c>
      <c r="E17" s="595">
        <f>C17*D17</f>
        <v>15000000</v>
      </c>
    </row>
    <row r="18" spans="1:5" ht="21.75" customHeight="1">
      <c r="A18" s="893" t="s">
        <v>1344</v>
      </c>
      <c r="B18" s="598"/>
      <c r="C18" s="627"/>
      <c r="D18" s="597"/>
      <c r="E18" s="879">
        <f>SUM(E9:E17)</f>
        <v>22275000</v>
      </c>
    </row>
    <row r="19" spans="1:5" ht="21.75" customHeight="1">
      <c r="A19" s="599" t="s">
        <v>1682</v>
      </c>
      <c r="B19" s="598" t="s">
        <v>1270</v>
      </c>
      <c r="C19" s="627"/>
      <c r="D19" s="597"/>
      <c r="E19" s="595">
        <f>15000000*8%/2</f>
        <v>600000</v>
      </c>
    </row>
    <row r="20" spans="1:5" ht="21.75" customHeight="1">
      <c r="A20" s="893" t="s">
        <v>1341</v>
      </c>
      <c r="B20" s="598"/>
      <c r="C20" s="627"/>
      <c r="D20" s="597"/>
      <c r="E20" s="879">
        <f>E22</f>
        <v>32000000</v>
      </c>
    </row>
    <row r="21" spans="1:5" ht="21.75" customHeight="1">
      <c r="A21" s="599" t="s">
        <v>1340</v>
      </c>
      <c r="B21" s="598" t="s">
        <v>11</v>
      </c>
      <c r="C21" s="627"/>
      <c r="D21" s="597">
        <v>8000</v>
      </c>
      <c r="E21" s="595"/>
    </row>
    <row r="22" spans="1:5" ht="21.75" customHeight="1">
      <c r="A22" s="599" t="s">
        <v>1339</v>
      </c>
      <c r="B22" s="598" t="s">
        <v>1270</v>
      </c>
      <c r="C22" s="627">
        <v>4000</v>
      </c>
      <c r="D22" s="597">
        <f>D21</f>
        <v>8000</v>
      </c>
      <c r="E22" s="595">
        <f>D22*C22</f>
        <v>32000000</v>
      </c>
    </row>
    <row r="23" spans="1:5" ht="21.75" customHeight="1">
      <c r="A23" s="893" t="s">
        <v>1337</v>
      </c>
      <c r="B23" s="598"/>
      <c r="C23" s="627"/>
      <c r="D23" s="597"/>
      <c r="E23" s="879">
        <f>E20-E8</f>
        <v>9125000</v>
      </c>
    </row>
    <row r="24" spans="1:5" ht="21.75" customHeight="1" thickBot="1">
      <c r="A24" s="789" t="s">
        <v>1269</v>
      </c>
      <c r="B24" s="892" t="s">
        <v>90</v>
      </c>
      <c r="C24" s="624"/>
      <c r="D24" s="869"/>
      <c r="E24" s="868">
        <f>E23/E20</f>
        <v>0.28515625</v>
      </c>
    </row>
    <row r="25" spans="1:5" ht="21.75" customHeight="1" thickTop="1">
      <c r="A25" s="652"/>
      <c r="B25" s="620"/>
      <c r="C25" s="620"/>
      <c r="D25" s="891"/>
      <c r="E25" s="891"/>
    </row>
    <row r="26" spans="1:5" ht="21.75" customHeight="1">
      <c r="A26" s="524" t="s">
        <v>1268</v>
      </c>
    </row>
    <row r="27" spans="1:5" ht="21.75" customHeight="1">
      <c r="A27" s="523" t="s">
        <v>1681</v>
      </c>
    </row>
    <row r="28" spans="1:5" ht="21.75" customHeight="1">
      <c r="A28" s="617" t="s">
        <v>1613</v>
      </c>
    </row>
  </sheetData>
  <mergeCells count="1">
    <mergeCell ref="A5:E5"/>
  </mergeCells>
  <pageMargins left="1" right="0.5" top="0.75" bottom="0.75" header="0.5" footer="0.5"/>
  <pageSetup paperSize="9" orientation="portrait" r:id="rId1"/>
  <headerFooter alignWithMargins="0">
    <oddFooter>&amp;CTrang 1</oddFooter>
  </headerFooter>
  <drawing r:id="rId2"/>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G36"/>
  <sheetViews>
    <sheetView zoomScaleNormal="100" workbookViewId="0">
      <selection activeCell="H20" sqref="H20"/>
    </sheetView>
  </sheetViews>
  <sheetFormatPr defaultRowHeight="16.5"/>
  <cols>
    <col min="1" max="1" width="25.42578125" style="523" customWidth="1"/>
    <col min="2" max="2" width="8.7109375" style="523" customWidth="1"/>
    <col min="3" max="3" width="13.5703125" style="523" customWidth="1"/>
    <col min="4" max="4" width="9.7109375" style="523" customWidth="1"/>
    <col min="5" max="5" width="15.5703125" style="523" customWidth="1"/>
    <col min="6" max="6" width="10.28515625" style="523" customWidth="1"/>
    <col min="7" max="7" width="13.7109375" style="523" customWidth="1"/>
    <col min="8" max="256" width="9.140625" style="523"/>
    <col min="257" max="257" width="25.42578125" style="523" customWidth="1"/>
    <col min="258" max="258" width="8.7109375" style="523" customWidth="1"/>
    <col min="259" max="259" width="10.140625" style="523" customWidth="1"/>
    <col min="260" max="260" width="9.7109375" style="523" customWidth="1"/>
    <col min="261" max="261" width="15.5703125" style="523" customWidth="1"/>
    <col min="262" max="262" width="10.28515625" style="523" customWidth="1"/>
    <col min="263" max="263" width="13.7109375" style="523" customWidth="1"/>
    <col min="264" max="512" width="9.140625" style="523"/>
    <col min="513" max="513" width="25.42578125" style="523" customWidth="1"/>
    <col min="514" max="514" width="8.7109375" style="523" customWidth="1"/>
    <col min="515" max="515" width="10.140625" style="523" customWidth="1"/>
    <col min="516" max="516" width="9.7109375" style="523" customWidth="1"/>
    <col min="517" max="517" width="15.5703125" style="523" customWidth="1"/>
    <col min="518" max="518" width="10.28515625" style="523" customWidth="1"/>
    <col min="519" max="519" width="13.7109375" style="523" customWidth="1"/>
    <col min="520" max="768" width="9.140625" style="523"/>
    <col min="769" max="769" width="25.42578125" style="523" customWidth="1"/>
    <col min="770" max="770" width="8.7109375" style="523" customWidth="1"/>
    <col min="771" max="771" width="10.140625" style="523" customWidth="1"/>
    <col min="772" max="772" width="9.7109375" style="523" customWidth="1"/>
    <col min="773" max="773" width="15.5703125" style="523" customWidth="1"/>
    <col min="774" max="774" width="10.28515625" style="523" customWidth="1"/>
    <col min="775" max="775" width="13.7109375" style="523" customWidth="1"/>
    <col min="776" max="1024" width="9.140625" style="523"/>
    <col min="1025" max="1025" width="25.42578125" style="523" customWidth="1"/>
    <col min="1026" max="1026" width="8.7109375" style="523" customWidth="1"/>
    <col min="1027" max="1027" width="10.140625" style="523" customWidth="1"/>
    <col min="1028" max="1028" width="9.7109375" style="523" customWidth="1"/>
    <col min="1029" max="1029" width="15.5703125" style="523" customWidth="1"/>
    <col min="1030" max="1030" width="10.28515625" style="523" customWidth="1"/>
    <col min="1031" max="1031" width="13.7109375" style="523" customWidth="1"/>
    <col min="1032" max="1280" width="9.140625" style="523"/>
    <col min="1281" max="1281" width="25.42578125" style="523" customWidth="1"/>
    <col min="1282" max="1282" width="8.7109375" style="523" customWidth="1"/>
    <col min="1283" max="1283" width="10.140625" style="523" customWidth="1"/>
    <col min="1284" max="1284" width="9.7109375" style="523" customWidth="1"/>
    <col min="1285" max="1285" width="15.5703125" style="523" customWidth="1"/>
    <col min="1286" max="1286" width="10.28515625" style="523" customWidth="1"/>
    <col min="1287" max="1287" width="13.7109375" style="523" customWidth="1"/>
    <col min="1288" max="1536" width="9.140625" style="523"/>
    <col min="1537" max="1537" width="25.42578125" style="523" customWidth="1"/>
    <col min="1538" max="1538" width="8.7109375" style="523" customWidth="1"/>
    <col min="1539" max="1539" width="10.140625" style="523" customWidth="1"/>
    <col min="1540" max="1540" width="9.7109375" style="523" customWidth="1"/>
    <col min="1541" max="1541" width="15.5703125" style="523" customWidth="1"/>
    <col min="1542" max="1542" width="10.28515625" style="523" customWidth="1"/>
    <col min="1543" max="1543" width="13.7109375" style="523" customWidth="1"/>
    <col min="1544" max="1792" width="9.140625" style="523"/>
    <col min="1793" max="1793" width="25.42578125" style="523" customWidth="1"/>
    <col min="1794" max="1794" width="8.7109375" style="523" customWidth="1"/>
    <col min="1795" max="1795" width="10.140625" style="523" customWidth="1"/>
    <col min="1796" max="1796" width="9.7109375" style="523" customWidth="1"/>
    <col min="1797" max="1797" width="15.5703125" style="523" customWidth="1"/>
    <col min="1798" max="1798" width="10.28515625" style="523" customWidth="1"/>
    <col min="1799" max="1799" width="13.7109375" style="523" customWidth="1"/>
    <col min="1800" max="2048" width="9.140625" style="523"/>
    <col min="2049" max="2049" width="25.42578125" style="523" customWidth="1"/>
    <col min="2050" max="2050" width="8.7109375" style="523" customWidth="1"/>
    <col min="2051" max="2051" width="10.140625" style="523" customWidth="1"/>
    <col min="2052" max="2052" width="9.7109375" style="523" customWidth="1"/>
    <col min="2053" max="2053" width="15.5703125" style="523" customWidth="1"/>
    <col min="2054" max="2054" width="10.28515625" style="523" customWidth="1"/>
    <col min="2055" max="2055" width="13.7109375" style="523" customWidth="1"/>
    <col min="2056" max="2304" width="9.140625" style="523"/>
    <col min="2305" max="2305" width="25.42578125" style="523" customWidth="1"/>
    <col min="2306" max="2306" width="8.7109375" style="523" customWidth="1"/>
    <col min="2307" max="2307" width="10.140625" style="523" customWidth="1"/>
    <col min="2308" max="2308" width="9.7109375" style="523" customWidth="1"/>
    <col min="2309" max="2309" width="15.5703125" style="523" customWidth="1"/>
    <col min="2310" max="2310" width="10.28515625" style="523" customWidth="1"/>
    <col min="2311" max="2311" width="13.7109375" style="523" customWidth="1"/>
    <col min="2312" max="2560" width="9.140625" style="523"/>
    <col min="2561" max="2561" width="25.42578125" style="523" customWidth="1"/>
    <col min="2562" max="2562" width="8.7109375" style="523" customWidth="1"/>
    <col min="2563" max="2563" width="10.140625" style="523" customWidth="1"/>
    <col min="2564" max="2564" width="9.7109375" style="523" customWidth="1"/>
    <col min="2565" max="2565" width="15.5703125" style="523" customWidth="1"/>
    <col min="2566" max="2566" width="10.28515625" style="523" customWidth="1"/>
    <col min="2567" max="2567" width="13.7109375" style="523" customWidth="1"/>
    <col min="2568" max="2816" width="9.140625" style="523"/>
    <col min="2817" max="2817" width="25.42578125" style="523" customWidth="1"/>
    <col min="2818" max="2818" width="8.7109375" style="523" customWidth="1"/>
    <col min="2819" max="2819" width="10.140625" style="523" customWidth="1"/>
    <col min="2820" max="2820" width="9.7109375" style="523" customWidth="1"/>
    <col min="2821" max="2821" width="15.5703125" style="523" customWidth="1"/>
    <col min="2822" max="2822" width="10.28515625" style="523" customWidth="1"/>
    <col min="2823" max="2823" width="13.7109375" style="523" customWidth="1"/>
    <col min="2824" max="3072" width="9.140625" style="523"/>
    <col min="3073" max="3073" width="25.42578125" style="523" customWidth="1"/>
    <col min="3074" max="3074" width="8.7109375" style="523" customWidth="1"/>
    <col min="3075" max="3075" width="10.140625" style="523" customWidth="1"/>
    <col min="3076" max="3076" width="9.7109375" style="523" customWidth="1"/>
    <col min="3077" max="3077" width="15.5703125" style="523" customWidth="1"/>
    <col min="3078" max="3078" width="10.28515625" style="523" customWidth="1"/>
    <col min="3079" max="3079" width="13.7109375" style="523" customWidth="1"/>
    <col min="3080" max="3328" width="9.140625" style="523"/>
    <col min="3329" max="3329" width="25.42578125" style="523" customWidth="1"/>
    <col min="3330" max="3330" width="8.7109375" style="523" customWidth="1"/>
    <col min="3331" max="3331" width="10.140625" style="523" customWidth="1"/>
    <col min="3332" max="3332" width="9.7109375" style="523" customWidth="1"/>
    <col min="3333" max="3333" width="15.5703125" style="523" customWidth="1"/>
    <col min="3334" max="3334" width="10.28515625" style="523" customWidth="1"/>
    <col min="3335" max="3335" width="13.7109375" style="523" customWidth="1"/>
    <col min="3336" max="3584" width="9.140625" style="523"/>
    <col min="3585" max="3585" width="25.42578125" style="523" customWidth="1"/>
    <col min="3586" max="3586" width="8.7109375" style="523" customWidth="1"/>
    <col min="3587" max="3587" width="10.140625" style="523" customWidth="1"/>
    <col min="3588" max="3588" width="9.7109375" style="523" customWidth="1"/>
    <col min="3589" max="3589" width="15.5703125" style="523" customWidth="1"/>
    <col min="3590" max="3590" width="10.28515625" style="523" customWidth="1"/>
    <col min="3591" max="3591" width="13.7109375" style="523" customWidth="1"/>
    <col min="3592" max="3840" width="9.140625" style="523"/>
    <col min="3841" max="3841" width="25.42578125" style="523" customWidth="1"/>
    <col min="3842" max="3842" width="8.7109375" style="523" customWidth="1"/>
    <col min="3843" max="3843" width="10.140625" style="523" customWidth="1"/>
    <col min="3844" max="3844" width="9.7109375" style="523" customWidth="1"/>
    <col min="3845" max="3845" width="15.5703125" style="523" customWidth="1"/>
    <col min="3846" max="3846" width="10.28515625" style="523" customWidth="1"/>
    <col min="3847" max="3847" width="13.7109375" style="523" customWidth="1"/>
    <col min="3848" max="4096" width="9.140625" style="523"/>
    <col min="4097" max="4097" width="25.42578125" style="523" customWidth="1"/>
    <col min="4098" max="4098" width="8.7109375" style="523" customWidth="1"/>
    <col min="4099" max="4099" width="10.140625" style="523" customWidth="1"/>
    <col min="4100" max="4100" width="9.7109375" style="523" customWidth="1"/>
    <col min="4101" max="4101" width="15.5703125" style="523" customWidth="1"/>
    <col min="4102" max="4102" width="10.28515625" style="523" customWidth="1"/>
    <col min="4103" max="4103" width="13.7109375" style="523" customWidth="1"/>
    <col min="4104" max="4352" width="9.140625" style="523"/>
    <col min="4353" max="4353" width="25.42578125" style="523" customWidth="1"/>
    <col min="4354" max="4354" width="8.7109375" style="523" customWidth="1"/>
    <col min="4355" max="4355" width="10.140625" style="523" customWidth="1"/>
    <col min="4356" max="4356" width="9.7109375" style="523" customWidth="1"/>
    <col min="4357" max="4357" width="15.5703125" style="523" customWidth="1"/>
    <col min="4358" max="4358" width="10.28515625" style="523" customWidth="1"/>
    <col min="4359" max="4359" width="13.7109375" style="523" customWidth="1"/>
    <col min="4360" max="4608" width="9.140625" style="523"/>
    <col min="4609" max="4609" width="25.42578125" style="523" customWidth="1"/>
    <col min="4610" max="4610" width="8.7109375" style="523" customWidth="1"/>
    <col min="4611" max="4611" width="10.140625" style="523" customWidth="1"/>
    <col min="4612" max="4612" width="9.7109375" style="523" customWidth="1"/>
    <col min="4613" max="4613" width="15.5703125" style="523" customWidth="1"/>
    <col min="4614" max="4614" width="10.28515625" style="523" customWidth="1"/>
    <col min="4615" max="4615" width="13.7109375" style="523" customWidth="1"/>
    <col min="4616" max="4864" width="9.140625" style="523"/>
    <col min="4865" max="4865" width="25.42578125" style="523" customWidth="1"/>
    <col min="4866" max="4866" width="8.7109375" style="523" customWidth="1"/>
    <col min="4867" max="4867" width="10.140625" style="523" customWidth="1"/>
    <col min="4868" max="4868" width="9.7109375" style="523" customWidth="1"/>
    <col min="4869" max="4869" width="15.5703125" style="523" customWidth="1"/>
    <col min="4870" max="4870" width="10.28515625" style="523" customWidth="1"/>
    <col min="4871" max="4871" width="13.7109375" style="523" customWidth="1"/>
    <col min="4872" max="5120" width="9.140625" style="523"/>
    <col min="5121" max="5121" width="25.42578125" style="523" customWidth="1"/>
    <col min="5122" max="5122" width="8.7109375" style="523" customWidth="1"/>
    <col min="5123" max="5123" width="10.140625" style="523" customWidth="1"/>
    <col min="5124" max="5124" width="9.7109375" style="523" customWidth="1"/>
    <col min="5125" max="5125" width="15.5703125" style="523" customWidth="1"/>
    <col min="5126" max="5126" width="10.28515625" style="523" customWidth="1"/>
    <col min="5127" max="5127" width="13.7109375" style="523" customWidth="1"/>
    <col min="5128" max="5376" width="9.140625" style="523"/>
    <col min="5377" max="5377" width="25.42578125" style="523" customWidth="1"/>
    <col min="5378" max="5378" width="8.7109375" style="523" customWidth="1"/>
    <col min="5379" max="5379" width="10.140625" style="523" customWidth="1"/>
    <col min="5380" max="5380" width="9.7109375" style="523" customWidth="1"/>
    <col min="5381" max="5381" width="15.5703125" style="523" customWidth="1"/>
    <col min="5382" max="5382" width="10.28515625" style="523" customWidth="1"/>
    <col min="5383" max="5383" width="13.7109375" style="523" customWidth="1"/>
    <col min="5384" max="5632" width="9.140625" style="523"/>
    <col min="5633" max="5633" width="25.42578125" style="523" customWidth="1"/>
    <col min="5634" max="5634" width="8.7109375" style="523" customWidth="1"/>
    <col min="5635" max="5635" width="10.140625" style="523" customWidth="1"/>
    <col min="5636" max="5636" width="9.7109375" style="523" customWidth="1"/>
    <col min="5637" max="5637" width="15.5703125" style="523" customWidth="1"/>
    <col min="5638" max="5638" width="10.28515625" style="523" customWidth="1"/>
    <col min="5639" max="5639" width="13.7109375" style="523" customWidth="1"/>
    <col min="5640" max="5888" width="9.140625" style="523"/>
    <col min="5889" max="5889" width="25.42578125" style="523" customWidth="1"/>
    <col min="5890" max="5890" width="8.7109375" style="523" customWidth="1"/>
    <col min="5891" max="5891" width="10.140625" style="523" customWidth="1"/>
    <col min="5892" max="5892" width="9.7109375" style="523" customWidth="1"/>
    <col min="5893" max="5893" width="15.5703125" style="523" customWidth="1"/>
    <col min="5894" max="5894" width="10.28515625" style="523" customWidth="1"/>
    <col min="5895" max="5895" width="13.7109375" style="523" customWidth="1"/>
    <col min="5896" max="6144" width="9.140625" style="523"/>
    <col min="6145" max="6145" width="25.42578125" style="523" customWidth="1"/>
    <col min="6146" max="6146" width="8.7109375" style="523" customWidth="1"/>
    <col min="6147" max="6147" width="10.140625" style="523" customWidth="1"/>
    <col min="6148" max="6148" width="9.7109375" style="523" customWidth="1"/>
    <col min="6149" max="6149" width="15.5703125" style="523" customWidth="1"/>
    <col min="6150" max="6150" width="10.28515625" style="523" customWidth="1"/>
    <col min="6151" max="6151" width="13.7109375" style="523" customWidth="1"/>
    <col min="6152" max="6400" width="9.140625" style="523"/>
    <col min="6401" max="6401" width="25.42578125" style="523" customWidth="1"/>
    <col min="6402" max="6402" width="8.7109375" style="523" customWidth="1"/>
    <col min="6403" max="6403" width="10.140625" style="523" customWidth="1"/>
    <col min="6404" max="6404" width="9.7109375" style="523" customWidth="1"/>
    <col min="6405" max="6405" width="15.5703125" style="523" customWidth="1"/>
    <col min="6406" max="6406" width="10.28515625" style="523" customWidth="1"/>
    <col min="6407" max="6407" width="13.7109375" style="523" customWidth="1"/>
    <col min="6408" max="6656" width="9.140625" style="523"/>
    <col min="6657" max="6657" width="25.42578125" style="523" customWidth="1"/>
    <col min="6658" max="6658" width="8.7109375" style="523" customWidth="1"/>
    <col min="6659" max="6659" width="10.140625" style="523" customWidth="1"/>
    <col min="6660" max="6660" width="9.7109375" style="523" customWidth="1"/>
    <col min="6661" max="6661" width="15.5703125" style="523" customWidth="1"/>
    <col min="6662" max="6662" width="10.28515625" style="523" customWidth="1"/>
    <col min="6663" max="6663" width="13.7109375" style="523" customWidth="1"/>
    <col min="6664" max="6912" width="9.140625" style="523"/>
    <col min="6913" max="6913" width="25.42578125" style="523" customWidth="1"/>
    <col min="6914" max="6914" width="8.7109375" style="523" customWidth="1"/>
    <col min="6915" max="6915" width="10.140625" style="523" customWidth="1"/>
    <col min="6916" max="6916" width="9.7109375" style="523" customWidth="1"/>
    <col min="6917" max="6917" width="15.5703125" style="523" customWidth="1"/>
    <col min="6918" max="6918" width="10.28515625" style="523" customWidth="1"/>
    <col min="6919" max="6919" width="13.7109375" style="523" customWidth="1"/>
    <col min="6920" max="7168" width="9.140625" style="523"/>
    <col min="7169" max="7169" width="25.42578125" style="523" customWidth="1"/>
    <col min="7170" max="7170" width="8.7109375" style="523" customWidth="1"/>
    <col min="7171" max="7171" width="10.140625" style="523" customWidth="1"/>
    <col min="7172" max="7172" width="9.7109375" style="523" customWidth="1"/>
    <col min="7173" max="7173" width="15.5703125" style="523" customWidth="1"/>
    <col min="7174" max="7174" width="10.28515625" style="523" customWidth="1"/>
    <col min="7175" max="7175" width="13.7109375" style="523" customWidth="1"/>
    <col min="7176" max="7424" width="9.140625" style="523"/>
    <col min="7425" max="7425" width="25.42578125" style="523" customWidth="1"/>
    <col min="7426" max="7426" width="8.7109375" style="523" customWidth="1"/>
    <col min="7427" max="7427" width="10.140625" style="523" customWidth="1"/>
    <col min="7428" max="7428" width="9.7109375" style="523" customWidth="1"/>
    <col min="7429" max="7429" width="15.5703125" style="523" customWidth="1"/>
    <col min="7430" max="7430" width="10.28515625" style="523" customWidth="1"/>
    <col min="7431" max="7431" width="13.7109375" style="523" customWidth="1"/>
    <col min="7432" max="7680" width="9.140625" style="523"/>
    <col min="7681" max="7681" width="25.42578125" style="523" customWidth="1"/>
    <col min="7682" max="7682" width="8.7109375" style="523" customWidth="1"/>
    <col min="7683" max="7683" width="10.140625" style="523" customWidth="1"/>
    <col min="7684" max="7684" width="9.7109375" style="523" customWidth="1"/>
    <col min="7685" max="7685" width="15.5703125" style="523" customWidth="1"/>
    <col min="7686" max="7686" width="10.28515625" style="523" customWidth="1"/>
    <col min="7687" max="7687" width="13.7109375" style="523" customWidth="1"/>
    <col min="7688" max="7936" width="9.140625" style="523"/>
    <col min="7937" max="7937" width="25.42578125" style="523" customWidth="1"/>
    <col min="7938" max="7938" width="8.7109375" style="523" customWidth="1"/>
    <col min="7939" max="7939" width="10.140625" style="523" customWidth="1"/>
    <col min="7940" max="7940" width="9.7109375" style="523" customWidth="1"/>
    <col min="7941" max="7941" width="15.5703125" style="523" customWidth="1"/>
    <col min="7942" max="7942" width="10.28515625" style="523" customWidth="1"/>
    <col min="7943" max="7943" width="13.7109375" style="523" customWidth="1"/>
    <col min="7944" max="8192" width="9.140625" style="523"/>
    <col min="8193" max="8193" width="25.42578125" style="523" customWidth="1"/>
    <col min="8194" max="8194" width="8.7109375" style="523" customWidth="1"/>
    <col min="8195" max="8195" width="10.140625" style="523" customWidth="1"/>
    <col min="8196" max="8196" width="9.7109375" style="523" customWidth="1"/>
    <col min="8197" max="8197" width="15.5703125" style="523" customWidth="1"/>
    <col min="8198" max="8198" width="10.28515625" style="523" customWidth="1"/>
    <col min="8199" max="8199" width="13.7109375" style="523" customWidth="1"/>
    <col min="8200" max="8448" width="9.140625" style="523"/>
    <col min="8449" max="8449" width="25.42578125" style="523" customWidth="1"/>
    <col min="8450" max="8450" width="8.7109375" style="523" customWidth="1"/>
    <col min="8451" max="8451" width="10.140625" style="523" customWidth="1"/>
    <col min="8452" max="8452" width="9.7109375" style="523" customWidth="1"/>
    <col min="8453" max="8453" width="15.5703125" style="523" customWidth="1"/>
    <col min="8454" max="8454" width="10.28515625" style="523" customWidth="1"/>
    <col min="8455" max="8455" width="13.7109375" style="523" customWidth="1"/>
    <col min="8456" max="8704" width="9.140625" style="523"/>
    <col min="8705" max="8705" width="25.42578125" style="523" customWidth="1"/>
    <col min="8706" max="8706" width="8.7109375" style="523" customWidth="1"/>
    <col min="8707" max="8707" width="10.140625" style="523" customWidth="1"/>
    <col min="8708" max="8708" width="9.7109375" style="523" customWidth="1"/>
    <col min="8709" max="8709" width="15.5703125" style="523" customWidth="1"/>
    <col min="8710" max="8710" width="10.28515625" style="523" customWidth="1"/>
    <col min="8711" max="8711" width="13.7109375" style="523" customWidth="1"/>
    <col min="8712" max="8960" width="9.140625" style="523"/>
    <col min="8961" max="8961" width="25.42578125" style="523" customWidth="1"/>
    <col min="8962" max="8962" width="8.7109375" style="523" customWidth="1"/>
    <col min="8963" max="8963" width="10.140625" style="523" customWidth="1"/>
    <col min="8964" max="8964" width="9.7109375" style="523" customWidth="1"/>
    <col min="8965" max="8965" width="15.5703125" style="523" customWidth="1"/>
    <col min="8966" max="8966" width="10.28515625" style="523" customWidth="1"/>
    <col min="8967" max="8967" width="13.7109375" style="523" customWidth="1"/>
    <col min="8968" max="9216" width="9.140625" style="523"/>
    <col min="9217" max="9217" width="25.42578125" style="523" customWidth="1"/>
    <col min="9218" max="9218" width="8.7109375" style="523" customWidth="1"/>
    <col min="9219" max="9219" width="10.140625" style="523" customWidth="1"/>
    <col min="9220" max="9220" width="9.7109375" style="523" customWidth="1"/>
    <col min="9221" max="9221" width="15.5703125" style="523" customWidth="1"/>
    <col min="9222" max="9222" width="10.28515625" style="523" customWidth="1"/>
    <col min="9223" max="9223" width="13.7109375" style="523" customWidth="1"/>
    <col min="9224" max="9472" width="9.140625" style="523"/>
    <col min="9473" max="9473" width="25.42578125" style="523" customWidth="1"/>
    <col min="9474" max="9474" width="8.7109375" style="523" customWidth="1"/>
    <col min="9475" max="9475" width="10.140625" style="523" customWidth="1"/>
    <col min="9476" max="9476" width="9.7109375" style="523" customWidth="1"/>
    <col min="9477" max="9477" width="15.5703125" style="523" customWidth="1"/>
    <col min="9478" max="9478" width="10.28515625" style="523" customWidth="1"/>
    <col min="9479" max="9479" width="13.7109375" style="523" customWidth="1"/>
    <col min="9480" max="9728" width="9.140625" style="523"/>
    <col min="9729" max="9729" width="25.42578125" style="523" customWidth="1"/>
    <col min="9730" max="9730" width="8.7109375" style="523" customWidth="1"/>
    <col min="9731" max="9731" width="10.140625" style="523" customWidth="1"/>
    <col min="9732" max="9732" width="9.7109375" style="523" customWidth="1"/>
    <col min="9733" max="9733" width="15.5703125" style="523" customWidth="1"/>
    <col min="9734" max="9734" width="10.28515625" style="523" customWidth="1"/>
    <col min="9735" max="9735" width="13.7109375" style="523" customWidth="1"/>
    <col min="9736" max="9984" width="9.140625" style="523"/>
    <col min="9985" max="9985" width="25.42578125" style="523" customWidth="1"/>
    <col min="9986" max="9986" width="8.7109375" style="523" customWidth="1"/>
    <col min="9987" max="9987" width="10.140625" style="523" customWidth="1"/>
    <col min="9988" max="9988" width="9.7109375" style="523" customWidth="1"/>
    <col min="9989" max="9989" width="15.5703125" style="523" customWidth="1"/>
    <col min="9990" max="9990" width="10.28515625" style="523" customWidth="1"/>
    <col min="9991" max="9991" width="13.7109375" style="523" customWidth="1"/>
    <col min="9992" max="10240" width="9.140625" style="523"/>
    <col min="10241" max="10241" width="25.42578125" style="523" customWidth="1"/>
    <col min="10242" max="10242" width="8.7109375" style="523" customWidth="1"/>
    <col min="10243" max="10243" width="10.140625" style="523" customWidth="1"/>
    <col min="10244" max="10244" width="9.7109375" style="523" customWidth="1"/>
    <col min="10245" max="10245" width="15.5703125" style="523" customWidth="1"/>
    <col min="10246" max="10246" width="10.28515625" style="523" customWidth="1"/>
    <col min="10247" max="10247" width="13.7109375" style="523" customWidth="1"/>
    <col min="10248" max="10496" width="9.140625" style="523"/>
    <col min="10497" max="10497" width="25.42578125" style="523" customWidth="1"/>
    <col min="10498" max="10498" width="8.7109375" style="523" customWidth="1"/>
    <col min="10499" max="10499" width="10.140625" style="523" customWidth="1"/>
    <col min="10500" max="10500" width="9.7109375" style="523" customWidth="1"/>
    <col min="10501" max="10501" width="15.5703125" style="523" customWidth="1"/>
    <col min="10502" max="10502" width="10.28515625" style="523" customWidth="1"/>
    <col min="10503" max="10503" width="13.7109375" style="523" customWidth="1"/>
    <col min="10504" max="10752" width="9.140625" style="523"/>
    <col min="10753" max="10753" width="25.42578125" style="523" customWidth="1"/>
    <col min="10754" max="10754" width="8.7109375" style="523" customWidth="1"/>
    <col min="10755" max="10755" width="10.140625" style="523" customWidth="1"/>
    <col min="10756" max="10756" width="9.7109375" style="523" customWidth="1"/>
    <col min="10757" max="10757" width="15.5703125" style="523" customWidth="1"/>
    <col min="10758" max="10758" width="10.28515625" style="523" customWidth="1"/>
    <col min="10759" max="10759" width="13.7109375" style="523" customWidth="1"/>
    <col min="10760" max="11008" width="9.140625" style="523"/>
    <col min="11009" max="11009" width="25.42578125" style="523" customWidth="1"/>
    <col min="11010" max="11010" width="8.7109375" style="523" customWidth="1"/>
    <col min="11011" max="11011" width="10.140625" style="523" customWidth="1"/>
    <col min="11012" max="11012" width="9.7109375" style="523" customWidth="1"/>
    <col min="11013" max="11013" width="15.5703125" style="523" customWidth="1"/>
    <col min="11014" max="11014" width="10.28515625" style="523" customWidth="1"/>
    <col min="11015" max="11015" width="13.7109375" style="523" customWidth="1"/>
    <col min="11016" max="11264" width="9.140625" style="523"/>
    <col min="11265" max="11265" width="25.42578125" style="523" customWidth="1"/>
    <col min="11266" max="11266" width="8.7109375" style="523" customWidth="1"/>
    <col min="11267" max="11267" width="10.140625" style="523" customWidth="1"/>
    <col min="11268" max="11268" width="9.7109375" style="523" customWidth="1"/>
    <col min="11269" max="11269" width="15.5703125" style="523" customWidth="1"/>
    <col min="11270" max="11270" width="10.28515625" style="523" customWidth="1"/>
    <col min="11271" max="11271" width="13.7109375" style="523" customWidth="1"/>
    <col min="11272" max="11520" width="9.140625" style="523"/>
    <col min="11521" max="11521" width="25.42578125" style="523" customWidth="1"/>
    <col min="11522" max="11522" width="8.7109375" style="523" customWidth="1"/>
    <col min="11523" max="11523" width="10.140625" style="523" customWidth="1"/>
    <col min="11524" max="11524" width="9.7109375" style="523" customWidth="1"/>
    <col min="11525" max="11525" width="15.5703125" style="523" customWidth="1"/>
    <col min="11526" max="11526" width="10.28515625" style="523" customWidth="1"/>
    <col min="11527" max="11527" width="13.7109375" style="523" customWidth="1"/>
    <col min="11528" max="11776" width="9.140625" style="523"/>
    <col min="11777" max="11777" width="25.42578125" style="523" customWidth="1"/>
    <col min="11778" max="11778" width="8.7109375" style="523" customWidth="1"/>
    <col min="11779" max="11779" width="10.140625" style="523" customWidth="1"/>
    <col min="11780" max="11780" width="9.7109375" style="523" customWidth="1"/>
    <col min="11781" max="11781" width="15.5703125" style="523" customWidth="1"/>
    <col min="11782" max="11782" width="10.28515625" style="523" customWidth="1"/>
    <col min="11783" max="11783" width="13.7109375" style="523" customWidth="1"/>
    <col min="11784" max="12032" width="9.140625" style="523"/>
    <col min="12033" max="12033" width="25.42578125" style="523" customWidth="1"/>
    <col min="12034" max="12034" width="8.7109375" style="523" customWidth="1"/>
    <col min="12035" max="12035" width="10.140625" style="523" customWidth="1"/>
    <col min="12036" max="12036" width="9.7109375" style="523" customWidth="1"/>
    <col min="12037" max="12037" width="15.5703125" style="523" customWidth="1"/>
    <col min="12038" max="12038" width="10.28515625" style="523" customWidth="1"/>
    <col min="12039" max="12039" width="13.7109375" style="523" customWidth="1"/>
    <col min="12040" max="12288" width="9.140625" style="523"/>
    <col min="12289" max="12289" width="25.42578125" style="523" customWidth="1"/>
    <col min="12290" max="12290" width="8.7109375" style="523" customWidth="1"/>
    <col min="12291" max="12291" width="10.140625" style="523" customWidth="1"/>
    <col min="12292" max="12292" width="9.7109375" style="523" customWidth="1"/>
    <col min="12293" max="12293" width="15.5703125" style="523" customWidth="1"/>
    <col min="12294" max="12294" width="10.28515625" style="523" customWidth="1"/>
    <col min="12295" max="12295" width="13.7109375" style="523" customWidth="1"/>
    <col min="12296" max="12544" width="9.140625" style="523"/>
    <col min="12545" max="12545" width="25.42578125" style="523" customWidth="1"/>
    <col min="12546" max="12546" width="8.7109375" style="523" customWidth="1"/>
    <col min="12547" max="12547" width="10.140625" style="523" customWidth="1"/>
    <col min="12548" max="12548" width="9.7109375" style="523" customWidth="1"/>
    <col min="12549" max="12549" width="15.5703125" style="523" customWidth="1"/>
    <col min="12550" max="12550" width="10.28515625" style="523" customWidth="1"/>
    <col min="12551" max="12551" width="13.7109375" style="523" customWidth="1"/>
    <col min="12552" max="12800" width="9.140625" style="523"/>
    <col min="12801" max="12801" width="25.42578125" style="523" customWidth="1"/>
    <col min="12802" max="12802" width="8.7109375" style="523" customWidth="1"/>
    <col min="12803" max="12803" width="10.140625" style="523" customWidth="1"/>
    <col min="12804" max="12804" width="9.7109375" style="523" customWidth="1"/>
    <col min="12805" max="12805" width="15.5703125" style="523" customWidth="1"/>
    <col min="12806" max="12806" width="10.28515625" style="523" customWidth="1"/>
    <col min="12807" max="12807" width="13.7109375" style="523" customWidth="1"/>
    <col min="12808" max="13056" width="9.140625" style="523"/>
    <col min="13057" max="13057" width="25.42578125" style="523" customWidth="1"/>
    <col min="13058" max="13058" width="8.7109375" style="523" customWidth="1"/>
    <col min="13059" max="13059" width="10.140625" style="523" customWidth="1"/>
    <col min="13060" max="13060" width="9.7109375" style="523" customWidth="1"/>
    <col min="13061" max="13061" width="15.5703125" style="523" customWidth="1"/>
    <col min="13062" max="13062" width="10.28515625" style="523" customWidth="1"/>
    <col min="13063" max="13063" width="13.7109375" style="523" customWidth="1"/>
    <col min="13064" max="13312" width="9.140625" style="523"/>
    <col min="13313" max="13313" width="25.42578125" style="523" customWidth="1"/>
    <col min="13314" max="13314" width="8.7109375" style="523" customWidth="1"/>
    <col min="13315" max="13315" width="10.140625" style="523" customWidth="1"/>
    <col min="13316" max="13316" width="9.7109375" style="523" customWidth="1"/>
    <col min="13317" max="13317" width="15.5703125" style="523" customWidth="1"/>
    <col min="13318" max="13318" width="10.28515625" style="523" customWidth="1"/>
    <col min="13319" max="13319" width="13.7109375" style="523" customWidth="1"/>
    <col min="13320" max="13568" width="9.140625" style="523"/>
    <col min="13569" max="13569" width="25.42578125" style="523" customWidth="1"/>
    <col min="13570" max="13570" width="8.7109375" style="523" customWidth="1"/>
    <col min="13571" max="13571" width="10.140625" style="523" customWidth="1"/>
    <col min="13572" max="13572" width="9.7109375" style="523" customWidth="1"/>
    <col min="13573" max="13573" width="15.5703125" style="523" customWidth="1"/>
    <col min="13574" max="13574" width="10.28515625" style="523" customWidth="1"/>
    <col min="13575" max="13575" width="13.7109375" style="523" customWidth="1"/>
    <col min="13576" max="13824" width="9.140625" style="523"/>
    <col min="13825" max="13825" width="25.42578125" style="523" customWidth="1"/>
    <col min="13826" max="13826" width="8.7109375" style="523" customWidth="1"/>
    <col min="13827" max="13827" width="10.140625" style="523" customWidth="1"/>
    <col min="13828" max="13828" width="9.7109375" style="523" customWidth="1"/>
    <col min="13829" max="13829" width="15.5703125" style="523" customWidth="1"/>
    <col min="13830" max="13830" width="10.28515625" style="523" customWidth="1"/>
    <col min="13831" max="13831" width="13.7109375" style="523" customWidth="1"/>
    <col min="13832" max="14080" width="9.140625" style="523"/>
    <col min="14081" max="14081" width="25.42578125" style="523" customWidth="1"/>
    <col min="14082" max="14082" width="8.7109375" style="523" customWidth="1"/>
    <col min="14083" max="14083" width="10.140625" style="523" customWidth="1"/>
    <col min="14084" max="14084" width="9.7109375" style="523" customWidth="1"/>
    <col min="14085" max="14085" width="15.5703125" style="523" customWidth="1"/>
    <col min="14086" max="14086" width="10.28515625" style="523" customWidth="1"/>
    <col min="14087" max="14087" width="13.7109375" style="523" customWidth="1"/>
    <col min="14088" max="14336" width="9.140625" style="523"/>
    <col min="14337" max="14337" width="25.42578125" style="523" customWidth="1"/>
    <col min="14338" max="14338" width="8.7109375" style="523" customWidth="1"/>
    <col min="14339" max="14339" width="10.140625" style="523" customWidth="1"/>
    <col min="14340" max="14340" width="9.7109375" style="523" customWidth="1"/>
    <col min="14341" max="14341" width="15.5703125" style="523" customWidth="1"/>
    <col min="14342" max="14342" width="10.28515625" style="523" customWidth="1"/>
    <col min="14343" max="14343" width="13.7109375" style="523" customWidth="1"/>
    <col min="14344" max="14592" width="9.140625" style="523"/>
    <col min="14593" max="14593" width="25.42578125" style="523" customWidth="1"/>
    <col min="14594" max="14594" width="8.7109375" style="523" customWidth="1"/>
    <col min="14595" max="14595" width="10.140625" style="523" customWidth="1"/>
    <col min="14596" max="14596" width="9.7109375" style="523" customWidth="1"/>
    <col min="14597" max="14597" width="15.5703125" style="523" customWidth="1"/>
    <col min="14598" max="14598" width="10.28515625" style="523" customWidth="1"/>
    <col min="14599" max="14599" width="13.7109375" style="523" customWidth="1"/>
    <col min="14600" max="14848" width="9.140625" style="523"/>
    <col min="14849" max="14849" width="25.42578125" style="523" customWidth="1"/>
    <col min="14850" max="14850" width="8.7109375" style="523" customWidth="1"/>
    <col min="14851" max="14851" width="10.140625" style="523" customWidth="1"/>
    <col min="14852" max="14852" width="9.7109375" style="523" customWidth="1"/>
    <col min="14853" max="14853" width="15.5703125" style="523" customWidth="1"/>
    <col min="14854" max="14854" width="10.28515625" style="523" customWidth="1"/>
    <col min="14855" max="14855" width="13.7109375" style="523" customWidth="1"/>
    <col min="14856" max="15104" width="9.140625" style="523"/>
    <col min="15105" max="15105" width="25.42578125" style="523" customWidth="1"/>
    <col min="15106" max="15106" width="8.7109375" style="523" customWidth="1"/>
    <col min="15107" max="15107" width="10.140625" style="523" customWidth="1"/>
    <col min="15108" max="15108" width="9.7109375" style="523" customWidth="1"/>
    <col min="15109" max="15109" width="15.5703125" style="523" customWidth="1"/>
    <col min="15110" max="15110" width="10.28515625" style="523" customWidth="1"/>
    <col min="15111" max="15111" width="13.7109375" style="523" customWidth="1"/>
    <col min="15112" max="15360" width="9.140625" style="523"/>
    <col min="15361" max="15361" width="25.42578125" style="523" customWidth="1"/>
    <col min="15362" max="15362" width="8.7109375" style="523" customWidth="1"/>
    <col min="15363" max="15363" width="10.140625" style="523" customWidth="1"/>
    <col min="15364" max="15364" width="9.7109375" style="523" customWidth="1"/>
    <col min="15365" max="15365" width="15.5703125" style="523" customWidth="1"/>
    <col min="15366" max="15366" width="10.28515625" style="523" customWidth="1"/>
    <col min="15367" max="15367" width="13.7109375" style="523" customWidth="1"/>
    <col min="15368" max="15616" width="9.140625" style="523"/>
    <col min="15617" max="15617" width="25.42578125" style="523" customWidth="1"/>
    <col min="15618" max="15618" width="8.7109375" style="523" customWidth="1"/>
    <col min="15619" max="15619" width="10.140625" style="523" customWidth="1"/>
    <col min="15620" max="15620" width="9.7109375" style="523" customWidth="1"/>
    <col min="15621" max="15621" width="15.5703125" style="523" customWidth="1"/>
    <col min="15622" max="15622" width="10.28515625" style="523" customWidth="1"/>
    <col min="15623" max="15623" width="13.7109375" style="523" customWidth="1"/>
    <col min="15624" max="15872" width="9.140625" style="523"/>
    <col min="15873" max="15873" width="25.42578125" style="523" customWidth="1"/>
    <col min="15874" max="15874" width="8.7109375" style="523" customWidth="1"/>
    <col min="15875" max="15875" width="10.140625" style="523" customWidth="1"/>
    <col min="15876" max="15876" width="9.7109375" style="523" customWidth="1"/>
    <col min="15877" max="15877" width="15.5703125" style="523" customWidth="1"/>
    <col min="15878" max="15878" width="10.28515625" style="523" customWidth="1"/>
    <col min="15879" max="15879" width="13.7109375" style="523" customWidth="1"/>
    <col min="15880" max="16128" width="9.140625" style="523"/>
    <col min="16129" max="16129" width="25.42578125" style="523" customWidth="1"/>
    <col min="16130" max="16130" width="8.7109375" style="523" customWidth="1"/>
    <col min="16131" max="16131" width="10.140625" style="523" customWidth="1"/>
    <col min="16132" max="16132" width="9.7109375" style="523" customWidth="1"/>
    <col min="16133" max="16133" width="15.5703125" style="523" customWidth="1"/>
    <col min="16134" max="16134" width="10.28515625" style="523" customWidth="1"/>
    <col min="16135" max="16135" width="13.7109375" style="523" customWidth="1"/>
    <col min="16136" max="16384" width="9.140625" style="523"/>
  </cols>
  <sheetData>
    <row r="1" spans="1:7">
      <c r="C1" s="523" t="s">
        <v>1716</v>
      </c>
      <c r="G1" s="1383" t="s">
        <v>1020</v>
      </c>
    </row>
    <row r="5" spans="1:7">
      <c r="A5" s="2409" t="s">
        <v>1715</v>
      </c>
      <c r="B5" s="2409"/>
      <c r="C5" s="2409"/>
      <c r="D5" s="2409"/>
      <c r="E5" s="2409"/>
      <c r="F5" s="2409"/>
      <c r="G5" s="2409"/>
    </row>
    <row r="6" spans="1:7" ht="17.25" thickBot="1">
      <c r="C6" s="620"/>
      <c r="F6" s="524" t="s">
        <v>1263</v>
      </c>
      <c r="G6" s="524"/>
    </row>
    <row r="7" spans="1:7" ht="17.25" thickTop="1">
      <c r="A7" s="2813" t="s">
        <v>1294</v>
      </c>
      <c r="B7" s="2816" t="s">
        <v>235</v>
      </c>
      <c r="C7" s="2816" t="s">
        <v>3</v>
      </c>
      <c r="D7" s="748" t="s">
        <v>1627</v>
      </c>
      <c r="E7" s="787"/>
      <c r="F7" s="2819" t="s">
        <v>1714</v>
      </c>
      <c r="G7" s="2820"/>
    </row>
    <row r="8" spans="1:7">
      <c r="A8" s="2814"/>
      <c r="B8" s="2817"/>
      <c r="C8" s="2817"/>
      <c r="D8" s="786" t="s">
        <v>1713</v>
      </c>
      <c r="E8" s="785"/>
      <c r="F8" s="2821"/>
      <c r="G8" s="2822"/>
    </row>
    <row r="9" spans="1:7">
      <c r="A9" s="2815"/>
      <c r="B9" s="2818"/>
      <c r="C9" s="2818"/>
      <c r="D9" s="676" t="s">
        <v>1</v>
      </c>
      <c r="E9" s="913" t="s">
        <v>4</v>
      </c>
      <c r="F9" s="676" t="s">
        <v>1</v>
      </c>
      <c r="G9" s="912" t="s">
        <v>4</v>
      </c>
    </row>
    <row r="10" spans="1:7" ht="19.5" customHeight="1">
      <c r="A10" s="905" t="s">
        <v>1351</v>
      </c>
      <c r="B10" s="904"/>
      <c r="C10" s="904"/>
      <c r="D10" s="887"/>
      <c r="E10" s="886">
        <f>E23+E24+E25</f>
        <v>167653333.33333334</v>
      </c>
      <c r="F10" s="886"/>
      <c r="G10" s="903">
        <f>G23+G24+G25</f>
        <v>98253333.333333328</v>
      </c>
    </row>
    <row r="11" spans="1:7" ht="19.5" customHeight="1">
      <c r="A11" s="599" t="s">
        <v>1712</v>
      </c>
      <c r="B11" s="911"/>
      <c r="C11" s="911"/>
      <c r="D11" s="597"/>
      <c r="E11" s="597">
        <v>40000000</v>
      </c>
      <c r="F11" s="597"/>
      <c r="G11" s="595"/>
    </row>
    <row r="12" spans="1:7" ht="19.5" customHeight="1">
      <c r="A12" s="599" t="s">
        <v>1607</v>
      </c>
      <c r="B12" s="598" t="s">
        <v>11</v>
      </c>
      <c r="C12" s="627">
        <v>4000</v>
      </c>
      <c r="D12" s="597">
        <v>3000</v>
      </c>
      <c r="E12" s="597">
        <f t="shared" ref="E12:E22" si="0">D12*C12</f>
        <v>12000000</v>
      </c>
      <c r="F12" s="597"/>
      <c r="G12" s="595"/>
    </row>
    <row r="13" spans="1:7" ht="19.5" customHeight="1">
      <c r="A13" s="599" t="s">
        <v>1349</v>
      </c>
      <c r="B13" s="598" t="s">
        <v>228</v>
      </c>
      <c r="C13" s="627">
        <v>300000</v>
      </c>
      <c r="D13" s="597">
        <v>20</v>
      </c>
      <c r="E13" s="597">
        <f t="shared" si="0"/>
        <v>6000000</v>
      </c>
      <c r="F13" s="597">
        <v>20</v>
      </c>
      <c r="G13" s="595">
        <f t="shared" ref="G13:G22" si="1">F13*C13</f>
        <v>6000000</v>
      </c>
    </row>
    <row r="14" spans="1:7" ht="19.5" customHeight="1">
      <c r="A14" s="599" t="s">
        <v>1711</v>
      </c>
      <c r="B14" s="598" t="s">
        <v>11</v>
      </c>
      <c r="C14" s="627">
        <v>10000</v>
      </c>
      <c r="D14" s="597">
        <v>200</v>
      </c>
      <c r="E14" s="597">
        <f t="shared" si="0"/>
        <v>2000000</v>
      </c>
      <c r="F14" s="597">
        <v>200</v>
      </c>
      <c r="G14" s="595">
        <f t="shared" si="1"/>
        <v>2000000</v>
      </c>
    </row>
    <row r="15" spans="1:7" ht="19.5" customHeight="1">
      <c r="A15" s="599" t="s">
        <v>1710</v>
      </c>
      <c r="B15" s="598" t="s">
        <v>11</v>
      </c>
      <c r="C15" s="627">
        <v>5000</v>
      </c>
      <c r="D15" s="597">
        <v>100</v>
      </c>
      <c r="E15" s="597">
        <f t="shared" si="0"/>
        <v>500000</v>
      </c>
      <c r="F15" s="597">
        <v>100</v>
      </c>
      <c r="G15" s="595">
        <f t="shared" si="1"/>
        <v>500000</v>
      </c>
    </row>
    <row r="16" spans="1:7" ht="19.5" customHeight="1">
      <c r="A16" s="599" t="s">
        <v>1709</v>
      </c>
      <c r="B16" s="598" t="s">
        <v>11</v>
      </c>
      <c r="C16" s="627">
        <v>17000</v>
      </c>
      <c r="D16" s="597">
        <v>200</v>
      </c>
      <c r="E16" s="597">
        <f t="shared" si="0"/>
        <v>3400000</v>
      </c>
      <c r="F16" s="597">
        <v>200</v>
      </c>
      <c r="G16" s="595">
        <f t="shared" si="1"/>
        <v>3400000</v>
      </c>
    </row>
    <row r="17" spans="1:7" ht="19.5" customHeight="1">
      <c r="A17" s="599" t="s">
        <v>1708</v>
      </c>
      <c r="B17" s="598" t="s">
        <v>11</v>
      </c>
      <c r="C17" s="627">
        <v>3000</v>
      </c>
      <c r="D17" s="597">
        <v>1500</v>
      </c>
      <c r="E17" s="597">
        <f t="shared" si="0"/>
        <v>4500000</v>
      </c>
      <c r="F17" s="597">
        <v>1500</v>
      </c>
      <c r="G17" s="595">
        <f t="shared" si="1"/>
        <v>4500000</v>
      </c>
    </row>
    <row r="18" spans="1:7" ht="19.5" customHeight="1">
      <c r="A18" s="599" t="s">
        <v>1707</v>
      </c>
      <c r="B18" s="598" t="s">
        <v>11</v>
      </c>
      <c r="C18" s="627">
        <v>10000</v>
      </c>
      <c r="D18" s="597">
        <v>300</v>
      </c>
      <c r="E18" s="597">
        <f t="shared" si="0"/>
        <v>3000000</v>
      </c>
      <c r="F18" s="597">
        <v>300</v>
      </c>
      <c r="G18" s="595">
        <f t="shared" si="1"/>
        <v>3000000</v>
      </c>
    </row>
    <row r="19" spans="1:7" ht="19.5" customHeight="1">
      <c r="A19" s="599" t="s">
        <v>1706</v>
      </c>
      <c r="B19" s="598" t="s">
        <v>11</v>
      </c>
      <c r="C19" s="627">
        <v>11000</v>
      </c>
      <c r="D19" s="597">
        <v>200</v>
      </c>
      <c r="E19" s="597">
        <f t="shared" si="0"/>
        <v>2200000</v>
      </c>
      <c r="F19" s="597">
        <v>300</v>
      </c>
      <c r="G19" s="595">
        <f t="shared" si="1"/>
        <v>3300000</v>
      </c>
    </row>
    <row r="20" spans="1:7" ht="19.5" customHeight="1">
      <c r="A20" s="599" t="s">
        <v>1705</v>
      </c>
      <c r="B20" s="598" t="s">
        <v>11</v>
      </c>
      <c r="C20" s="627">
        <v>100000</v>
      </c>
      <c r="D20" s="597">
        <v>15</v>
      </c>
      <c r="E20" s="597">
        <f t="shared" si="0"/>
        <v>1500000</v>
      </c>
      <c r="F20" s="597">
        <v>15</v>
      </c>
      <c r="G20" s="595">
        <f t="shared" si="1"/>
        <v>1500000</v>
      </c>
    </row>
    <row r="21" spans="1:7" ht="19.5" customHeight="1">
      <c r="A21" s="599" t="s">
        <v>1398</v>
      </c>
      <c r="B21" s="598" t="s">
        <v>1397</v>
      </c>
      <c r="C21" s="627">
        <v>60000</v>
      </c>
      <c r="D21" s="597">
        <v>32</v>
      </c>
      <c r="E21" s="597">
        <f t="shared" si="0"/>
        <v>1920000</v>
      </c>
      <c r="F21" s="597">
        <v>32</v>
      </c>
      <c r="G21" s="595">
        <f t="shared" si="1"/>
        <v>1920000</v>
      </c>
    </row>
    <row r="22" spans="1:7" ht="19.5" customHeight="1">
      <c r="A22" s="599" t="s">
        <v>1396</v>
      </c>
      <c r="B22" s="598" t="s">
        <v>511</v>
      </c>
      <c r="C22" s="627">
        <v>180000</v>
      </c>
      <c r="D22" s="597">
        <v>350</v>
      </c>
      <c r="E22" s="597">
        <f t="shared" si="0"/>
        <v>63000000</v>
      </c>
      <c r="F22" s="597">
        <v>300</v>
      </c>
      <c r="G22" s="595">
        <f t="shared" si="1"/>
        <v>54000000</v>
      </c>
    </row>
    <row r="23" spans="1:7" ht="19.5" customHeight="1">
      <c r="A23" s="893" t="s">
        <v>1344</v>
      </c>
      <c r="B23" s="598"/>
      <c r="C23" s="911"/>
      <c r="D23" s="876"/>
      <c r="E23" s="876">
        <f>SUM(E11:E22)</f>
        <v>140020000</v>
      </c>
      <c r="F23" s="876"/>
      <c r="G23" s="879">
        <f>SUM(G12:G22)</f>
        <v>80120000</v>
      </c>
    </row>
    <row r="24" spans="1:7" ht="19.5" customHeight="1">
      <c r="A24" s="599" t="s">
        <v>1395</v>
      </c>
      <c r="B24" s="598" t="s">
        <v>1270</v>
      </c>
      <c r="C24" s="911"/>
      <c r="D24" s="597"/>
      <c r="E24" s="597">
        <f>130000000*11%</f>
        <v>14300000</v>
      </c>
      <c r="F24" s="597"/>
      <c r="G24" s="595">
        <f>60000000*8%</f>
        <v>4800000</v>
      </c>
    </row>
    <row r="25" spans="1:7" ht="19.5" customHeight="1">
      <c r="A25" s="599" t="s">
        <v>1704</v>
      </c>
      <c r="B25" s="598"/>
      <c r="C25" s="911"/>
      <c r="D25" s="597"/>
      <c r="E25" s="597">
        <f>E11/3</f>
        <v>13333333.333333334</v>
      </c>
      <c r="F25" s="597"/>
      <c r="G25" s="595">
        <f>E25</f>
        <v>13333333.333333334</v>
      </c>
    </row>
    <row r="26" spans="1:7" ht="19.5" customHeight="1">
      <c r="A26" s="893" t="s">
        <v>1341</v>
      </c>
      <c r="B26" s="598"/>
      <c r="C26" s="911"/>
      <c r="D26" s="597"/>
      <c r="E26" s="876">
        <f>E29</f>
        <v>306000000</v>
      </c>
      <c r="F26" s="597"/>
      <c r="G26" s="879">
        <f>G29</f>
        <v>162000000</v>
      </c>
    </row>
    <row r="27" spans="1:7" ht="19.5" customHeight="1">
      <c r="A27" s="599" t="s">
        <v>1622</v>
      </c>
      <c r="B27" s="598" t="s">
        <v>11</v>
      </c>
      <c r="C27" s="911"/>
      <c r="D27" s="597">
        <v>80000</v>
      </c>
      <c r="E27" s="597"/>
      <c r="F27" s="597"/>
      <c r="G27" s="595"/>
    </row>
    <row r="28" spans="1:7" ht="19.5" customHeight="1">
      <c r="A28" s="599" t="s">
        <v>1632</v>
      </c>
      <c r="B28" s="598" t="s">
        <v>11</v>
      </c>
      <c r="C28" s="911"/>
      <c r="D28" s="597">
        <v>90000</v>
      </c>
      <c r="E28" s="597"/>
      <c r="F28" s="597">
        <v>90000</v>
      </c>
      <c r="G28" s="595"/>
    </row>
    <row r="29" spans="1:7" ht="19.5" customHeight="1">
      <c r="A29" s="599" t="s">
        <v>1703</v>
      </c>
      <c r="B29" s="598" t="s">
        <v>1270</v>
      </c>
      <c r="C29" s="627">
        <v>1800</v>
      </c>
      <c r="D29" s="597"/>
      <c r="E29" s="597">
        <f>(D27+D28)*C29</f>
        <v>306000000</v>
      </c>
      <c r="F29" s="597"/>
      <c r="G29" s="595">
        <f>F28*C29</f>
        <v>162000000</v>
      </c>
    </row>
    <row r="30" spans="1:7" ht="19.5" customHeight="1">
      <c r="A30" s="902" t="s">
        <v>1337</v>
      </c>
      <c r="B30" s="910"/>
      <c r="C30" s="910"/>
      <c r="D30" s="909"/>
      <c r="E30" s="872">
        <f>E26-E10-G10</f>
        <v>40093333.333333328</v>
      </c>
      <c r="F30" s="872"/>
      <c r="G30" s="870">
        <f>G26-G10</f>
        <v>63746666.666666672</v>
      </c>
    </row>
    <row r="31" spans="1:7" s="524" customFormat="1" ht="19.5" customHeight="1" thickBot="1">
      <c r="A31" s="789" t="s">
        <v>1269</v>
      </c>
      <c r="B31" s="892" t="s">
        <v>90</v>
      </c>
      <c r="C31" s="908"/>
      <c r="D31" s="908"/>
      <c r="E31" s="762">
        <f>E30/E26</f>
        <v>0.13102396514161219</v>
      </c>
      <c r="F31" s="908"/>
      <c r="G31" s="622">
        <f>G30/G26</f>
        <v>0.39349794238683128</v>
      </c>
    </row>
    <row r="32" spans="1:7" ht="19.5" customHeight="1" thickTop="1">
      <c r="A32" s="652"/>
      <c r="B32" s="620"/>
      <c r="C32" s="620"/>
      <c r="D32" s="907"/>
      <c r="E32" s="891"/>
      <c r="F32" s="891"/>
      <c r="G32" s="891"/>
    </row>
    <row r="33" spans="1:1" ht="19.5" customHeight="1">
      <c r="A33" s="524" t="s">
        <v>1268</v>
      </c>
    </row>
    <row r="34" spans="1:1" ht="19.5" customHeight="1">
      <c r="A34" s="523" t="s">
        <v>1702</v>
      </c>
    </row>
    <row r="35" spans="1:1" ht="19.5" customHeight="1">
      <c r="A35" s="523" t="s">
        <v>1701</v>
      </c>
    </row>
    <row r="36" spans="1:1" ht="19.5" customHeight="1">
      <c r="A36" s="617" t="s">
        <v>1700</v>
      </c>
    </row>
  </sheetData>
  <mergeCells count="5">
    <mergeCell ref="A5:G5"/>
    <mergeCell ref="A7:A9"/>
    <mergeCell ref="B7:B9"/>
    <mergeCell ref="C7:C9"/>
    <mergeCell ref="F7:G8"/>
  </mergeCells>
  <pageMargins left="0.56000000000000005" right="0.35" top="0.75" bottom="0.75" header="0.5" footer="0.5"/>
  <pageSetup paperSize="9" orientation="portrait" horizontalDpi="300" verticalDpi="300" r:id="rId1"/>
  <headerFooter alignWithMargins="0">
    <oddFooter xml:space="preserve">&amp;CTrang
</oddFooter>
  </headerFooter>
  <drawing r:id="rId2"/>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G31"/>
  <sheetViews>
    <sheetView zoomScaleNormal="100" workbookViewId="0">
      <selection activeCell="C12" sqref="C12"/>
    </sheetView>
  </sheetViews>
  <sheetFormatPr defaultRowHeight="16.5"/>
  <cols>
    <col min="1" max="1" width="30.85546875" style="523" customWidth="1"/>
    <col min="2" max="2" width="12.42578125" style="523" customWidth="1"/>
    <col min="3" max="3" width="14.85546875" style="616" customWidth="1"/>
    <col min="4" max="4" width="14.7109375" style="523" customWidth="1"/>
    <col min="5" max="5" width="15.140625" style="523" customWidth="1"/>
    <col min="6" max="256" width="9.140625" style="523"/>
    <col min="257" max="257" width="30.85546875" style="523" customWidth="1"/>
    <col min="258" max="258" width="12.42578125" style="523" customWidth="1"/>
    <col min="259" max="259" width="14.85546875" style="523" customWidth="1"/>
    <col min="260" max="260" width="14.7109375" style="523" customWidth="1"/>
    <col min="261" max="261" width="15.140625" style="523" customWidth="1"/>
    <col min="262" max="512" width="9.140625" style="523"/>
    <col min="513" max="513" width="30.85546875" style="523" customWidth="1"/>
    <col min="514" max="514" width="12.42578125" style="523" customWidth="1"/>
    <col min="515" max="515" width="14.85546875" style="523" customWidth="1"/>
    <col min="516" max="516" width="14.7109375" style="523" customWidth="1"/>
    <col min="517" max="517" width="15.140625" style="523" customWidth="1"/>
    <col min="518" max="768" width="9.140625" style="523"/>
    <col min="769" max="769" width="30.85546875" style="523" customWidth="1"/>
    <col min="770" max="770" width="12.42578125" style="523" customWidth="1"/>
    <col min="771" max="771" width="14.85546875" style="523" customWidth="1"/>
    <col min="772" max="772" width="14.7109375" style="523" customWidth="1"/>
    <col min="773" max="773" width="15.140625" style="523" customWidth="1"/>
    <col min="774" max="1024" width="9.140625" style="523"/>
    <col min="1025" max="1025" width="30.85546875" style="523" customWidth="1"/>
    <col min="1026" max="1026" width="12.42578125" style="523" customWidth="1"/>
    <col min="1027" max="1027" width="14.85546875" style="523" customWidth="1"/>
    <col min="1028" max="1028" width="14.7109375" style="523" customWidth="1"/>
    <col min="1029" max="1029" width="15.140625" style="523" customWidth="1"/>
    <col min="1030" max="1280" width="9.140625" style="523"/>
    <col min="1281" max="1281" width="30.85546875" style="523" customWidth="1"/>
    <col min="1282" max="1282" width="12.42578125" style="523" customWidth="1"/>
    <col min="1283" max="1283" width="14.85546875" style="523" customWidth="1"/>
    <col min="1284" max="1284" width="14.7109375" style="523" customWidth="1"/>
    <col min="1285" max="1285" width="15.140625" style="523" customWidth="1"/>
    <col min="1286" max="1536" width="9.140625" style="523"/>
    <col min="1537" max="1537" width="30.85546875" style="523" customWidth="1"/>
    <col min="1538" max="1538" width="12.42578125" style="523" customWidth="1"/>
    <col min="1539" max="1539" width="14.85546875" style="523" customWidth="1"/>
    <col min="1540" max="1540" width="14.7109375" style="523" customWidth="1"/>
    <col min="1541" max="1541" width="15.140625" style="523" customWidth="1"/>
    <col min="1542" max="1792" width="9.140625" style="523"/>
    <col min="1793" max="1793" width="30.85546875" style="523" customWidth="1"/>
    <col min="1794" max="1794" width="12.42578125" style="523" customWidth="1"/>
    <col min="1795" max="1795" width="14.85546875" style="523" customWidth="1"/>
    <col min="1796" max="1796" width="14.7109375" style="523" customWidth="1"/>
    <col min="1797" max="1797" width="15.140625" style="523" customWidth="1"/>
    <col min="1798" max="2048" width="9.140625" style="523"/>
    <col min="2049" max="2049" width="30.85546875" style="523" customWidth="1"/>
    <col min="2050" max="2050" width="12.42578125" style="523" customWidth="1"/>
    <col min="2051" max="2051" width="14.85546875" style="523" customWidth="1"/>
    <col min="2052" max="2052" width="14.7109375" style="523" customWidth="1"/>
    <col min="2053" max="2053" width="15.140625" style="523" customWidth="1"/>
    <col min="2054" max="2304" width="9.140625" style="523"/>
    <col min="2305" max="2305" width="30.85546875" style="523" customWidth="1"/>
    <col min="2306" max="2306" width="12.42578125" style="523" customWidth="1"/>
    <col min="2307" max="2307" width="14.85546875" style="523" customWidth="1"/>
    <col min="2308" max="2308" width="14.7109375" style="523" customWidth="1"/>
    <col min="2309" max="2309" width="15.140625" style="523" customWidth="1"/>
    <col min="2310" max="2560" width="9.140625" style="523"/>
    <col min="2561" max="2561" width="30.85546875" style="523" customWidth="1"/>
    <col min="2562" max="2562" width="12.42578125" style="523" customWidth="1"/>
    <col min="2563" max="2563" width="14.85546875" style="523" customWidth="1"/>
    <col min="2564" max="2564" width="14.7109375" style="523" customWidth="1"/>
    <col min="2565" max="2565" width="15.140625" style="523" customWidth="1"/>
    <col min="2566" max="2816" width="9.140625" style="523"/>
    <col min="2817" max="2817" width="30.85546875" style="523" customWidth="1"/>
    <col min="2818" max="2818" width="12.42578125" style="523" customWidth="1"/>
    <col min="2819" max="2819" width="14.85546875" style="523" customWidth="1"/>
    <col min="2820" max="2820" width="14.7109375" style="523" customWidth="1"/>
    <col min="2821" max="2821" width="15.140625" style="523" customWidth="1"/>
    <col min="2822" max="3072" width="9.140625" style="523"/>
    <col min="3073" max="3073" width="30.85546875" style="523" customWidth="1"/>
    <col min="3074" max="3074" width="12.42578125" style="523" customWidth="1"/>
    <col min="3075" max="3075" width="14.85546875" style="523" customWidth="1"/>
    <col min="3076" max="3076" width="14.7109375" style="523" customWidth="1"/>
    <col min="3077" max="3077" width="15.140625" style="523" customWidth="1"/>
    <col min="3078" max="3328" width="9.140625" style="523"/>
    <col min="3329" max="3329" width="30.85546875" style="523" customWidth="1"/>
    <col min="3330" max="3330" width="12.42578125" style="523" customWidth="1"/>
    <col min="3331" max="3331" width="14.85546875" style="523" customWidth="1"/>
    <col min="3332" max="3332" width="14.7109375" style="523" customWidth="1"/>
    <col min="3333" max="3333" width="15.140625" style="523" customWidth="1"/>
    <col min="3334" max="3584" width="9.140625" style="523"/>
    <col min="3585" max="3585" width="30.85546875" style="523" customWidth="1"/>
    <col min="3586" max="3586" width="12.42578125" style="523" customWidth="1"/>
    <col min="3587" max="3587" width="14.85546875" style="523" customWidth="1"/>
    <col min="3588" max="3588" width="14.7109375" style="523" customWidth="1"/>
    <col min="3589" max="3589" width="15.140625" style="523" customWidth="1"/>
    <col min="3590" max="3840" width="9.140625" style="523"/>
    <col min="3841" max="3841" width="30.85546875" style="523" customWidth="1"/>
    <col min="3842" max="3842" width="12.42578125" style="523" customWidth="1"/>
    <col min="3843" max="3843" width="14.85546875" style="523" customWidth="1"/>
    <col min="3844" max="3844" width="14.7109375" style="523" customWidth="1"/>
    <col min="3845" max="3845" width="15.140625" style="523" customWidth="1"/>
    <col min="3846" max="4096" width="9.140625" style="523"/>
    <col min="4097" max="4097" width="30.85546875" style="523" customWidth="1"/>
    <col min="4098" max="4098" width="12.42578125" style="523" customWidth="1"/>
    <col min="4099" max="4099" width="14.85546875" style="523" customWidth="1"/>
    <col min="4100" max="4100" width="14.7109375" style="523" customWidth="1"/>
    <col min="4101" max="4101" width="15.140625" style="523" customWidth="1"/>
    <col min="4102" max="4352" width="9.140625" style="523"/>
    <col min="4353" max="4353" width="30.85546875" style="523" customWidth="1"/>
    <col min="4354" max="4354" width="12.42578125" style="523" customWidth="1"/>
    <col min="4355" max="4355" width="14.85546875" style="523" customWidth="1"/>
    <col min="4356" max="4356" width="14.7109375" style="523" customWidth="1"/>
    <col min="4357" max="4357" width="15.140625" style="523" customWidth="1"/>
    <col min="4358" max="4608" width="9.140625" style="523"/>
    <col min="4609" max="4609" width="30.85546875" style="523" customWidth="1"/>
    <col min="4610" max="4610" width="12.42578125" style="523" customWidth="1"/>
    <col min="4611" max="4611" width="14.85546875" style="523" customWidth="1"/>
    <col min="4612" max="4612" width="14.7109375" style="523" customWidth="1"/>
    <col min="4613" max="4613" width="15.140625" style="523" customWidth="1"/>
    <col min="4614" max="4864" width="9.140625" style="523"/>
    <col min="4865" max="4865" width="30.85546875" style="523" customWidth="1"/>
    <col min="4866" max="4866" width="12.42578125" style="523" customWidth="1"/>
    <col min="4867" max="4867" width="14.85546875" style="523" customWidth="1"/>
    <col min="4868" max="4868" width="14.7109375" style="523" customWidth="1"/>
    <col min="4869" max="4869" width="15.140625" style="523" customWidth="1"/>
    <col min="4870" max="5120" width="9.140625" style="523"/>
    <col min="5121" max="5121" width="30.85546875" style="523" customWidth="1"/>
    <col min="5122" max="5122" width="12.42578125" style="523" customWidth="1"/>
    <col min="5123" max="5123" width="14.85546875" style="523" customWidth="1"/>
    <col min="5124" max="5124" width="14.7109375" style="523" customWidth="1"/>
    <col min="5125" max="5125" width="15.140625" style="523" customWidth="1"/>
    <col min="5126" max="5376" width="9.140625" style="523"/>
    <col min="5377" max="5377" width="30.85546875" style="523" customWidth="1"/>
    <col min="5378" max="5378" width="12.42578125" style="523" customWidth="1"/>
    <col min="5379" max="5379" width="14.85546875" style="523" customWidth="1"/>
    <col min="5380" max="5380" width="14.7109375" style="523" customWidth="1"/>
    <col min="5381" max="5381" width="15.140625" style="523" customWidth="1"/>
    <col min="5382" max="5632" width="9.140625" style="523"/>
    <col min="5633" max="5633" width="30.85546875" style="523" customWidth="1"/>
    <col min="5634" max="5634" width="12.42578125" style="523" customWidth="1"/>
    <col min="5635" max="5635" width="14.85546875" style="523" customWidth="1"/>
    <col min="5636" max="5636" width="14.7109375" style="523" customWidth="1"/>
    <col min="5637" max="5637" width="15.140625" style="523" customWidth="1"/>
    <col min="5638" max="5888" width="9.140625" style="523"/>
    <col min="5889" max="5889" width="30.85546875" style="523" customWidth="1"/>
    <col min="5890" max="5890" width="12.42578125" style="523" customWidth="1"/>
    <col min="5891" max="5891" width="14.85546875" style="523" customWidth="1"/>
    <col min="5892" max="5892" width="14.7109375" style="523" customWidth="1"/>
    <col min="5893" max="5893" width="15.140625" style="523" customWidth="1"/>
    <col min="5894" max="6144" width="9.140625" style="523"/>
    <col min="6145" max="6145" width="30.85546875" style="523" customWidth="1"/>
    <col min="6146" max="6146" width="12.42578125" style="523" customWidth="1"/>
    <col min="6147" max="6147" width="14.85546875" style="523" customWidth="1"/>
    <col min="6148" max="6148" width="14.7109375" style="523" customWidth="1"/>
    <col min="6149" max="6149" width="15.140625" style="523" customWidth="1"/>
    <col min="6150" max="6400" width="9.140625" style="523"/>
    <col min="6401" max="6401" width="30.85546875" style="523" customWidth="1"/>
    <col min="6402" max="6402" width="12.42578125" style="523" customWidth="1"/>
    <col min="6403" max="6403" width="14.85546875" style="523" customWidth="1"/>
    <col min="6404" max="6404" width="14.7109375" style="523" customWidth="1"/>
    <col min="6405" max="6405" width="15.140625" style="523" customWidth="1"/>
    <col min="6406" max="6656" width="9.140625" style="523"/>
    <col min="6657" max="6657" width="30.85546875" style="523" customWidth="1"/>
    <col min="6658" max="6658" width="12.42578125" style="523" customWidth="1"/>
    <col min="6659" max="6659" width="14.85546875" style="523" customWidth="1"/>
    <col min="6660" max="6660" width="14.7109375" style="523" customWidth="1"/>
    <col min="6661" max="6661" width="15.140625" style="523" customWidth="1"/>
    <col min="6662" max="6912" width="9.140625" style="523"/>
    <col min="6913" max="6913" width="30.85546875" style="523" customWidth="1"/>
    <col min="6914" max="6914" width="12.42578125" style="523" customWidth="1"/>
    <col min="6915" max="6915" width="14.85546875" style="523" customWidth="1"/>
    <col min="6916" max="6916" width="14.7109375" style="523" customWidth="1"/>
    <col min="6917" max="6917" width="15.140625" style="523" customWidth="1"/>
    <col min="6918" max="7168" width="9.140625" style="523"/>
    <col min="7169" max="7169" width="30.85546875" style="523" customWidth="1"/>
    <col min="7170" max="7170" width="12.42578125" style="523" customWidth="1"/>
    <col min="7171" max="7171" width="14.85546875" style="523" customWidth="1"/>
    <col min="7172" max="7172" width="14.7109375" style="523" customWidth="1"/>
    <col min="7173" max="7173" width="15.140625" style="523" customWidth="1"/>
    <col min="7174" max="7424" width="9.140625" style="523"/>
    <col min="7425" max="7425" width="30.85546875" style="523" customWidth="1"/>
    <col min="7426" max="7426" width="12.42578125" style="523" customWidth="1"/>
    <col min="7427" max="7427" width="14.85546875" style="523" customWidth="1"/>
    <col min="7428" max="7428" width="14.7109375" style="523" customWidth="1"/>
    <col min="7429" max="7429" width="15.140625" style="523" customWidth="1"/>
    <col min="7430" max="7680" width="9.140625" style="523"/>
    <col min="7681" max="7681" width="30.85546875" style="523" customWidth="1"/>
    <col min="7682" max="7682" width="12.42578125" style="523" customWidth="1"/>
    <col min="7683" max="7683" width="14.85546875" style="523" customWidth="1"/>
    <col min="7684" max="7684" width="14.7109375" style="523" customWidth="1"/>
    <col min="7685" max="7685" width="15.140625" style="523" customWidth="1"/>
    <col min="7686" max="7936" width="9.140625" style="523"/>
    <col min="7937" max="7937" width="30.85546875" style="523" customWidth="1"/>
    <col min="7938" max="7938" width="12.42578125" style="523" customWidth="1"/>
    <col min="7939" max="7939" width="14.85546875" style="523" customWidth="1"/>
    <col min="7940" max="7940" width="14.7109375" style="523" customWidth="1"/>
    <col min="7941" max="7941" width="15.140625" style="523" customWidth="1"/>
    <col min="7942" max="8192" width="9.140625" style="523"/>
    <col min="8193" max="8193" width="30.85546875" style="523" customWidth="1"/>
    <col min="8194" max="8194" width="12.42578125" style="523" customWidth="1"/>
    <col min="8195" max="8195" width="14.85546875" style="523" customWidth="1"/>
    <col min="8196" max="8196" width="14.7109375" style="523" customWidth="1"/>
    <col min="8197" max="8197" width="15.140625" style="523" customWidth="1"/>
    <col min="8198" max="8448" width="9.140625" style="523"/>
    <col min="8449" max="8449" width="30.85546875" style="523" customWidth="1"/>
    <col min="8450" max="8450" width="12.42578125" style="523" customWidth="1"/>
    <col min="8451" max="8451" width="14.85546875" style="523" customWidth="1"/>
    <col min="8452" max="8452" width="14.7109375" style="523" customWidth="1"/>
    <col min="8453" max="8453" width="15.140625" style="523" customWidth="1"/>
    <col min="8454" max="8704" width="9.140625" style="523"/>
    <col min="8705" max="8705" width="30.85546875" style="523" customWidth="1"/>
    <col min="8706" max="8706" width="12.42578125" style="523" customWidth="1"/>
    <col min="8707" max="8707" width="14.85546875" style="523" customWidth="1"/>
    <col min="8708" max="8708" width="14.7109375" style="523" customWidth="1"/>
    <col min="8709" max="8709" width="15.140625" style="523" customWidth="1"/>
    <col min="8710" max="8960" width="9.140625" style="523"/>
    <col min="8961" max="8961" width="30.85546875" style="523" customWidth="1"/>
    <col min="8962" max="8962" width="12.42578125" style="523" customWidth="1"/>
    <col min="8963" max="8963" width="14.85546875" style="523" customWidth="1"/>
    <col min="8964" max="8964" width="14.7109375" style="523" customWidth="1"/>
    <col min="8965" max="8965" width="15.140625" style="523" customWidth="1"/>
    <col min="8966" max="9216" width="9.140625" style="523"/>
    <col min="9217" max="9217" width="30.85546875" style="523" customWidth="1"/>
    <col min="9218" max="9218" width="12.42578125" style="523" customWidth="1"/>
    <col min="9219" max="9219" width="14.85546875" style="523" customWidth="1"/>
    <col min="9220" max="9220" width="14.7109375" style="523" customWidth="1"/>
    <col min="9221" max="9221" width="15.140625" style="523" customWidth="1"/>
    <col min="9222" max="9472" width="9.140625" style="523"/>
    <col min="9473" max="9473" width="30.85546875" style="523" customWidth="1"/>
    <col min="9474" max="9474" width="12.42578125" style="523" customWidth="1"/>
    <col min="9475" max="9475" width="14.85546875" style="523" customWidth="1"/>
    <col min="9476" max="9476" width="14.7109375" style="523" customWidth="1"/>
    <col min="9477" max="9477" width="15.140625" style="523" customWidth="1"/>
    <col min="9478" max="9728" width="9.140625" style="523"/>
    <col min="9729" max="9729" width="30.85546875" style="523" customWidth="1"/>
    <col min="9730" max="9730" width="12.42578125" style="523" customWidth="1"/>
    <col min="9731" max="9731" width="14.85546875" style="523" customWidth="1"/>
    <col min="9732" max="9732" width="14.7109375" style="523" customWidth="1"/>
    <col min="9733" max="9733" width="15.140625" style="523" customWidth="1"/>
    <col min="9734" max="9984" width="9.140625" style="523"/>
    <col min="9985" max="9985" width="30.85546875" style="523" customWidth="1"/>
    <col min="9986" max="9986" width="12.42578125" style="523" customWidth="1"/>
    <col min="9987" max="9987" width="14.85546875" style="523" customWidth="1"/>
    <col min="9988" max="9988" width="14.7109375" style="523" customWidth="1"/>
    <col min="9989" max="9989" width="15.140625" style="523" customWidth="1"/>
    <col min="9990" max="10240" width="9.140625" style="523"/>
    <col min="10241" max="10241" width="30.85546875" style="523" customWidth="1"/>
    <col min="10242" max="10242" width="12.42578125" style="523" customWidth="1"/>
    <col min="10243" max="10243" width="14.85546875" style="523" customWidth="1"/>
    <col min="10244" max="10244" width="14.7109375" style="523" customWidth="1"/>
    <col min="10245" max="10245" width="15.140625" style="523" customWidth="1"/>
    <col min="10246" max="10496" width="9.140625" style="523"/>
    <col min="10497" max="10497" width="30.85546875" style="523" customWidth="1"/>
    <col min="10498" max="10498" width="12.42578125" style="523" customWidth="1"/>
    <col min="10499" max="10499" width="14.85546875" style="523" customWidth="1"/>
    <col min="10500" max="10500" width="14.7109375" style="523" customWidth="1"/>
    <col min="10501" max="10501" width="15.140625" style="523" customWidth="1"/>
    <col min="10502" max="10752" width="9.140625" style="523"/>
    <col min="10753" max="10753" width="30.85546875" style="523" customWidth="1"/>
    <col min="10754" max="10754" width="12.42578125" style="523" customWidth="1"/>
    <col min="10755" max="10755" width="14.85546875" style="523" customWidth="1"/>
    <col min="10756" max="10756" width="14.7109375" style="523" customWidth="1"/>
    <col min="10757" max="10757" width="15.140625" style="523" customWidth="1"/>
    <col min="10758" max="11008" width="9.140625" style="523"/>
    <col min="11009" max="11009" width="30.85546875" style="523" customWidth="1"/>
    <col min="11010" max="11010" width="12.42578125" style="523" customWidth="1"/>
    <col min="11011" max="11011" width="14.85546875" style="523" customWidth="1"/>
    <col min="11012" max="11012" width="14.7109375" style="523" customWidth="1"/>
    <col min="11013" max="11013" width="15.140625" style="523" customWidth="1"/>
    <col min="11014" max="11264" width="9.140625" style="523"/>
    <col min="11265" max="11265" width="30.85546875" style="523" customWidth="1"/>
    <col min="11266" max="11266" width="12.42578125" style="523" customWidth="1"/>
    <col min="11267" max="11267" width="14.85546875" style="523" customWidth="1"/>
    <col min="11268" max="11268" width="14.7109375" style="523" customWidth="1"/>
    <col min="11269" max="11269" width="15.140625" style="523" customWidth="1"/>
    <col min="11270" max="11520" width="9.140625" style="523"/>
    <col min="11521" max="11521" width="30.85546875" style="523" customWidth="1"/>
    <col min="11522" max="11522" width="12.42578125" style="523" customWidth="1"/>
    <col min="11523" max="11523" width="14.85546875" style="523" customWidth="1"/>
    <col min="11524" max="11524" width="14.7109375" style="523" customWidth="1"/>
    <col min="11525" max="11525" width="15.140625" style="523" customWidth="1"/>
    <col min="11526" max="11776" width="9.140625" style="523"/>
    <col min="11777" max="11777" width="30.85546875" style="523" customWidth="1"/>
    <col min="11778" max="11778" width="12.42578125" style="523" customWidth="1"/>
    <col min="11779" max="11779" width="14.85546875" style="523" customWidth="1"/>
    <col min="11780" max="11780" width="14.7109375" style="523" customWidth="1"/>
    <col min="11781" max="11781" width="15.140625" style="523" customWidth="1"/>
    <col min="11782" max="12032" width="9.140625" style="523"/>
    <col min="12033" max="12033" width="30.85546875" style="523" customWidth="1"/>
    <col min="12034" max="12034" width="12.42578125" style="523" customWidth="1"/>
    <col min="12035" max="12035" width="14.85546875" style="523" customWidth="1"/>
    <col min="12036" max="12036" width="14.7109375" style="523" customWidth="1"/>
    <col min="12037" max="12037" width="15.140625" style="523" customWidth="1"/>
    <col min="12038" max="12288" width="9.140625" style="523"/>
    <col min="12289" max="12289" width="30.85546875" style="523" customWidth="1"/>
    <col min="12290" max="12290" width="12.42578125" style="523" customWidth="1"/>
    <col min="12291" max="12291" width="14.85546875" style="523" customWidth="1"/>
    <col min="12292" max="12292" width="14.7109375" style="523" customWidth="1"/>
    <col min="12293" max="12293" width="15.140625" style="523" customWidth="1"/>
    <col min="12294" max="12544" width="9.140625" style="523"/>
    <col min="12545" max="12545" width="30.85546875" style="523" customWidth="1"/>
    <col min="12546" max="12546" width="12.42578125" style="523" customWidth="1"/>
    <col min="12547" max="12547" width="14.85546875" style="523" customWidth="1"/>
    <col min="12548" max="12548" width="14.7109375" style="523" customWidth="1"/>
    <col min="12549" max="12549" width="15.140625" style="523" customWidth="1"/>
    <col min="12550" max="12800" width="9.140625" style="523"/>
    <col min="12801" max="12801" width="30.85546875" style="523" customWidth="1"/>
    <col min="12802" max="12802" width="12.42578125" style="523" customWidth="1"/>
    <col min="12803" max="12803" width="14.85546875" style="523" customWidth="1"/>
    <col min="12804" max="12804" width="14.7109375" style="523" customWidth="1"/>
    <col min="12805" max="12805" width="15.140625" style="523" customWidth="1"/>
    <col min="12806" max="13056" width="9.140625" style="523"/>
    <col min="13057" max="13057" width="30.85546875" style="523" customWidth="1"/>
    <col min="13058" max="13058" width="12.42578125" style="523" customWidth="1"/>
    <col min="13059" max="13059" width="14.85546875" style="523" customWidth="1"/>
    <col min="13060" max="13060" width="14.7109375" style="523" customWidth="1"/>
    <col min="13061" max="13061" width="15.140625" style="523" customWidth="1"/>
    <col min="13062" max="13312" width="9.140625" style="523"/>
    <col min="13313" max="13313" width="30.85546875" style="523" customWidth="1"/>
    <col min="13314" max="13314" width="12.42578125" style="523" customWidth="1"/>
    <col min="13315" max="13315" width="14.85546875" style="523" customWidth="1"/>
    <col min="13316" max="13316" width="14.7109375" style="523" customWidth="1"/>
    <col min="13317" max="13317" width="15.140625" style="523" customWidth="1"/>
    <col min="13318" max="13568" width="9.140625" style="523"/>
    <col min="13569" max="13569" width="30.85546875" style="523" customWidth="1"/>
    <col min="13570" max="13570" width="12.42578125" style="523" customWidth="1"/>
    <col min="13571" max="13571" width="14.85546875" style="523" customWidth="1"/>
    <col min="13572" max="13572" width="14.7109375" style="523" customWidth="1"/>
    <col min="13573" max="13573" width="15.140625" style="523" customWidth="1"/>
    <col min="13574" max="13824" width="9.140625" style="523"/>
    <col min="13825" max="13825" width="30.85546875" style="523" customWidth="1"/>
    <col min="13826" max="13826" width="12.42578125" style="523" customWidth="1"/>
    <col min="13827" max="13827" width="14.85546875" style="523" customWidth="1"/>
    <col min="13828" max="13828" width="14.7109375" style="523" customWidth="1"/>
    <col min="13829" max="13829" width="15.140625" style="523" customWidth="1"/>
    <col min="13830" max="14080" width="9.140625" style="523"/>
    <col min="14081" max="14081" width="30.85546875" style="523" customWidth="1"/>
    <col min="14082" max="14082" width="12.42578125" style="523" customWidth="1"/>
    <col min="14083" max="14083" width="14.85546875" style="523" customWidth="1"/>
    <col min="14084" max="14084" width="14.7109375" style="523" customWidth="1"/>
    <col min="14085" max="14085" width="15.140625" style="523" customWidth="1"/>
    <col min="14086" max="14336" width="9.140625" style="523"/>
    <col min="14337" max="14337" width="30.85546875" style="523" customWidth="1"/>
    <col min="14338" max="14338" width="12.42578125" style="523" customWidth="1"/>
    <col min="14339" max="14339" width="14.85546875" style="523" customWidth="1"/>
    <col min="14340" max="14340" width="14.7109375" style="523" customWidth="1"/>
    <col min="14341" max="14341" width="15.140625" style="523" customWidth="1"/>
    <col min="14342" max="14592" width="9.140625" style="523"/>
    <col min="14593" max="14593" width="30.85546875" style="523" customWidth="1"/>
    <col min="14594" max="14594" width="12.42578125" style="523" customWidth="1"/>
    <col min="14595" max="14595" width="14.85546875" style="523" customWidth="1"/>
    <col min="14596" max="14596" width="14.7109375" style="523" customWidth="1"/>
    <col min="14597" max="14597" width="15.140625" style="523" customWidth="1"/>
    <col min="14598" max="14848" width="9.140625" style="523"/>
    <col min="14849" max="14849" width="30.85546875" style="523" customWidth="1"/>
    <col min="14850" max="14850" width="12.42578125" style="523" customWidth="1"/>
    <col min="14851" max="14851" width="14.85546875" style="523" customWidth="1"/>
    <col min="14852" max="14852" width="14.7109375" style="523" customWidth="1"/>
    <col min="14853" max="14853" width="15.140625" style="523" customWidth="1"/>
    <col min="14854" max="15104" width="9.140625" style="523"/>
    <col min="15105" max="15105" width="30.85546875" style="523" customWidth="1"/>
    <col min="15106" max="15106" width="12.42578125" style="523" customWidth="1"/>
    <col min="15107" max="15107" width="14.85546875" style="523" customWidth="1"/>
    <col min="15108" max="15108" width="14.7109375" style="523" customWidth="1"/>
    <col min="15109" max="15109" width="15.140625" style="523" customWidth="1"/>
    <col min="15110" max="15360" width="9.140625" style="523"/>
    <col min="15361" max="15361" width="30.85546875" style="523" customWidth="1"/>
    <col min="15362" max="15362" width="12.42578125" style="523" customWidth="1"/>
    <col min="15363" max="15363" width="14.85546875" style="523" customWidth="1"/>
    <col min="15364" max="15364" width="14.7109375" style="523" customWidth="1"/>
    <col min="15365" max="15365" width="15.140625" style="523" customWidth="1"/>
    <col min="15366" max="15616" width="9.140625" style="523"/>
    <col min="15617" max="15617" width="30.85546875" style="523" customWidth="1"/>
    <col min="15618" max="15618" width="12.42578125" style="523" customWidth="1"/>
    <col min="15619" max="15619" width="14.85546875" style="523" customWidth="1"/>
    <col min="15620" max="15620" width="14.7109375" style="523" customWidth="1"/>
    <col min="15621" max="15621" width="15.140625" style="523" customWidth="1"/>
    <col min="15622" max="15872" width="9.140625" style="523"/>
    <col min="15873" max="15873" width="30.85546875" style="523" customWidth="1"/>
    <col min="15874" max="15874" width="12.42578125" style="523" customWidth="1"/>
    <col min="15875" max="15875" width="14.85546875" style="523" customWidth="1"/>
    <col min="15876" max="15876" width="14.7109375" style="523" customWidth="1"/>
    <col min="15877" max="15877" width="15.140625" style="523" customWidth="1"/>
    <col min="15878" max="16128" width="9.140625" style="523"/>
    <col min="16129" max="16129" width="30.85546875" style="523" customWidth="1"/>
    <col min="16130" max="16130" width="12.42578125" style="523" customWidth="1"/>
    <col min="16131" max="16131" width="14.85546875" style="523" customWidth="1"/>
    <col min="16132" max="16132" width="14.7109375" style="523" customWidth="1"/>
    <col min="16133" max="16133" width="15.140625" style="523" customWidth="1"/>
    <col min="16134" max="16384" width="9.140625" style="523"/>
  </cols>
  <sheetData>
    <row r="1" spans="1:7">
      <c r="C1" s="616" t="s">
        <v>2342</v>
      </c>
      <c r="G1" s="1383" t="s">
        <v>1020</v>
      </c>
    </row>
    <row r="5" spans="1:7">
      <c r="A5" s="2409" t="s">
        <v>2343</v>
      </c>
      <c r="B5" s="2409"/>
      <c r="C5" s="2409"/>
      <c r="D5" s="2409"/>
      <c r="E5" s="2409"/>
    </row>
    <row r="6" spans="1:7" ht="17.25" thickBot="1">
      <c r="C6" s="621"/>
      <c r="D6" s="524"/>
      <c r="E6" s="2302" t="s">
        <v>1263</v>
      </c>
    </row>
    <row r="7" spans="1:7" ht="20.25" customHeight="1" thickTop="1">
      <c r="A7" s="930" t="s">
        <v>1294</v>
      </c>
      <c r="B7" s="929" t="s">
        <v>235</v>
      </c>
      <c r="C7" s="928" t="s">
        <v>3</v>
      </c>
      <c r="D7" s="2310" t="s">
        <v>1</v>
      </c>
      <c r="E7" s="709" t="s">
        <v>4</v>
      </c>
    </row>
    <row r="8" spans="1:7" ht="20.25" customHeight="1">
      <c r="A8" s="905" t="s">
        <v>1351</v>
      </c>
      <c r="B8" s="904"/>
      <c r="C8" s="916"/>
      <c r="D8" s="886"/>
      <c r="E8" s="903">
        <f>SUM(E21+E22)</f>
        <v>103553333.33333333</v>
      </c>
    </row>
    <row r="9" spans="1:7" ht="20.25" customHeight="1">
      <c r="A9" s="599" t="s">
        <v>1692</v>
      </c>
      <c r="B9" s="598" t="s">
        <v>1728</v>
      </c>
      <c r="C9" s="627">
        <v>160</v>
      </c>
      <c r="D9" s="597">
        <v>30000</v>
      </c>
      <c r="E9" s="595">
        <f t="shared" ref="E9:E19" si="0">D9*C9</f>
        <v>4800000</v>
      </c>
    </row>
    <row r="10" spans="1:7" ht="20.25" customHeight="1">
      <c r="A10" s="599" t="s">
        <v>1691</v>
      </c>
      <c r="B10" s="598" t="s">
        <v>11</v>
      </c>
      <c r="C10" s="627">
        <v>2000</v>
      </c>
      <c r="D10" s="597">
        <v>1000</v>
      </c>
      <c r="E10" s="595">
        <f t="shared" si="0"/>
        <v>2000000</v>
      </c>
    </row>
    <row r="11" spans="1:7" ht="20.25" customHeight="1">
      <c r="A11" s="599" t="s">
        <v>1727</v>
      </c>
      <c r="B11" s="598" t="s">
        <v>228</v>
      </c>
      <c r="C11" s="627">
        <v>450000</v>
      </c>
      <c r="D11" s="597">
        <v>40</v>
      </c>
      <c r="E11" s="595">
        <f t="shared" si="0"/>
        <v>18000000</v>
      </c>
    </row>
    <row r="12" spans="1:7" ht="20.25" customHeight="1">
      <c r="A12" s="599" t="s">
        <v>1738</v>
      </c>
      <c r="B12" s="598" t="s">
        <v>11</v>
      </c>
      <c r="C12" s="627">
        <v>10000</v>
      </c>
      <c r="D12" s="597">
        <v>300</v>
      </c>
      <c r="E12" s="595">
        <f t="shared" si="0"/>
        <v>3000000</v>
      </c>
    </row>
    <row r="13" spans="1:7" ht="20.25" customHeight="1">
      <c r="A13" s="599" t="s">
        <v>1748</v>
      </c>
      <c r="B13" s="598" t="s">
        <v>11</v>
      </c>
      <c r="C13" s="627">
        <v>10000</v>
      </c>
      <c r="D13" s="597">
        <v>300</v>
      </c>
      <c r="E13" s="595">
        <f t="shared" si="0"/>
        <v>3000000</v>
      </c>
    </row>
    <row r="14" spans="1:7" ht="20.25" customHeight="1">
      <c r="A14" s="599" t="s">
        <v>1724</v>
      </c>
      <c r="B14" s="598" t="s">
        <v>11</v>
      </c>
      <c r="C14" s="627">
        <v>3000</v>
      </c>
      <c r="D14" s="597">
        <v>500</v>
      </c>
      <c r="E14" s="595">
        <f t="shared" si="0"/>
        <v>1500000</v>
      </c>
    </row>
    <row r="15" spans="1:7" ht="20.25" customHeight="1">
      <c r="A15" s="599" t="s">
        <v>1723</v>
      </c>
      <c r="B15" s="598" t="s">
        <v>11</v>
      </c>
      <c r="C15" s="627">
        <v>15000</v>
      </c>
      <c r="D15" s="597">
        <v>300</v>
      </c>
      <c r="E15" s="595">
        <f t="shared" si="0"/>
        <v>4500000</v>
      </c>
    </row>
    <row r="16" spans="1:7" ht="20.25" customHeight="1">
      <c r="A16" s="599" t="s">
        <v>1747</v>
      </c>
      <c r="B16" s="598" t="s">
        <v>513</v>
      </c>
      <c r="C16" s="627">
        <v>200000</v>
      </c>
      <c r="D16" s="597">
        <v>3</v>
      </c>
      <c r="E16" s="595">
        <f t="shared" si="0"/>
        <v>600000</v>
      </c>
    </row>
    <row r="17" spans="1:5" ht="20.25" customHeight="1">
      <c r="A17" s="599" t="s">
        <v>1400</v>
      </c>
      <c r="B17" s="598" t="s">
        <v>11</v>
      </c>
      <c r="C17" s="627">
        <v>160000</v>
      </c>
      <c r="D17" s="597">
        <v>7</v>
      </c>
      <c r="E17" s="595">
        <f t="shared" si="0"/>
        <v>1120000</v>
      </c>
    </row>
    <row r="18" spans="1:5" ht="20.25" customHeight="1">
      <c r="A18" s="599" t="s">
        <v>1720</v>
      </c>
      <c r="B18" s="598" t="s">
        <v>1397</v>
      </c>
      <c r="C18" s="627">
        <v>70000</v>
      </c>
      <c r="D18" s="597">
        <v>120</v>
      </c>
      <c r="E18" s="595">
        <f t="shared" si="0"/>
        <v>8400000</v>
      </c>
    </row>
    <row r="19" spans="1:5" ht="20.25" customHeight="1">
      <c r="A19" s="599" t="s">
        <v>1719</v>
      </c>
      <c r="B19" s="598" t="s">
        <v>511</v>
      </c>
      <c r="C19" s="627">
        <v>180000</v>
      </c>
      <c r="D19" s="597">
        <v>300</v>
      </c>
      <c r="E19" s="595">
        <f t="shared" si="0"/>
        <v>54000000</v>
      </c>
    </row>
    <row r="20" spans="1:5" ht="20.25" customHeight="1">
      <c r="A20" s="599" t="s">
        <v>1718</v>
      </c>
      <c r="B20" s="598"/>
      <c r="C20" s="627"/>
      <c r="D20" s="597"/>
      <c r="E20" s="595">
        <v>500000</v>
      </c>
    </row>
    <row r="21" spans="1:5" ht="20.25" customHeight="1">
      <c r="A21" s="893" t="s">
        <v>1344</v>
      </c>
      <c r="B21" s="598"/>
      <c r="C21" s="627"/>
      <c r="D21" s="876"/>
      <c r="E21" s="879">
        <f>SUM(E9:E20)</f>
        <v>101420000</v>
      </c>
    </row>
    <row r="22" spans="1:5" ht="20.25" customHeight="1">
      <c r="A22" s="599" t="s">
        <v>1395</v>
      </c>
      <c r="B22" s="598" t="s">
        <v>1270</v>
      </c>
      <c r="C22" s="627"/>
      <c r="D22" s="597"/>
      <c r="E22" s="595">
        <f>80000000*8%/3</f>
        <v>2133333.3333333335</v>
      </c>
    </row>
    <row r="23" spans="1:5" ht="20.25" customHeight="1">
      <c r="A23" s="893" t="s">
        <v>1341</v>
      </c>
      <c r="B23" s="598"/>
      <c r="C23" s="627"/>
      <c r="D23" s="597"/>
      <c r="E23" s="879">
        <f>E25</f>
        <v>120000000</v>
      </c>
    </row>
    <row r="24" spans="1:5" ht="20.25" customHeight="1">
      <c r="A24" s="599" t="s">
        <v>1340</v>
      </c>
      <c r="B24" s="598" t="s">
        <v>1287</v>
      </c>
      <c r="C24" s="627"/>
      <c r="D24" s="597">
        <v>30000</v>
      </c>
      <c r="E24" s="595"/>
    </row>
    <row r="25" spans="1:5" ht="20.25" customHeight="1">
      <c r="A25" s="599" t="s">
        <v>1339</v>
      </c>
      <c r="B25" s="598" t="s">
        <v>1270</v>
      </c>
      <c r="C25" s="627">
        <v>4000</v>
      </c>
      <c r="D25" s="597">
        <f>D24</f>
        <v>30000</v>
      </c>
      <c r="E25" s="595">
        <f>D24*C25</f>
        <v>120000000</v>
      </c>
    </row>
    <row r="26" spans="1:5" ht="20.25" customHeight="1">
      <c r="A26" s="902" t="s">
        <v>1337</v>
      </c>
      <c r="B26" s="910"/>
      <c r="C26" s="914"/>
      <c r="D26" s="872"/>
      <c r="E26" s="870">
        <f>E23-E8</f>
        <v>16446666.666666672</v>
      </c>
    </row>
    <row r="27" spans="1:5" ht="20.25" customHeight="1" thickBot="1">
      <c r="A27" s="789" t="s">
        <v>1269</v>
      </c>
      <c r="B27" s="892" t="s">
        <v>90</v>
      </c>
      <c r="C27" s="624"/>
      <c r="D27" s="869"/>
      <c r="E27" s="868">
        <f>E26/E23</f>
        <v>0.1370555555555556</v>
      </c>
    </row>
    <row r="28" spans="1:5" ht="20.25" customHeight="1" thickTop="1">
      <c r="A28" s="652"/>
      <c r="B28" s="620"/>
      <c r="C28" s="621"/>
      <c r="D28" s="927"/>
      <c r="E28" s="927"/>
    </row>
    <row r="29" spans="1:5" ht="20.25" customHeight="1">
      <c r="A29" s="524" t="s">
        <v>1268</v>
      </c>
    </row>
    <row r="30" spans="1:5" ht="20.25" customHeight="1">
      <c r="A30" s="523" t="s">
        <v>1746</v>
      </c>
    </row>
    <row r="31" spans="1:5" ht="20.25" customHeight="1">
      <c r="A31" s="617" t="s">
        <v>1613</v>
      </c>
    </row>
  </sheetData>
  <mergeCells count="1">
    <mergeCell ref="A5:E5"/>
  </mergeCells>
  <pageMargins left="1" right="0.5" top="0.75" bottom="0.75" header="0.5" footer="0.5"/>
  <pageSetup paperSize="9" orientation="portrait" r:id="rId1"/>
  <headerFooter alignWithMargins="0">
    <oddFooter>&amp;CTrang</oddFooter>
  </headerFooter>
  <drawing r:id="rId2"/>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G32"/>
  <sheetViews>
    <sheetView zoomScaleNormal="100" workbookViewId="0">
      <selection activeCell="A4" sqref="A4:XFD4"/>
    </sheetView>
  </sheetViews>
  <sheetFormatPr defaultRowHeight="16.5"/>
  <cols>
    <col min="1" max="1" width="28.7109375" style="523" customWidth="1"/>
    <col min="2" max="2" width="12.42578125" style="523" customWidth="1"/>
    <col min="3" max="3" width="13.140625" style="616" customWidth="1"/>
    <col min="4" max="4" width="16" style="523" customWidth="1"/>
    <col min="5" max="5" width="17.42578125" style="523" customWidth="1"/>
    <col min="6" max="256" width="9.140625" style="523"/>
    <col min="257" max="257" width="28.7109375" style="523" customWidth="1"/>
    <col min="258" max="258" width="12.42578125" style="523" customWidth="1"/>
    <col min="259" max="259" width="13.140625" style="523" customWidth="1"/>
    <col min="260" max="260" width="16" style="523" customWidth="1"/>
    <col min="261" max="261" width="17.42578125" style="523" customWidth="1"/>
    <col min="262" max="512" width="9.140625" style="523"/>
    <col min="513" max="513" width="28.7109375" style="523" customWidth="1"/>
    <col min="514" max="514" width="12.42578125" style="523" customWidth="1"/>
    <col min="515" max="515" width="13.140625" style="523" customWidth="1"/>
    <col min="516" max="516" width="16" style="523" customWidth="1"/>
    <col min="517" max="517" width="17.42578125" style="523" customWidth="1"/>
    <col min="518" max="768" width="9.140625" style="523"/>
    <col min="769" max="769" width="28.7109375" style="523" customWidth="1"/>
    <col min="770" max="770" width="12.42578125" style="523" customWidth="1"/>
    <col min="771" max="771" width="13.140625" style="523" customWidth="1"/>
    <col min="772" max="772" width="16" style="523" customWidth="1"/>
    <col min="773" max="773" width="17.42578125" style="523" customWidth="1"/>
    <col min="774" max="1024" width="9.140625" style="523"/>
    <col min="1025" max="1025" width="28.7109375" style="523" customWidth="1"/>
    <col min="1026" max="1026" width="12.42578125" style="523" customWidth="1"/>
    <col min="1027" max="1027" width="13.140625" style="523" customWidth="1"/>
    <col min="1028" max="1028" width="16" style="523" customWidth="1"/>
    <col min="1029" max="1029" width="17.42578125" style="523" customWidth="1"/>
    <col min="1030" max="1280" width="9.140625" style="523"/>
    <col min="1281" max="1281" width="28.7109375" style="523" customWidth="1"/>
    <col min="1282" max="1282" width="12.42578125" style="523" customWidth="1"/>
    <col min="1283" max="1283" width="13.140625" style="523" customWidth="1"/>
    <col min="1284" max="1284" width="16" style="523" customWidth="1"/>
    <col min="1285" max="1285" width="17.42578125" style="523" customWidth="1"/>
    <col min="1286" max="1536" width="9.140625" style="523"/>
    <col min="1537" max="1537" width="28.7109375" style="523" customWidth="1"/>
    <col min="1538" max="1538" width="12.42578125" style="523" customWidth="1"/>
    <col min="1539" max="1539" width="13.140625" style="523" customWidth="1"/>
    <col min="1540" max="1540" width="16" style="523" customWidth="1"/>
    <col min="1541" max="1541" width="17.42578125" style="523" customWidth="1"/>
    <col min="1542" max="1792" width="9.140625" style="523"/>
    <col min="1793" max="1793" width="28.7109375" style="523" customWidth="1"/>
    <col min="1794" max="1794" width="12.42578125" style="523" customWidth="1"/>
    <col min="1795" max="1795" width="13.140625" style="523" customWidth="1"/>
    <col min="1796" max="1796" width="16" style="523" customWidth="1"/>
    <col min="1797" max="1797" width="17.42578125" style="523" customWidth="1"/>
    <col min="1798" max="2048" width="9.140625" style="523"/>
    <col min="2049" max="2049" width="28.7109375" style="523" customWidth="1"/>
    <col min="2050" max="2050" width="12.42578125" style="523" customWidth="1"/>
    <col min="2051" max="2051" width="13.140625" style="523" customWidth="1"/>
    <col min="2052" max="2052" width="16" style="523" customWidth="1"/>
    <col min="2053" max="2053" width="17.42578125" style="523" customWidth="1"/>
    <col min="2054" max="2304" width="9.140625" style="523"/>
    <col min="2305" max="2305" width="28.7109375" style="523" customWidth="1"/>
    <col min="2306" max="2306" width="12.42578125" style="523" customWidth="1"/>
    <col min="2307" max="2307" width="13.140625" style="523" customWidth="1"/>
    <col min="2308" max="2308" width="16" style="523" customWidth="1"/>
    <col min="2309" max="2309" width="17.42578125" style="523" customWidth="1"/>
    <col min="2310" max="2560" width="9.140625" style="523"/>
    <col min="2561" max="2561" width="28.7109375" style="523" customWidth="1"/>
    <col min="2562" max="2562" width="12.42578125" style="523" customWidth="1"/>
    <col min="2563" max="2563" width="13.140625" style="523" customWidth="1"/>
    <col min="2564" max="2564" width="16" style="523" customWidth="1"/>
    <col min="2565" max="2565" width="17.42578125" style="523" customWidth="1"/>
    <col min="2566" max="2816" width="9.140625" style="523"/>
    <col min="2817" max="2817" width="28.7109375" style="523" customWidth="1"/>
    <col min="2818" max="2818" width="12.42578125" style="523" customWidth="1"/>
    <col min="2819" max="2819" width="13.140625" style="523" customWidth="1"/>
    <col min="2820" max="2820" width="16" style="523" customWidth="1"/>
    <col min="2821" max="2821" width="17.42578125" style="523" customWidth="1"/>
    <col min="2822" max="3072" width="9.140625" style="523"/>
    <col min="3073" max="3073" width="28.7109375" style="523" customWidth="1"/>
    <col min="3074" max="3074" width="12.42578125" style="523" customWidth="1"/>
    <col min="3075" max="3075" width="13.140625" style="523" customWidth="1"/>
    <col min="3076" max="3076" width="16" style="523" customWidth="1"/>
    <col min="3077" max="3077" width="17.42578125" style="523" customWidth="1"/>
    <col min="3078" max="3328" width="9.140625" style="523"/>
    <col min="3329" max="3329" width="28.7109375" style="523" customWidth="1"/>
    <col min="3330" max="3330" width="12.42578125" style="523" customWidth="1"/>
    <col min="3331" max="3331" width="13.140625" style="523" customWidth="1"/>
    <col min="3332" max="3332" width="16" style="523" customWidth="1"/>
    <col min="3333" max="3333" width="17.42578125" style="523" customWidth="1"/>
    <col min="3334" max="3584" width="9.140625" style="523"/>
    <col min="3585" max="3585" width="28.7109375" style="523" customWidth="1"/>
    <col min="3586" max="3586" width="12.42578125" style="523" customWidth="1"/>
    <col min="3587" max="3587" width="13.140625" style="523" customWidth="1"/>
    <col min="3588" max="3588" width="16" style="523" customWidth="1"/>
    <col min="3589" max="3589" width="17.42578125" style="523" customWidth="1"/>
    <col min="3590" max="3840" width="9.140625" style="523"/>
    <col min="3841" max="3841" width="28.7109375" style="523" customWidth="1"/>
    <col min="3842" max="3842" width="12.42578125" style="523" customWidth="1"/>
    <col min="3843" max="3843" width="13.140625" style="523" customWidth="1"/>
    <col min="3844" max="3844" width="16" style="523" customWidth="1"/>
    <col min="3845" max="3845" width="17.42578125" style="523" customWidth="1"/>
    <col min="3846" max="4096" width="9.140625" style="523"/>
    <col min="4097" max="4097" width="28.7109375" style="523" customWidth="1"/>
    <col min="4098" max="4098" width="12.42578125" style="523" customWidth="1"/>
    <col min="4099" max="4099" width="13.140625" style="523" customWidth="1"/>
    <col min="4100" max="4100" width="16" style="523" customWidth="1"/>
    <col min="4101" max="4101" width="17.42578125" style="523" customWidth="1"/>
    <col min="4102" max="4352" width="9.140625" style="523"/>
    <col min="4353" max="4353" width="28.7109375" style="523" customWidth="1"/>
    <col min="4354" max="4354" width="12.42578125" style="523" customWidth="1"/>
    <col min="4355" max="4355" width="13.140625" style="523" customWidth="1"/>
    <col min="4356" max="4356" width="16" style="523" customWidth="1"/>
    <col min="4357" max="4357" width="17.42578125" style="523" customWidth="1"/>
    <col min="4358" max="4608" width="9.140625" style="523"/>
    <col min="4609" max="4609" width="28.7109375" style="523" customWidth="1"/>
    <col min="4610" max="4610" width="12.42578125" style="523" customWidth="1"/>
    <col min="4611" max="4611" width="13.140625" style="523" customWidth="1"/>
    <col min="4612" max="4612" width="16" style="523" customWidth="1"/>
    <col min="4613" max="4613" width="17.42578125" style="523" customWidth="1"/>
    <col min="4614" max="4864" width="9.140625" style="523"/>
    <col min="4865" max="4865" width="28.7109375" style="523" customWidth="1"/>
    <col min="4866" max="4866" width="12.42578125" style="523" customWidth="1"/>
    <col min="4867" max="4867" width="13.140625" style="523" customWidth="1"/>
    <col min="4868" max="4868" width="16" style="523" customWidth="1"/>
    <col min="4869" max="4869" width="17.42578125" style="523" customWidth="1"/>
    <col min="4870" max="5120" width="9.140625" style="523"/>
    <col min="5121" max="5121" width="28.7109375" style="523" customWidth="1"/>
    <col min="5122" max="5122" width="12.42578125" style="523" customWidth="1"/>
    <col min="5123" max="5123" width="13.140625" style="523" customWidth="1"/>
    <col min="5124" max="5124" width="16" style="523" customWidth="1"/>
    <col min="5125" max="5125" width="17.42578125" style="523" customWidth="1"/>
    <col min="5126" max="5376" width="9.140625" style="523"/>
    <col min="5377" max="5377" width="28.7109375" style="523" customWidth="1"/>
    <col min="5378" max="5378" width="12.42578125" style="523" customWidth="1"/>
    <col min="5379" max="5379" width="13.140625" style="523" customWidth="1"/>
    <col min="5380" max="5380" width="16" style="523" customWidth="1"/>
    <col min="5381" max="5381" width="17.42578125" style="523" customWidth="1"/>
    <col min="5382" max="5632" width="9.140625" style="523"/>
    <col min="5633" max="5633" width="28.7109375" style="523" customWidth="1"/>
    <col min="5634" max="5634" width="12.42578125" style="523" customWidth="1"/>
    <col min="5635" max="5635" width="13.140625" style="523" customWidth="1"/>
    <col min="5636" max="5636" width="16" style="523" customWidth="1"/>
    <col min="5637" max="5637" width="17.42578125" style="523" customWidth="1"/>
    <col min="5638" max="5888" width="9.140625" style="523"/>
    <col min="5889" max="5889" width="28.7109375" style="523" customWidth="1"/>
    <col min="5890" max="5890" width="12.42578125" style="523" customWidth="1"/>
    <col min="5891" max="5891" width="13.140625" style="523" customWidth="1"/>
    <col min="5892" max="5892" width="16" style="523" customWidth="1"/>
    <col min="5893" max="5893" width="17.42578125" style="523" customWidth="1"/>
    <col min="5894" max="6144" width="9.140625" style="523"/>
    <col min="6145" max="6145" width="28.7109375" style="523" customWidth="1"/>
    <col min="6146" max="6146" width="12.42578125" style="523" customWidth="1"/>
    <col min="6147" max="6147" width="13.140625" style="523" customWidth="1"/>
    <col min="6148" max="6148" width="16" style="523" customWidth="1"/>
    <col min="6149" max="6149" width="17.42578125" style="523" customWidth="1"/>
    <col min="6150" max="6400" width="9.140625" style="523"/>
    <col min="6401" max="6401" width="28.7109375" style="523" customWidth="1"/>
    <col min="6402" max="6402" width="12.42578125" style="523" customWidth="1"/>
    <col min="6403" max="6403" width="13.140625" style="523" customWidth="1"/>
    <col min="6404" max="6404" width="16" style="523" customWidth="1"/>
    <col min="6405" max="6405" width="17.42578125" style="523" customWidth="1"/>
    <col min="6406" max="6656" width="9.140625" style="523"/>
    <col min="6657" max="6657" width="28.7109375" style="523" customWidth="1"/>
    <col min="6658" max="6658" width="12.42578125" style="523" customWidth="1"/>
    <col min="6659" max="6659" width="13.140625" style="523" customWidth="1"/>
    <col min="6660" max="6660" width="16" style="523" customWidth="1"/>
    <col min="6661" max="6661" width="17.42578125" style="523" customWidth="1"/>
    <col min="6662" max="6912" width="9.140625" style="523"/>
    <col min="6913" max="6913" width="28.7109375" style="523" customWidth="1"/>
    <col min="6914" max="6914" width="12.42578125" style="523" customWidth="1"/>
    <col min="6915" max="6915" width="13.140625" style="523" customWidth="1"/>
    <col min="6916" max="6916" width="16" style="523" customWidth="1"/>
    <col min="6917" max="6917" width="17.42578125" style="523" customWidth="1"/>
    <col min="6918" max="7168" width="9.140625" style="523"/>
    <col min="7169" max="7169" width="28.7109375" style="523" customWidth="1"/>
    <col min="7170" max="7170" width="12.42578125" style="523" customWidth="1"/>
    <col min="7171" max="7171" width="13.140625" style="523" customWidth="1"/>
    <col min="7172" max="7172" width="16" style="523" customWidth="1"/>
    <col min="7173" max="7173" width="17.42578125" style="523" customWidth="1"/>
    <col min="7174" max="7424" width="9.140625" style="523"/>
    <col min="7425" max="7425" width="28.7109375" style="523" customWidth="1"/>
    <col min="7426" max="7426" width="12.42578125" style="523" customWidth="1"/>
    <col min="7427" max="7427" width="13.140625" style="523" customWidth="1"/>
    <col min="7428" max="7428" width="16" style="523" customWidth="1"/>
    <col min="7429" max="7429" width="17.42578125" style="523" customWidth="1"/>
    <col min="7430" max="7680" width="9.140625" style="523"/>
    <col min="7681" max="7681" width="28.7109375" style="523" customWidth="1"/>
    <col min="7682" max="7682" width="12.42578125" style="523" customWidth="1"/>
    <col min="7683" max="7683" width="13.140625" style="523" customWidth="1"/>
    <col min="7684" max="7684" width="16" style="523" customWidth="1"/>
    <col min="7685" max="7685" width="17.42578125" style="523" customWidth="1"/>
    <col min="7686" max="7936" width="9.140625" style="523"/>
    <col min="7937" max="7937" width="28.7109375" style="523" customWidth="1"/>
    <col min="7938" max="7938" width="12.42578125" style="523" customWidth="1"/>
    <col min="7939" max="7939" width="13.140625" style="523" customWidth="1"/>
    <col min="7940" max="7940" width="16" style="523" customWidth="1"/>
    <col min="7941" max="7941" width="17.42578125" style="523" customWidth="1"/>
    <col min="7942" max="8192" width="9.140625" style="523"/>
    <col min="8193" max="8193" width="28.7109375" style="523" customWidth="1"/>
    <col min="8194" max="8194" width="12.42578125" style="523" customWidth="1"/>
    <col min="8195" max="8195" width="13.140625" style="523" customWidth="1"/>
    <col min="8196" max="8196" width="16" style="523" customWidth="1"/>
    <col min="8197" max="8197" width="17.42578125" style="523" customWidth="1"/>
    <col min="8198" max="8448" width="9.140625" style="523"/>
    <col min="8449" max="8449" width="28.7109375" style="523" customWidth="1"/>
    <col min="8450" max="8450" width="12.42578125" style="523" customWidth="1"/>
    <col min="8451" max="8451" width="13.140625" style="523" customWidth="1"/>
    <col min="8452" max="8452" width="16" style="523" customWidth="1"/>
    <col min="8453" max="8453" width="17.42578125" style="523" customWidth="1"/>
    <col min="8454" max="8704" width="9.140625" style="523"/>
    <col min="8705" max="8705" width="28.7109375" style="523" customWidth="1"/>
    <col min="8706" max="8706" width="12.42578125" style="523" customWidth="1"/>
    <col min="8707" max="8707" width="13.140625" style="523" customWidth="1"/>
    <col min="8708" max="8708" width="16" style="523" customWidth="1"/>
    <col min="8709" max="8709" width="17.42578125" style="523" customWidth="1"/>
    <col min="8710" max="8960" width="9.140625" style="523"/>
    <col min="8961" max="8961" width="28.7109375" style="523" customWidth="1"/>
    <col min="8962" max="8962" width="12.42578125" style="523" customWidth="1"/>
    <col min="8963" max="8963" width="13.140625" style="523" customWidth="1"/>
    <col min="8964" max="8964" width="16" style="523" customWidth="1"/>
    <col min="8965" max="8965" width="17.42578125" style="523" customWidth="1"/>
    <col min="8966" max="9216" width="9.140625" style="523"/>
    <col min="9217" max="9217" width="28.7109375" style="523" customWidth="1"/>
    <col min="9218" max="9218" width="12.42578125" style="523" customWidth="1"/>
    <col min="9219" max="9219" width="13.140625" style="523" customWidth="1"/>
    <col min="9220" max="9220" width="16" style="523" customWidth="1"/>
    <col min="9221" max="9221" width="17.42578125" style="523" customWidth="1"/>
    <col min="9222" max="9472" width="9.140625" style="523"/>
    <col min="9473" max="9473" width="28.7109375" style="523" customWidth="1"/>
    <col min="9474" max="9474" width="12.42578125" style="523" customWidth="1"/>
    <col min="9475" max="9475" width="13.140625" style="523" customWidth="1"/>
    <col min="9476" max="9476" width="16" style="523" customWidth="1"/>
    <col min="9477" max="9477" width="17.42578125" style="523" customWidth="1"/>
    <col min="9478" max="9728" width="9.140625" style="523"/>
    <col min="9729" max="9729" width="28.7109375" style="523" customWidth="1"/>
    <col min="9730" max="9730" width="12.42578125" style="523" customWidth="1"/>
    <col min="9731" max="9731" width="13.140625" style="523" customWidth="1"/>
    <col min="9732" max="9732" width="16" style="523" customWidth="1"/>
    <col min="9733" max="9733" width="17.42578125" style="523" customWidth="1"/>
    <col min="9734" max="9984" width="9.140625" style="523"/>
    <col min="9985" max="9985" width="28.7109375" style="523" customWidth="1"/>
    <col min="9986" max="9986" width="12.42578125" style="523" customWidth="1"/>
    <col min="9987" max="9987" width="13.140625" style="523" customWidth="1"/>
    <col min="9988" max="9988" width="16" style="523" customWidth="1"/>
    <col min="9989" max="9989" width="17.42578125" style="523" customWidth="1"/>
    <col min="9990" max="10240" width="9.140625" style="523"/>
    <col min="10241" max="10241" width="28.7109375" style="523" customWidth="1"/>
    <col min="10242" max="10242" width="12.42578125" style="523" customWidth="1"/>
    <col min="10243" max="10243" width="13.140625" style="523" customWidth="1"/>
    <col min="10244" max="10244" width="16" style="523" customWidth="1"/>
    <col min="10245" max="10245" width="17.42578125" style="523" customWidth="1"/>
    <col min="10246" max="10496" width="9.140625" style="523"/>
    <col min="10497" max="10497" width="28.7109375" style="523" customWidth="1"/>
    <col min="10498" max="10498" width="12.42578125" style="523" customWidth="1"/>
    <col min="10499" max="10499" width="13.140625" style="523" customWidth="1"/>
    <col min="10500" max="10500" width="16" style="523" customWidth="1"/>
    <col min="10501" max="10501" width="17.42578125" style="523" customWidth="1"/>
    <col min="10502" max="10752" width="9.140625" style="523"/>
    <col min="10753" max="10753" width="28.7109375" style="523" customWidth="1"/>
    <col min="10754" max="10754" width="12.42578125" style="523" customWidth="1"/>
    <col min="10755" max="10755" width="13.140625" style="523" customWidth="1"/>
    <col min="10756" max="10756" width="16" style="523" customWidth="1"/>
    <col min="10757" max="10757" width="17.42578125" style="523" customWidth="1"/>
    <col min="10758" max="11008" width="9.140625" style="523"/>
    <col min="11009" max="11009" width="28.7109375" style="523" customWidth="1"/>
    <col min="11010" max="11010" width="12.42578125" style="523" customWidth="1"/>
    <col min="11011" max="11011" width="13.140625" style="523" customWidth="1"/>
    <col min="11012" max="11012" width="16" style="523" customWidth="1"/>
    <col min="11013" max="11013" width="17.42578125" style="523" customWidth="1"/>
    <col min="11014" max="11264" width="9.140625" style="523"/>
    <col min="11265" max="11265" width="28.7109375" style="523" customWidth="1"/>
    <col min="11266" max="11266" width="12.42578125" style="523" customWidth="1"/>
    <col min="11267" max="11267" width="13.140625" style="523" customWidth="1"/>
    <col min="11268" max="11268" width="16" style="523" customWidth="1"/>
    <col min="11269" max="11269" width="17.42578125" style="523" customWidth="1"/>
    <col min="11270" max="11520" width="9.140625" style="523"/>
    <col min="11521" max="11521" width="28.7109375" style="523" customWidth="1"/>
    <col min="11522" max="11522" width="12.42578125" style="523" customWidth="1"/>
    <col min="11523" max="11523" width="13.140625" style="523" customWidth="1"/>
    <col min="11524" max="11524" width="16" style="523" customWidth="1"/>
    <col min="11525" max="11525" width="17.42578125" style="523" customWidth="1"/>
    <col min="11526" max="11776" width="9.140625" style="523"/>
    <col min="11777" max="11777" width="28.7109375" style="523" customWidth="1"/>
    <col min="11778" max="11778" width="12.42578125" style="523" customWidth="1"/>
    <col min="11779" max="11779" width="13.140625" style="523" customWidth="1"/>
    <col min="11780" max="11780" width="16" style="523" customWidth="1"/>
    <col min="11781" max="11781" width="17.42578125" style="523" customWidth="1"/>
    <col min="11782" max="12032" width="9.140625" style="523"/>
    <col min="12033" max="12033" width="28.7109375" style="523" customWidth="1"/>
    <col min="12034" max="12034" width="12.42578125" style="523" customWidth="1"/>
    <col min="12035" max="12035" width="13.140625" style="523" customWidth="1"/>
    <col min="12036" max="12036" width="16" style="523" customWidth="1"/>
    <col min="12037" max="12037" width="17.42578125" style="523" customWidth="1"/>
    <col min="12038" max="12288" width="9.140625" style="523"/>
    <col min="12289" max="12289" width="28.7109375" style="523" customWidth="1"/>
    <col min="12290" max="12290" width="12.42578125" style="523" customWidth="1"/>
    <col min="12291" max="12291" width="13.140625" style="523" customWidth="1"/>
    <col min="12292" max="12292" width="16" style="523" customWidth="1"/>
    <col min="12293" max="12293" width="17.42578125" style="523" customWidth="1"/>
    <col min="12294" max="12544" width="9.140625" style="523"/>
    <col min="12545" max="12545" width="28.7109375" style="523" customWidth="1"/>
    <col min="12546" max="12546" width="12.42578125" style="523" customWidth="1"/>
    <col min="12547" max="12547" width="13.140625" style="523" customWidth="1"/>
    <col min="12548" max="12548" width="16" style="523" customWidth="1"/>
    <col min="12549" max="12549" width="17.42578125" style="523" customWidth="1"/>
    <col min="12550" max="12800" width="9.140625" style="523"/>
    <col min="12801" max="12801" width="28.7109375" style="523" customWidth="1"/>
    <col min="12802" max="12802" width="12.42578125" style="523" customWidth="1"/>
    <col min="12803" max="12803" width="13.140625" style="523" customWidth="1"/>
    <col min="12804" max="12804" width="16" style="523" customWidth="1"/>
    <col min="12805" max="12805" width="17.42578125" style="523" customWidth="1"/>
    <col min="12806" max="13056" width="9.140625" style="523"/>
    <col min="13057" max="13057" width="28.7109375" style="523" customWidth="1"/>
    <col min="13058" max="13058" width="12.42578125" style="523" customWidth="1"/>
    <col min="13059" max="13059" width="13.140625" style="523" customWidth="1"/>
    <col min="13060" max="13060" width="16" style="523" customWidth="1"/>
    <col min="13061" max="13061" width="17.42578125" style="523" customWidth="1"/>
    <col min="13062" max="13312" width="9.140625" style="523"/>
    <col min="13313" max="13313" width="28.7109375" style="523" customWidth="1"/>
    <col min="13314" max="13314" width="12.42578125" style="523" customWidth="1"/>
    <col min="13315" max="13315" width="13.140625" style="523" customWidth="1"/>
    <col min="13316" max="13316" width="16" style="523" customWidth="1"/>
    <col min="13317" max="13317" width="17.42578125" style="523" customWidth="1"/>
    <col min="13318" max="13568" width="9.140625" style="523"/>
    <col min="13569" max="13569" width="28.7109375" style="523" customWidth="1"/>
    <col min="13570" max="13570" width="12.42578125" style="523" customWidth="1"/>
    <col min="13571" max="13571" width="13.140625" style="523" customWidth="1"/>
    <col min="13572" max="13572" width="16" style="523" customWidth="1"/>
    <col min="13573" max="13573" width="17.42578125" style="523" customWidth="1"/>
    <col min="13574" max="13824" width="9.140625" style="523"/>
    <col min="13825" max="13825" width="28.7109375" style="523" customWidth="1"/>
    <col min="13826" max="13826" width="12.42578125" style="523" customWidth="1"/>
    <col min="13827" max="13827" width="13.140625" style="523" customWidth="1"/>
    <col min="13828" max="13828" width="16" style="523" customWidth="1"/>
    <col min="13829" max="13829" width="17.42578125" style="523" customWidth="1"/>
    <col min="13830" max="14080" width="9.140625" style="523"/>
    <col min="14081" max="14081" width="28.7109375" style="523" customWidth="1"/>
    <col min="14082" max="14082" width="12.42578125" style="523" customWidth="1"/>
    <col min="14083" max="14083" width="13.140625" style="523" customWidth="1"/>
    <col min="14084" max="14084" width="16" style="523" customWidth="1"/>
    <col min="14085" max="14085" width="17.42578125" style="523" customWidth="1"/>
    <col min="14086" max="14336" width="9.140625" style="523"/>
    <col min="14337" max="14337" width="28.7109375" style="523" customWidth="1"/>
    <col min="14338" max="14338" width="12.42578125" style="523" customWidth="1"/>
    <col min="14339" max="14339" width="13.140625" style="523" customWidth="1"/>
    <col min="14340" max="14340" width="16" style="523" customWidth="1"/>
    <col min="14341" max="14341" width="17.42578125" style="523" customWidth="1"/>
    <col min="14342" max="14592" width="9.140625" style="523"/>
    <col min="14593" max="14593" width="28.7109375" style="523" customWidth="1"/>
    <col min="14594" max="14594" width="12.42578125" style="523" customWidth="1"/>
    <col min="14595" max="14595" width="13.140625" style="523" customWidth="1"/>
    <col min="14596" max="14596" width="16" style="523" customWidth="1"/>
    <col min="14597" max="14597" width="17.42578125" style="523" customWidth="1"/>
    <col min="14598" max="14848" width="9.140625" style="523"/>
    <col min="14849" max="14849" width="28.7109375" style="523" customWidth="1"/>
    <col min="14850" max="14850" width="12.42578125" style="523" customWidth="1"/>
    <col min="14851" max="14851" width="13.140625" style="523" customWidth="1"/>
    <col min="14852" max="14852" width="16" style="523" customWidth="1"/>
    <col min="14853" max="14853" width="17.42578125" style="523" customWidth="1"/>
    <col min="14854" max="15104" width="9.140625" style="523"/>
    <col min="15105" max="15105" width="28.7109375" style="523" customWidth="1"/>
    <col min="15106" max="15106" width="12.42578125" style="523" customWidth="1"/>
    <col min="15107" max="15107" width="13.140625" style="523" customWidth="1"/>
    <col min="15108" max="15108" width="16" style="523" customWidth="1"/>
    <col min="15109" max="15109" width="17.42578125" style="523" customWidth="1"/>
    <col min="15110" max="15360" width="9.140625" style="523"/>
    <col min="15361" max="15361" width="28.7109375" style="523" customWidth="1"/>
    <col min="15362" max="15362" width="12.42578125" style="523" customWidth="1"/>
    <col min="15363" max="15363" width="13.140625" style="523" customWidth="1"/>
    <col min="15364" max="15364" width="16" style="523" customWidth="1"/>
    <col min="15365" max="15365" width="17.42578125" style="523" customWidth="1"/>
    <col min="15366" max="15616" width="9.140625" style="523"/>
    <col min="15617" max="15617" width="28.7109375" style="523" customWidth="1"/>
    <col min="15618" max="15618" width="12.42578125" style="523" customWidth="1"/>
    <col min="15619" max="15619" width="13.140625" style="523" customWidth="1"/>
    <col min="15620" max="15620" width="16" style="523" customWidth="1"/>
    <col min="15621" max="15621" width="17.42578125" style="523" customWidth="1"/>
    <col min="15622" max="15872" width="9.140625" style="523"/>
    <col min="15873" max="15873" width="28.7109375" style="523" customWidth="1"/>
    <col min="15874" max="15874" width="12.42578125" style="523" customWidth="1"/>
    <col min="15875" max="15875" width="13.140625" style="523" customWidth="1"/>
    <col min="15876" max="15876" width="16" style="523" customWidth="1"/>
    <col min="15877" max="15877" width="17.42578125" style="523" customWidth="1"/>
    <col min="15878" max="16128" width="9.140625" style="523"/>
    <col min="16129" max="16129" width="28.7109375" style="523" customWidth="1"/>
    <col min="16130" max="16130" width="12.42578125" style="523" customWidth="1"/>
    <col min="16131" max="16131" width="13.140625" style="523" customWidth="1"/>
    <col min="16132" max="16132" width="16" style="523" customWidth="1"/>
    <col min="16133" max="16133" width="17.42578125" style="523" customWidth="1"/>
    <col min="16134" max="16384" width="9.140625" style="523"/>
  </cols>
  <sheetData>
    <row r="1" spans="1:7">
      <c r="C1" s="616" t="s">
        <v>1760</v>
      </c>
      <c r="G1" s="1383" t="s">
        <v>1020</v>
      </c>
    </row>
    <row r="5" spans="1:7">
      <c r="A5" s="2409" t="s">
        <v>1759</v>
      </c>
      <c r="B5" s="2409"/>
      <c r="C5" s="2409"/>
      <c r="D5" s="2409"/>
      <c r="E5" s="2409"/>
    </row>
    <row r="6" spans="1:7">
      <c r="A6" s="2409" t="s">
        <v>1753</v>
      </c>
      <c r="B6" s="2409"/>
      <c r="C6" s="2409"/>
      <c r="D6" s="2409"/>
      <c r="E6" s="2409"/>
    </row>
    <row r="7" spans="1:7" ht="17.25" thickBot="1">
      <c r="C7" s="621"/>
      <c r="D7" s="524"/>
      <c r="E7" s="2302" t="s">
        <v>1263</v>
      </c>
    </row>
    <row r="8" spans="1:7" ht="22.5" customHeight="1" thickTop="1">
      <c r="A8" s="930" t="s">
        <v>1294</v>
      </c>
      <c r="B8" s="929" t="s">
        <v>235</v>
      </c>
      <c r="C8" s="928" t="s">
        <v>3</v>
      </c>
      <c r="D8" s="2310" t="s">
        <v>1</v>
      </c>
      <c r="E8" s="709" t="s">
        <v>4</v>
      </c>
    </row>
    <row r="9" spans="1:7" ht="22.5" customHeight="1">
      <c r="A9" s="905" t="s">
        <v>1351</v>
      </c>
      <c r="B9" s="904"/>
      <c r="C9" s="916"/>
      <c r="D9" s="886"/>
      <c r="E9" s="903">
        <f>SUM(E22+E23)</f>
        <v>11930000</v>
      </c>
    </row>
    <row r="10" spans="1:7" ht="22.5" customHeight="1">
      <c r="A10" s="599" t="s">
        <v>1692</v>
      </c>
      <c r="B10" s="598" t="s">
        <v>1287</v>
      </c>
      <c r="C10" s="627">
        <v>120</v>
      </c>
      <c r="D10" s="597">
        <v>20000</v>
      </c>
      <c r="E10" s="595">
        <f t="shared" ref="E10:E20" si="0">D10*C10</f>
        <v>2400000</v>
      </c>
    </row>
    <row r="11" spans="1:7" ht="22.5" customHeight="1">
      <c r="A11" s="599" t="s">
        <v>1752</v>
      </c>
      <c r="B11" s="598" t="s">
        <v>228</v>
      </c>
      <c r="C11" s="627">
        <v>300000</v>
      </c>
      <c r="D11" s="597">
        <v>3</v>
      </c>
      <c r="E11" s="595">
        <f t="shared" si="0"/>
        <v>900000</v>
      </c>
    </row>
    <row r="12" spans="1:7" ht="22.5" customHeight="1">
      <c r="A12" s="599" t="s">
        <v>1751</v>
      </c>
      <c r="B12" s="598" t="s">
        <v>11</v>
      </c>
      <c r="C12" s="627">
        <v>6000</v>
      </c>
      <c r="D12" s="597">
        <v>100</v>
      </c>
      <c r="E12" s="595">
        <f t="shared" si="0"/>
        <v>600000</v>
      </c>
    </row>
    <row r="13" spans="1:7" ht="22.5" customHeight="1">
      <c r="A13" s="599" t="s">
        <v>1750</v>
      </c>
      <c r="B13" s="598" t="s">
        <v>11</v>
      </c>
      <c r="C13" s="627">
        <v>10000</v>
      </c>
      <c r="D13" s="597">
        <v>20</v>
      </c>
      <c r="E13" s="595">
        <f t="shared" si="0"/>
        <v>200000</v>
      </c>
    </row>
    <row r="14" spans="1:7" ht="22.5" customHeight="1">
      <c r="A14" s="599" t="s">
        <v>1346</v>
      </c>
      <c r="B14" s="598" t="s">
        <v>11</v>
      </c>
      <c r="C14" s="627">
        <v>2000</v>
      </c>
      <c r="D14" s="597">
        <v>200</v>
      </c>
      <c r="E14" s="595">
        <f t="shared" si="0"/>
        <v>400000</v>
      </c>
    </row>
    <row r="15" spans="1:7" ht="22.5" customHeight="1">
      <c r="A15" s="599" t="s">
        <v>1724</v>
      </c>
      <c r="B15" s="598" t="s">
        <v>11</v>
      </c>
      <c r="C15" s="627">
        <v>3000</v>
      </c>
      <c r="D15" s="597">
        <v>30</v>
      </c>
      <c r="E15" s="595">
        <f t="shared" si="0"/>
        <v>90000</v>
      </c>
    </row>
    <row r="16" spans="1:7" ht="22.5" customHeight="1">
      <c r="A16" s="599" t="s">
        <v>1723</v>
      </c>
      <c r="B16" s="598" t="s">
        <v>11</v>
      </c>
      <c r="C16" s="627">
        <v>10000</v>
      </c>
      <c r="D16" s="597">
        <v>10</v>
      </c>
      <c r="E16" s="595">
        <f t="shared" si="0"/>
        <v>100000</v>
      </c>
    </row>
    <row r="17" spans="1:5" ht="22.5" customHeight="1">
      <c r="A17" s="599" t="s">
        <v>1758</v>
      </c>
      <c r="B17" s="598" t="s">
        <v>11</v>
      </c>
      <c r="C17" s="627">
        <v>200000</v>
      </c>
      <c r="D17" s="597">
        <v>2</v>
      </c>
      <c r="E17" s="595">
        <f t="shared" si="0"/>
        <v>400000</v>
      </c>
    </row>
    <row r="18" spans="1:5" ht="22.5" customHeight="1">
      <c r="A18" s="599" t="s">
        <v>1721</v>
      </c>
      <c r="B18" s="598" t="s">
        <v>11</v>
      </c>
      <c r="C18" s="627">
        <v>200000</v>
      </c>
      <c r="D18" s="597">
        <v>2</v>
      </c>
      <c r="E18" s="595">
        <f t="shared" si="0"/>
        <v>400000</v>
      </c>
    </row>
    <row r="19" spans="1:5" ht="22.5" customHeight="1">
      <c r="A19" s="599" t="s">
        <v>1720</v>
      </c>
      <c r="B19" s="598" t="s">
        <v>1397</v>
      </c>
      <c r="C19" s="627">
        <v>70000</v>
      </c>
      <c r="D19" s="597">
        <v>10</v>
      </c>
      <c r="E19" s="595">
        <f t="shared" si="0"/>
        <v>700000</v>
      </c>
    </row>
    <row r="20" spans="1:5" ht="22.5" customHeight="1">
      <c r="A20" s="599" t="s">
        <v>1719</v>
      </c>
      <c r="B20" s="598" t="s">
        <v>511</v>
      </c>
      <c r="C20" s="627">
        <v>180000</v>
      </c>
      <c r="D20" s="597">
        <v>30</v>
      </c>
      <c r="E20" s="595">
        <f t="shared" si="0"/>
        <v>5400000</v>
      </c>
    </row>
    <row r="21" spans="1:5" ht="22.5" customHeight="1">
      <c r="A21" s="599" t="s">
        <v>1718</v>
      </c>
      <c r="B21" s="598"/>
      <c r="C21" s="627"/>
      <c r="D21" s="597"/>
      <c r="E21" s="595">
        <v>200000</v>
      </c>
    </row>
    <row r="22" spans="1:5" ht="22.5" customHeight="1">
      <c r="A22" s="893" t="s">
        <v>1344</v>
      </c>
      <c r="B22" s="598"/>
      <c r="C22" s="627"/>
      <c r="D22" s="876"/>
      <c r="E22" s="879">
        <f>SUM(E10:E21)</f>
        <v>11790000</v>
      </c>
    </row>
    <row r="23" spans="1:5" ht="22.5" customHeight="1">
      <c r="A23" s="599" t="s">
        <v>1395</v>
      </c>
      <c r="B23" s="598" t="s">
        <v>1270</v>
      </c>
      <c r="C23" s="627"/>
      <c r="D23" s="597"/>
      <c r="E23" s="595">
        <f>7000000*8%/4</f>
        <v>140000</v>
      </c>
    </row>
    <row r="24" spans="1:5" ht="22.5" customHeight="1">
      <c r="A24" s="893" t="s">
        <v>1341</v>
      </c>
      <c r="B24" s="598"/>
      <c r="C24" s="627"/>
      <c r="D24" s="597"/>
      <c r="E24" s="879">
        <f>E26</f>
        <v>14400000</v>
      </c>
    </row>
    <row r="25" spans="1:5" ht="22.5" customHeight="1">
      <c r="A25" s="599" t="s">
        <v>1340</v>
      </c>
      <c r="B25" s="598" t="s">
        <v>1287</v>
      </c>
      <c r="C25" s="627"/>
      <c r="D25" s="597">
        <v>8000</v>
      </c>
      <c r="E25" s="595"/>
    </row>
    <row r="26" spans="1:5" ht="22.5" customHeight="1">
      <c r="A26" s="599" t="s">
        <v>1339</v>
      </c>
      <c r="B26" s="598" t="s">
        <v>1270</v>
      </c>
      <c r="C26" s="627">
        <v>1800</v>
      </c>
      <c r="D26" s="597">
        <f>D25</f>
        <v>8000</v>
      </c>
      <c r="E26" s="595">
        <f>D26*C26</f>
        <v>14400000</v>
      </c>
    </row>
    <row r="27" spans="1:5" ht="22.5" customHeight="1">
      <c r="A27" s="902" t="s">
        <v>1337</v>
      </c>
      <c r="B27" s="910"/>
      <c r="C27" s="914"/>
      <c r="D27" s="872"/>
      <c r="E27" s="870">
        <f>E24-E9</f>
        <v>2470000</v>
      </c>
    </row>
    <row r="28" spans="1:5" ht="22.5" customHeight="1" thickBot="1">
      <c r="A28" s="789" t="s">
        <v>1269</v>
      </c>
      <c r="B28" s="892" t="s">
        <v>90</v>
      </c>
      <c r="C28" s="624"/>
      <c r="D28" s="869"/>
      <c r="E28" s="868">
        <f>E27/E24</f>
        <v>0.17152777777777778</v>
      </c>
    </row>
    <row r="29" spans="1:5" ht="22.5" customHeight="1" thickTop="1">
      <c r="A29" s="652"/>
      <c r="B29" s="620"/>
      <c r="C29" s="621"/>
      <c r="D29" s="923"/>
      <c r="E29" s="923"/>
    </row>
    <row r="30" spans="1:5" ht="22.5" customHeight="1">
      <c r="A30" s="524" t="s">
        <v>1268</v>
      </c>
    </row>
    <row r="31" spans="1:5" ht="22.5" customHeight="1">
      <c r="A31" s="523" t="s">
        <v>1757</v>
      </c>
    </row>
    <row r="32" spans="1:5" ht="22.5" customHeight="1">
      <c r="A32" s="617" t="s">
        <v>1756</v>
      </c>
    </row>
  </sheetData>
  <mergeCells count="2">
    <mergeCell ref="A5:E5"/>
    <mergeCell ref="A6:E6"/>
  </mergeCells>
  <pageMargins left="1" right="0.5" top="0.75" bottom="0.75" header="0.5" footer="0.5"/>
  <pageSetup paperSize="9" orientation="portrait" r:id="rId1"/>
  <headerFooter alignWithMargins="0">
    <oddFooter>&amp;CTrang</oddFooter>
  </headerFooter>
  <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G32"/>
  <sheetViews>
    <sheetView zoomScaleNormal="100" workbookViewId="0">
      <selection activeCell="H20" sqref="H20"/>
    </sheetView>
  </sheetViews>
  <sheetFormatPr defaultRowHeight="16.5"/>
  <cols>
    <col min="1" max="1" width="31.85546875" style="617" customWidth="1"/>
    <col min="2" max="2" width="14.7109375" style="618" customWidth="1"/>
    <col min="3" max="3" width="13.7109375" style="714" customWidth="1"/>
    <col min="4" max="4" width="12.85546875" style="617" customWidth="1"/>
    <col min="5" max="5" width="14.140625" style="617" customWidth="1"/>
    <col min="6" max="256" width="9.140625" style="617"/>
    <col min="257" max="257" width="31.85546875" style="617" customWidth="1"/>
    <col min="258" max="258" width="14.7109375" style="617" customWidth="1"/>
    <col min="259" max="259" width="13.7109375" style="617" customWidth="1"/>
    <col min="260" max="260" width="12.85546875" style="617" customWidth="1"/>
    <col min="261" max="261" width="14.140625" style="617" customWidth="1"/>
    <col min="262" max="512" width="9.140625" style="617"/>
    <col min="513" max="513" width="31.85546875" style="617" customWidth="1"/>
    <col min="514" max="514" width="14.7109375" style="617" customWidth="1"/>
    <col min="515" max="515" width="13.7109375" style="617" customWidth="1"/>
    <col min="516" max="516" width="12.85546875" style="617" customWidth="1"/>
    <col min="517" max="517" width="14.140625" style="617" customWidth="1"/>
    <col min="518" max="768" width="9.140625" style="617"/>
    <col min="769" max="769" width="31.85546875" style="617" customWidth="1"/>
    <col min="770" max="770" width="14.7109375" style="617" customWidth="1"/>
    <col min="771" max="771" width="13.7109375" style="617" customWidth="1"/>
    <col min="772" max="772" width="12.85546875" style="617" customWidth="1"/>
    <col min="773" max="773" width="14.140625" style="617" customWidth="1"/>
    <col min="774" max="1024" width="9.140625" style="617"/>
    <col min="1025" max="1025" width="31.85546875" style="617" customWidth="1"/>
    <col min="1026" max="1026" width="14.7109375" style="617" customWidth="1"/>
    <col min="1027" max="1027" width="13.7109375" style="617" customWidth="1"/>
    <col min="1028" max="1028" width="12.85546875" style="617" customWidth="1"/>
    <col min="1029" max="1029" width="14.140625" style="617" customWidth="1"/>
    <col min="1030" max="1280" width="9.140625" style="617"/>
    <col min="1281" max="1281" width="31.85546875" style="617" customWidth="1"/>
    <col min="1282" max="1282" width="14.7109375" style="617" customWidth="1"/>
    <col min="1283" max="1283" width="13.7109375" style="617" customWidth="1"/>
    <col min="1284" max="1284" width="12.85546875" style="617" customWidth="1"/>
    <col min="1285" max="1285" width="14.140625" style="617" customWidth="1"/>
    <col min="1286" max="1536" width="9.140625" style="617"/>
    <col min="1537" max="1537" width="31.85546875" style="617" customWidth="1"/>
    <col min="1538" max="1538" width="14.7109375" style="617" customWidth="1"/>
    <col min="1539" max="1539" width="13.7109375" style="617" customWidth="1"/>
    <col min="1540" max="1540" width="12.85546875" style="617" customWidth="1"/>
    <col min="1541" max="1541" width="14.140625" style="617" customWidth="1"/>
    <col min="1542" max="1792" width="9.140625" style="617"/>
    <col min="1793" max="1793" width="31.85546875" style="617" customWidth="1"/>
    <col min="1794" max="1794" width="14.7109375" style="617" customWidth="1"/>
    <col min="1795" max="1795" width="13.7109375" style="617" customWidth="1"/>
    <col min="1796" max="1796" width="12.85546875" style="617" customWidth="1"/>
    <col min="1797" max="1797" width="14.140625" style="617" customWidth="1"/>
    <col min="1798" max="2048" width="9.140625" style="617"/>
    <col min="2049" max="2049" width="31.85546875" style="617" customWidth="1"/>
    <col min="2050" max="2050" width="14.7109375" style="617" customWidth="1"/>
    <col min="2051" max="2051" width="13.7109375" style="617" customWidth="1"/>
    <col min="2052" max="2052" width="12.85546875" style="617" customWidth="1"/>
    <col min="2053" max="2053" width="14.140625" style="617" customWidth="1"/>
    <col min="2054" max="2304" width="9.140625" style="617"/>
    <col min="2305" max="2305" width="31.85546875" style="617" customWidth="1"/>
    <col min="2306" max="2306" width="14.7109375" style="617" customWidth="1"/>
    <col min="2307" max="2307" width="13.7109375" style="617" customWidth="1"/>
    <col min="2308" max="2308" width="12.85546875" style="617" customWidth="1"/>
    <col min="2309" max="2309" width="14.140625" style="617" customWidth="1"/>
    <col min="2310" max="2560" width="9.140625" style="617"/>
    <col min="2561" max="2561" width="31.85546875" style="617" customWidth="1"/>
    <col min="2562" max="2562" width="14.7109375" style="617" customWidth="1"/>
    <col min="2563" max="2563" width="13.7109375" style="617" customWidth="1"/>
    <col min="2564" max="2564" width="12.85546875" style="617" customWidth="1"/>
    <col min="2565" max="2565" width="14.140625" style="617" customWidth="1"/>
    <col min="2566" max="2816" width="9.140625" style="617"/>
    <col min="2817" max="2817" width="31.85546875" style="617" customWidth="1"/>
    <col min="2818" max="2818" width="14.7109375" style="617" customWidth="1"/>
    <col min="2819" max="2819" width="13.7109375" style="617" customWidth="1"/>
    <col min="2820" max="2820" width="12.85546875" style="617" customWidth="1"/>
    <col min="2821" max="2821" width="14.140625" style="617" customWidth="1"/>
    <col min="2822" max="3072" width="9.140625" style="617"/>
    <col min="3073" max="3073" width="31.85546875" style="617" customWidth="1"/>
    <col min="3074" max="3074" width="14.7109375" style="617" customWidth="1"/>
    <col min="3075" max="3075" width="13.7109375" style="617" customWidth="1"/>
    <col min="3076" max="3076" width="12.85546875" style="617" customWidth="1"/>
    <col min="3077" max="3077" width="14.140625" style="617" customWidth="1"/>
    <col min="3078" max="3328" width="9.140625" style="617"/>
    <col min="3329" max="3329" width="31.85546875" style="617" customWidth="1"/>
    <col min="3330" max="3330" width="14.7109375" style="617" customWidth="1"/>
    <col min="3331" max="3331" width="13.7109375" style="617" customWidth="1"/>
    <col min="3332" max="3332" width="12.85546875" style="617" customWidth="1"/>
    <col min="3333" max="3333" width="14.140625" style="617" customWidth="1"/>
    <col min="3334" max="3584" width="9.140625" style="617"/>
    <col min="3585" max="3585" width="31.85546875" style="617" customWidth="1"/>
    <col min="3586" max="3586" width="14.7109375" style="617" customWidth="1"/>
    <col min="3587" max="3587" width="13.7109375" style="617" customWidth="1"/>
    <col min="3588" max="3588" width="12.85546875" style="617" customWidth="1"/>
    <col min="3589" max="3589" width="14.140625" style="617" customWidth="1"/>
    <col min="3590" max="3840" width="9.140625" style="617"/>
    <col min="3841" max="3841" width="31.85546875" style="617" customWidth="1"/>
    <col min="3842" max="3842" width="14.7109375" style="617" customWidth="1"/>
    <col min="3843" max="3843" width="13.7109375" style="617" customWidth="1"/>
    <col min="3844" max="3844" width="12.85546875" style="617" customWidth="1"/>
    <col min="3845" max="3845" width="14.140625" style="617" customWidth="1"/>
    <col min="3846" max="4096" width="9.140625" style="617"/>
    <col min="4097" max="4097" width="31.85546875" style="617" customWidth="1"/>
    <col min="4098" max="4098" width="14.7109375" style="617" customWidth="1"/>
    <col min="4099" max="4099" width="13.7109375" style="617" customWidth="1"/>
    <col min="4100" max="4100" width="12.85546875" style="617" customWidth="1"/>
    <col min="4101" max="4101" width="14.140625" style="617" customWidth="1"/>
    <col min="4102" max="4352" width="9.140625" style="617"/>
    <col min="4353" max="4353" width="31.85546875" style="617" customWidth="1"/>
    <col min="4354" max="4354" width="14.7109375" style="617" customWidth="1"/>
    <col min="4355" max="4355" width="13.7109375" style="617" customWidth="1"/>
    <col min="4356" max="4356" width="12.85546875" style="617" customWidth="1"/>
    <col min="4357" max="4357" width="14.140625" style="617" customWidth="1"/>
    <col min="4358" max="4608" width="9.140625" style="617"/>
    <col min="4609" max="4609" width="31.85546875" style="617" customWidth="1"/>
    <col min="4610" max="4610" width="14.7109375" style="617" customWidth="1"/>
    <col min="4611" max="4611" width="13.7109375" style="617" customWidth="1"/>
    <col min="4612" max="4612" width="12.85546875" style="617" customWidth="1"/>
    <col min="4613" max="4613" width="14.140625" style="617" customWidth="1"/>
    <col min="4614" max="4864" width="9.140625" style="617"/>
    <col min="4865" max="4865" width="31.85546875" style="617" customWidth="1"/>
    <col min="4866" max="4866" width="14.7109375" style="617" customWidth="1"/>
    <col min="4867" max="4867" width="13.7109375" style="617" customWidth="1"/>
    <col min="4868" max="4868" width="12.85546875" style="617" customWidth="1"/>
    <col min="4869" max="4869" width="14.140625" style="617" customWidth="1"/>
    <col min="4870" max="5120" width="9.140625" style="617"/>
    <col min="5121" max="5121" width="31.85546875" style="617" customWidth="1"/>
    <col min="5122" max="5122" width="14.7109375" style="617" customWidth="1"/>
    <col min="5123" max="5123" width="13.7109375" style="617" customWidth="1"/>
    <col min="5124" max="5124" width="12.85546875" style="617" customWidth="1"/>
    <col min="5125" max="5125" width="14.140625" style="617" customWidth="1"/>
    <col min="5126" max="5376" width="9.140625" style="617"/>
    <col min="5377" max="5377" width="31.85546875" style="617" customWidth="1"/>
    <col min="5378" max="5378" width="14.7109375" style="617" customWidth="1"/>
    <col min="5379" max="5379" width="13.7109375" style="617" customWidth="1"/>
    <col min="5380" max="5380" width="12.85546875" style="617" customWidth="1"/>
    <col min="5381" max="5381" width="14.140625" style="617" customWidth="1"/>
    <col min="5382" max="5632" width="9.140625" style="617"/>
    <col min="5633" max="5633" width="31.85546875" style="617" customWidth="1"/>
    <col min="5634" max="5634" width="14.7109375" style="617" customWidth="1"/>
    <col min="5635" max="5635" width="13.7109375" style="617" customWidth="1"/>
    <col min="5636" max="5636" width="12.85546875" style="617" customWidth="1"/>
    <col min="5637" max="5637" width="14.140625" style="617" customWidth="1"/>
    <col min="5638" max="5888" width="9.140625" style="617"/>
    <col min="5889" max="5889" width="31.85546875" style="617" customWidth="1"/>
    <col min="5890" max="5890" width="14.7109375" style="617" customWidth="1"/>
    <col min="5891" max="5891" width="13.7109375" style="617" customWidth="1"/>
    <col min="5892" max="5892" width="12.85546875" style="617" customWidth="1"/>
    <col min="5893" max="5893" width="14.140625" style="617" customWidth="1"/>
    <col min="5894" max="6144" width="9.140625" style="617"/>
    <col min="6145" max="6145" width="31.85546875" style="617" customWidth="1"/>
    <col min="6146" max="6146" width="14.7109375" style="617" customWidth="1"/>
    <col min="6147" max="6147" width="13.7109375" style="617" customWidth="1"/>
    <col min="6148" max="6148" width="12.85546875" style="617" customWidth="1"/>
    <col min="6149" max="6149" width="14.140625" style="617" customWidth="1"/>
    <col min="6150" max="6400" width="9.140625" style="617"/>
    <col min="6401" max="6401" width="31.85546875" style="617" customWidth="1"/>
    <col min="6402" max="6402" width="14.7109375" style="617" customWidth="1"/>
    <col min="6403" max="6403" width="13.7109375" style="617" customWidth="1"/>
    <col min="6404" max="6404" width="12.85546875" style="617" customWidth="1"/>
    <col min="6405" max="6405" width="14.140625" style="617" customWidth="1"/>
    <col min="6406" max="6656" width="9.140625" style="617"/>
    <col min="6657" max="6657" width="31.85546875" style="617" customWidth="1"/>
    <col min="6658" max="6658" width="14.7109375" style="617" customWidth="1"/>
    <col min="6659" max="6659" width="13.7109375" style="617" customWidth="1"/>
    <col min="6660" max="6660" width="12.85546875" style="617" customWidth="1"/>
    <col min="6661" max="6661" width="14.140625" style="617" customWidth="1"/>
    <col min="6662" max="6912" width="9.140625" style="617"/>
    <col min="6913" max="6913" width="31.85546875" style="617" customWidth="1"/>
    <col min="6914" max="6914" width="14.7109375" style="617" customWidth="1"/>
    <col min="6915" max="6915" width="13.7109375" style="617" customWidth="1"/>
    <col min="6916" max="6916" width="12.85546875" style="617" customWidth="1"/>
    <col min="6917" max="6917" width="14.140625" style="617" customWidth="1"/>
    <col min="6918" max="7168" width="9.140625" style="617"/>
    <col min="7169" max="7169" width="31.85546875" style="617" customWidth="1"/>
    <col min="7170" max="7170" width="14.7109375" style="617" customWidth="1"/>
    <col min="7171" max="7171" width="13.7109375" style="617" customWidth="1"/>
    <col min="7172" max="7172" width="12.85546875" style="617" customWidth="1"/>
    <col min="7173" max="7173" width="14.140625" style="617" customWidth="1"/>
    <col min="7174" max="7424" width="9.140625" style="617"/>
    <col min="7425" max="7425" width="31.85546875" style="617" customWidth="1"/>
    <col min="7426" max="7426" width="14.7109375" style="617" customWidth="1"/>
    <col min="7427" max="7427" width="13.7109375" style="617" customWidth="1"/>
    <col min="7428" max="7428" width="12.85546875" style="617" customWidth="1"/>
    <col min="7429" max="7429" width="14.140625" style="617" customWidth="1"/>
    <col min="7430" max="7680" width="9.140625" style="617"/>
    <col min="7681" max="7681" width="31.85546875" style="617" customWidth="1"/>
    <col min="7682" max="7682" width="14.7109375" style="617" customWidth="1"/>
    <col min="7683" max="7683" width="13.7109375" style="617" customWidth="1"/>
    <col min="7684" max="7684" width="12.85546875" style="617" customWidth="1"/>
    <col min="7685" max="7685" width="14.140625" style="617" customWidth="1"/>
    <col min="7686" max="7936" width="9.140625" style="617"/>
    <col min="7937" max="7937" width="31.85546875" style="617" customWidth="1"/>
    <col min="7938" max="7938" width="14.7109375" style="617" customWidth="1"/>
    <col min="7939" max="7939" width="13.7109375" style="617" customWidth="1"/>
    <col min="7940" max="7940" width="12.85546875" style="617" customWidth="1"/>
    <col min="7941" max="7941" width="14.140625" style="617" customWidth="1"/>
    <col min="7942" max="8192" width="9.140625" style="617"/>
    <col min="8193" max="8193" width="31.85546875" style="617" customWidth="1"/>
    <col min="8194" max="8194" width="14.7109375" style="617" customWidth="1"/>
    <col min="8195" max="8195" width="13.7109375" style="617" customWidth="1"/>
    <col min="8196" max="8196" width="12.85546875" style="617" customWidth="1"/>
    <col min="8197" max="8197" width="14.140625" style="617" customWidth="1"/>
    <col min="8198" max="8448" width="9.140625" style="617"/>
    <col min="8449" max="8449" width="31.85546875" style="617" customWidth="1"/>
    <col min="8450" max="8450" width="14.7109375" style="617" customWidth="1"/>
    <col min="8451" max="8451" width="13.7109375" style="617" customWidth="1"/>
    <col min="8452" max="8452" width="12.85546875" style="617" customWidth="1"/>
    <col min="8453" max="8453" width="14.140625" style="617" customWidth="1"/>
    <col min="8454" max="8704" width="9.140625" style="617"/>
    <col min="8705" max="8705" width="31.85546875" style="617" customWidth="1"/>
    <col min="8706" max="8706" width="14.7109375" style="617" customWidth="1"/>
    <col min="8707" max="8707" width="13.7109375" style="617" customWidth="1"/>
    <col min="8708" max="8708" width="12.85546875" style="617" customWidth="1"/>
    <col min="8709" max="8709" width="14.140625" style="617" customWidth="1"/>
    <col min="8710" max="8960" width="9.140625" style="617"/>
    <col min="8961" max="8961" width="31.85546875" style="617" customWidth="1"/>
    <col min="8962" max="8962" width="14.7109375" style="617" customWidth="1"/>
    <col min="8963" max="8963" width="13.7109375" style="617" customWidth="1"/>
    <col min="8964" max="8964" width="12.85546875" style="617" customWidth="1"/>
    <col min="8965" max="8965" width="14.140625" style="617" customWidth="1"/>
    <col min="8966" max="9216" width="9.140625" style="617"/>
    <col min="9217" max="9217" width="31.85546875" style="617" customWidth="1"/>
    <col min="9218" max="9218" width="14.7109375" style="617" customWidth="1"/>
    <col min="9219" max="9219" width="13.7109375" style="617" customWidth="1"/>
    <col min="9220" max="9220" width="12.85546875" style="617" customWidth="1"/>
    <col min="9221" max="9221" width="14.140625" style="617" customWidth="1"/>
    <col min="9222" max="9472" width="9.140625" style="617"/>
    <col min="9473" max="9473" width="31.85546875" style="617" customWidth="1"/>
    <col min="9474" max="9474" width="14.7109375" style="617" customWidth="1"/>
    <col min="9475" max="9475" width="13.7109375" style="617" customWidth="1"/>
    <col min="9476" max="9476" width="12.85546875" style="617" customWidth="1"/>
    <col min="9477" max="9477" width="14.140625" style="617" customWidth="1"/>
    <col min="9478" max="9728" width="9.140625" style="617"/>
    <col min="9729" max="9729" width="31.85546875" style="617" customWidth="1"/>
    <col min="9730" max="9730" width="14.7109375" style="617" customWidth="1"/>
    <col min="9731" max="9731" width="13.7109375" style="617" customWidth="1"/>
    <col min="9732" max="9732" width="12.85546875" style="617" customWidth="1"/>
    <col min="9733" max="9733" width="14.140625" style="617" customWidth="1"/>
    <col min="9734" max="9984" width="9.140625" style="617"/>
    <col min="9985" max="9985" width="31.85546875" style="617" customWidth="1"/>
    <col min="9986" max="9986" width="14.7109375" style="617" customWidth="1"/>
    <col min="9987" max="9987" width="13.7109375" style="617" customWidth="1"/>
    <col min="9988" max="9988" width="12.85546875" style="617" customWidth="1"/>
    <col min="9989" max="9989" width="14.140625" style="617" customWidth="1"/>
    <col min="9990" max="10240" width="9.140625" style="617"/>
    <col min="10241" max="10241" width="31.85546875" style="617" customWidth="1"/>
    <col min="10242" max="10242" width="14.7109375" style="617" customWidth="1"/>
    <col min="10243" max="10243" width="13.7109375" style="617" customWidth="1"/>
    <col min="10244" max="10244" width="12.85546875" style="617" customWidth="1"/>
    <col min="10245" max="10245" width="14.140625" style="617" customWidth="1"/>
    <col min="10246" max="10496" width="9.140625" style="617"/>
    <col min="10497" max="10497" width="31.85546875" style="617" customWidth="1"/>
    <col min="10498" max="10498" width="14.7109375" style="617" customWidth="1"/>
    <col min="10499" max="10499" width="13.7109375" style="617" customWidth="1"/>
    <col min="10500" max="10500" width="12.85546875" style="617" customWidth="1"/>
    <col min="10501" max="10501" width="14.140625" style="617" customWidth="1"/>
    <col min="10502" max="10752" width="9.140625" style="617"/>
    <col min="10753" max="10753" width="31.85546875" style="617" customWidth="1"/>
    <col min="10754" max="10754" width="14.7109375" style="617" customWidth="1"/>
    <col min="10755" max="10755" width="13.7109375" style="617" customWidth="1"/>
    <col min="10756" max="10756" width="12.85546875" style="617" customWidth="1"/>
    <col min="10757" max="10757" width="14.140625" style="617" customWidth="1"/>
    <col min="10758" max="11008" width="9.140625" style="617"/>
    <col min="11009" max="11009" width="31.85546875" style="617" customWidth="1"/>
    <col min="11010" max="11010" width="14.7109375" style="617" customWidth="1"/>
    <col min="11011" max="11011" width="13.7109375" style="617" customWidth="1"/>
    <col min="11012" max="11012" width="12.85546875" style="617" customWidth="1"/>
    <col min="11013" max="11013" width="14.140625" style="617" customWidth="1"/>
    <col min="11014" max="11264" width="9.140625" style="617"/>
    <col min="11265" max="11265" width="31.85546875" style="617" customWidth="1"/>
    <col min="11266" max="11266" width="14.7109375" style="617" customWidth="1"/>
    <col min="11267" max="11267" width="13.7109375" style="617" customWidth="1"/>
    <col min="11268" max="11268" width="12.85546875" style="617" customWidth="1"/>
    <col min="11269" max="11269" width="14.140625" style="617" customWidth="1"/>
    <col min="11270" max="11520" width="9.140625" style="617"/>
    <col min="11521" max="11521" width="31.85546875" style="617" customWidth="1"/>
    <col min="11522" max="11522" width="14.7109375" style="617" customWidth="1"/>
    <col min="11523" max="11523" width="13.7109375" style="617" customWidth="1"/>
    <col min="11524" max="11524" width="12.85546875" style="617" customWidth="1"/>
    <col min="11525" max="11525" width="14.140625" style="617" customWidth="1"/>
    <col min="11526" max="11776" width="9.140625" style="617"/>
    <col min="11777" max="11777" width="31.85546875" style="617" customWidth="1"/>
    <col min="11778" max="11778" width="14.7109375" style="617" customWidth="1"/>
    <col min="11779" max="11779" width="13.7109375" style="617" customWidth="1"/>
    <col min="11780" max="11780" width="12.85546875" style="617" customWidth="1"/>
    <col min="11781" max="11781" width="14.140625" style="617" customWidth="1"/>
    <col min="11782" max="12032" width="9.140625" style="617"/>
    <col min="12033" max="12033" width="31.85546875" style="617" customWidth="1"/>
    <col min="12034" max="12034" width="14.7109375" style="617" customWidth="1"/>
    <col min="12035" max="12035" width="13.7109375" style="617" customWidth="1"/>
    <col min="12036" max="12036" width="12.85546875" style="617" customWidth="1"/>
    <col min="12037" max="12037" width="14.140625" style="617" customWidth="1"/>
    <col min="12038" max="12288" width="9.140625" style="617"/>
    <col min="12289" max="12289" width="31.85546875" style="617" customWidth="1"/>
    <col min="12290" max="12290" width="14.7109375" style="617" customWidth="1"/>
    <col min="12291" max="12291" width="13.7109375" style="617" customWidth="1"/>
    <col min="12292" max="12292" width="12.85546875" style="617" customWidth="1"/>
    <col min="12293" max="12293" width="14.140625" style="617" customWidth="1"/>
    <col min="12294" max="12544" width="9.140625" style="617"/>
    <col min="12545" max="12545" width="31.85546875" style="617" customWidth="1"/>
    <col min="12546" max="12546" width="14.7109375" style="617" customWidth="1"/>
    <col min="12547" max="12547" width="13.7109375" style="617" customWidth="1"/>
    <col min="12548" max="12548" width="12.85546875" style="617" customWidth="1"/>
    <col min="12549" max="12549" width="14.140625" style="617" customWidth="1"/>
    <col min="12550" max="12800" width="9.140625" style="617"/>
    <col min="12801" max="12801" width="31.85546875" style="617" customWidth="1"/>
    <col min="12802" max="12802" width="14.7109375" style="617" customWidth="1"/>
    <col min="12803" max="12803" width="13.7109375" style="617" customWidth="1"/>
    <col min="12804" max="12804" width="12.85546875" style="617" customWidth="1"/>
    <col min="12805" max="12805" width="14.140625" style="617" customWidth="1"/>
    <col min="12806" max="13056" width="9.140625" style="617"/>
    <col min="13057" max="13057" width="31.85546875" style="617" customWidth="1"/>
    <col min="13058" max="13058" width="14.7109375" style="617" customWidth="1"/>
    <col min="13059" max="13059" width="13.7109375" style="617" customWidth="1"/>
    <col min="13060" max="13060" width="12.85546875" style="617" customWidth="1"/>
    <col min="13061" max="13061" width="14.140625" style="617" customWidth="1"/>
    <col min="13062" max="13312" width="9.140625" style="617"/>
    <col min="13313" max="13313" width="31.85546875" style="617" customWidth="1"/>
    <col min="13314" max="13314" width="14.7109375" style="617" customWidth="1"/>
    <col min="13315" max="13315" width="13.7109375" style="617" customWidth="1"/>
    <col min="13316" max="13316" width="12.85546875" style="617" customWidth="1"/>
    <col min="13317" max="13317" width="14.140625" style="617" customWidth="1"/>
    <col min="13318" max="13568" width="9.140625" style="617"/>
    <col min="13569" max="13569" width="31.85546875" style="617" customWidth="1"/>
    <col min="13570" max="13570" width="14.7109375" style="617" customWidth="1"/>
    <col min="13571" max="13571" width="13.7109375" style="617" customWidth="1"/>
    <col min="13572" max="13572" width="12.85546875" style="617" customWidth="1"/>
    <col min="13573" max="13573" width="14.140625" style="617" customWidth="1"/>
    <col min="13574" max="13824" width="9.140625" style="617"/>
    <col min="13825" max="13825" width="31.85546875" style="617" customWidth="1"/>
    <col min="13826" max="13826" width="14.7109375" style="617" customWidth="1"/>
    <col min="13827" max="13827" width="13.7109375" style="617" customWidth="1"/>
    <col min="13828" max="13828" width="12.85546875" style="617" customWidth="1"/>
    <col min="13829" max="13829" width="14.140625" style="617" customWidth="1"/>
    <col min="13830" max="14080" width="9.140625" style="617"/>
    <col min="14081" max="14081" width="31.85546875" style="617" customWidth="1"/>
    <col min="14082" max="14082" width="14.7109375" style="617" customWidth="1"/>
    <col min="14083" max="14083" width="13.7109375" style="617" customWidth="1"/>
    <col min="14084" max="14084" width="12.85546875" style="617" customWidth="1"/>
    <col min="14085" max="14085" width="14.140625" style="617" customWidth="1"/>
    <col min="14086" max="14336" width="9.140625" style="617"/>
    <col min="14337" max="14337" width="31.85546875" style="617" customWidth="1"/>
    <col min="14338" max="14338" width="14.7109375" style="617" customWidth="1"/>
    <col min="14339" max="14339" width="13.7109375" style="617" customWidth="1"/>
    <col min="14340" max="14340" width="12.85546875" style="617" customWidth="1"/>
    <col min="14341" max="14341" width="14.140625" style="617" customWidth="1"/>
    <col min="14342" max="14592" width="9.140625" style="617"/>
    <col min="14593" max="14593" width="31.85546875" style="617" customWidth="1"/>
    <col min="14594" max="14594" width="14.7109375" style="617" customWidth="1"/>
    <col min="14595" max="14595" width="13.7109375" style="617" customWidth="1"/>
    <col min="14596" max="14596" width="12.85546875" style="617" customWidth="1"/>
    <col min="14597" max="14597" width="14.140625" style="617" customWidth="1"/>
    <col min="14598" max="14848" width="9.140625" style="617"/>
    <col min="14849" max="14849" width="31.85546875" style="617" customWidth="1"/>
    <col min="14850" max="14850" width="14.7109375" style="617" customWidth="1"/>
    <col min="14851" max="14851" width="13.7109375" style="617" customWidth="1"/>
    <col min="14852" max="14852" width="12.85546875" style="617" customWidth="1"/>
    <col min="14853" max="14853" width="14.140625" style="617" customWidth="1"/>
    <col min="14854" max="15104" width="9.140625" style="617"/>
    <col min="15105" max="15105" width="31.85546875" style="617" customWidth="1"/>
    <col min="15106" max="15106" width="14.7109375" style="617" customWidth="1"/>
    <col min="15107" max="15107" width="13.7109375" style="617" customWidth="1"/>
    <col min="15108" max="15108" width="12.85546875" style="617" customWidth="1"/>
    <col min="15109" max="15109" width="14.140625" style="617" customWidth="1"/>
    <col min="15110" max="15360" width="9.140625" style="617"/>
    <col min="15361" max="15361" width="31.85546875" style="617" customWidth="1"/>
    <col min="15362" max="15362" width="14.7109375" style="617" customWidth="1"/>
    <col min="15363" max="15363" width="13.7109375" style="617" customWidth="1"/>
    <col min="15364" max="15364" width="12.85546875" style="617" customWidth="1"/>
    <col min="15365" max="15365" width="14.140625" style="617" customWidth="1"/>
    <col min="15366" max="15616" width="9.140625" style="617"/>
    <col min="15617" max="15617" width="31.85546875" style="617" customWidth="1"/>
    <col min="15618" max="15618" width="14.7109375" style="617" customWidth="1"/>
    <col min="15619" max="15619" width="13.7109375" style="617" customWidth="1"/>
    <col min="15620" max="15620" width="12.85546875" style="617" customWidth="1"/>
    <col min="15621" max="15621" width="14.140625" style="617" customWidth="1"/>
    <col min="15622" max="15872" width="9.140625" style="617"/>
    <col min="15873" max="15873" width="31.85546875" style="617" customWidth="1"/>
    <col min="15874" max="15874" width="14.7109375" style="617" customWidth="1"/>
    <col min="15875" max="15875" width="13.7109375" style="617" customWidth="1"/>
    <col min="15876" max="15876" width="12.85546875" style="617" customWidth="1"/>
    <col min="15877" max="15877" width="14.140625" style="617" customWidth="1"/>
    <col min="15878" max="16128" width="9.140625" style="617"/>
    <col min="16129" max="16129" width="31.85546875" style="617" customWidth="1"/>
    <col min="16130" max="16130" width="14.7109375" style="617" customWidth="1"/>
    <col min="16131" max="16131" width="13.7109375" style="617" customWidth="1"/>
    <col min="16132" max="16132" width="12.85546875" style="617" customWidth="1"/>
    <col min="16133" max="16133" width="14.140625" style="617" customWidth="1"/>
    <col min="16134" max="16384" width="9.140625" style="617"/>
  </cols>
  <sheetData>
    <row r="1" spans="1:7">
      <c r="A1" s="2362"/>
      <c r="B1" s="2362"/>
      <c r="C1" s="946" t="s">
        <v>1768</v>
      </c>
      <c r="D1" s="2362"/>
      <c r="G1" s="1390" t="s">
        <v>1020</v>
      </c>
    </row>
    <row r="2" spans="1:7">
      <c r="A2" s="2362"/>
      <c r="B2" s="2362"/>
      <c r="C2" s="2362"/>
      <c r="D2" s="2362"/>
    </row>
    <row r="3" spans="1:7">
      <c r="A3" s="2362"/>
      <c r="B3" s="2362"/>
      <c r="C3" s="2362"/>
      <c r="D3" s="2362"/>
    </row>
    <row r="4" spans="1:7">
      <c r="A4" s="2362"/>
      <c r="B4" s="2362"/>
      <c r="C4" s="2362"/>
      <c r="D4" s="2362"/>
    </row>
    <row r="5" spans="1:7">
      <c r="A5" s="2402" t="s">
        <v>1767</v>
      </c>
      <c r="B5" s="2402"/>
      <c r="C5" s="2402"/>
      <c r="D5" s="2402"/>
      <c r="E5" s="2402"/>
    </row>
    <row r="6" spans="1:7" ht="20.25" customHeight="1">
      <c r="A6" s="2780" t="s">
        <v>1766</v>
      </c>
      <c r="B6" s="2780"/>
      <c r="C6" s="2780"/>
      <c r="D6" s="2780"/>
      <c r="E6" s="2780"/>
    </row>
    <row r="7" spans="1:7" ht="17.25" thickBot="1">
      <c r="A7" s="788"/>
      <c r="E7" s="2299" t="s">
        <v>1263</v>
      </c>
    </row>
    <row r="8" spans="1:7" s="941" customFormat="1" ht="23.25" customHeight="1" thickTop="1">
      <c r="A8" s="945" t="s">
        <v>1294</v>
      </c>
      <c r="B8" s="943" t="s">
        <v>235</v>
      </c>
      <c r="C8" s="944" t="s">
        <v>3</v>
      </c>
      <c r="D8" s="943" t="s">
        <v>1</v>
      </c>
      <c r="E8" s="942" t="s">
        <v>4</v>
      </c>
    </row>
    <row r="9" spans="1:7" s="933" customFormat="1" ht="18" customHeight="1">
      <c r="A9" s="940" t="s">
        <v>1289</v>
      </c>
      <c r="B9" s="799"/>
      <c r="C9" s="939"/>
      <c r="D9" s="939"/>
      <c r="E9" s="938">
        <f>E23+E24</f>
        <v>56100000</v>
      </c>
    </row>
    <row r="10" spans="1:7" ht="18" customHeight="1">
      <c r="A10" s="773" t="s">
        <v>1380</v>
      </c>
      <c r="B10" s="934" t="s">
        <v>1270</v>
      </c>
      <c r="C10" s="935"/>
      <c r="D10" s="772"/>
      <c r="E10" s="771">
        <v>500000</v>
      </c>
    </row>
    <row r="11" spans="1:7" ht="18" customHeight="1">
      <c r="A11" s="773" t="s">
        <v>1350</v>
      </c>
      <c r="B11" s="934" t="s">
        <v>1287</v>
      </c>
      <c r="C11" s="772">
        <v>4000</v>
      </c>
      <c r="D11" s="772">
        <v>3500</v>
      </c>
      <c r="E11" s="771">
        <f>D11*C11</f>
        <v>14000000</v>
      </c>
    </row>
    <row r="12" spans="1:7" ht="18" customHeight="1">
      <c r="A12" s="773" t="s">
        <v>1349</v>
      </c>
      <c r="B12" s="934" t="s">
        <v>228</v>
      </c>
      <c r="C12" s="772">
        <v>300000</v>
      </c>
      <c r="D12" s="772">
        <v>5</v>
      </c>
      <c r="E12" s="771">
        <f>D12*C12</f>
        <v>1500000</v>
      </c>
    </row>
    <row r="13" spans="1:7" ht="18" customHeight="1">
      <c r="A13" s="773" t="s">
        <v>1348</v>
      </c>
      <c r="B13" s="934"/>
      <c r="C13" s="772"/>
      <c r="D13" s="772"/>
      <c r="E13" s="771">
        <f>SUM(E14:E17)</f>
        <v>2200000</v>
      </c>
    </row>
    <row r="14" spans="1:7" s="937" customFormat="1" ht="18" customHeight="1">
      <c r="A14" s="779" t="s">
        <v>1284</v>
      </c>
      <c r="B14" s="934" t="s">
        <v>11</v>
      </c>
      <c r="C14" s="772">
        <v>10000</v>
      </c>
      <c r="D14" s="772">
        <v>50</v>
      </c>
      <c r="E14" s="771">
        <f t="shared" ref="E14:E21" si="0">D14*C14</f>
        <v>500000</v>
      </c>
    </row>
    <row r="15" spans="1:7" s="937" customFormat="1" ht="18" customHeight="1">
      <c r="A15" s="779" t="s">
        <v>1283</v>
      </c>
      <c r="B15" s="934" t="s">
        <v>11</v>
      </c>
      <c r="C15" s="772">
        <v>3000</v>
      </c>
      <c r="D15" s="772">
        <v>100</v>
      </c>
      <c r="E15" s="771">
        <f t="shared" si="0"/>
        <v>300000</v>
      </c>
    </row>
    <row r="16" spans="1:7" s="937" customFormat="1" ht="18" customHeight="1">
      <c r="A16" s="779" t="s">
        <v>1282</v>
      </c>
      <c r="B16" s="934" t="s">
        <v>11</v>
      </c>
      <c r="C16" s="772">
        <v>15000</v>
      </c>
      <c r="D16" s="772">
        <v>40</v>
      </c>
      <c r="E16" s="771">
        <f t="shared" si="0"/>
        <v>600000</v>
      </c>
    </row>
    <row r="17" spans="1:5" s="937" customFormat="1" ht="18" customHeight="1">
      <c r="A17" s="779" t="s">
        <v>1281</v>
      </c>
      <c r="B17" s="934" t="s">
        <v>11</v>
      </c>
      <c r="C17" s="772">
        <v>8000</v>
      </c>
      <c r="D17" s="772">
        <v>100</v>
      </c>
      <c r="E17" s="771">
        <f t="shared" si="0"/>
        <v>800000</v>
      </c>
    </row>
    <row r="18" spans="1:5" ht="18" customHeight="1">
      <c r="A18" s="773" t="s">
        <v>1346</v>
      </c>
      <c r="B18" s="934" t="s">
        <v>11</v>
      </c>
      <c r="C18" s="772">
        <v>2000</v>
      </c>
      <c r="D18" s="772">
        <v>100</v>
      </c>
      <c r="E18" s="771">
        <f t="shared" si="0"/>
        <v>200000</v>
      </c>
    </row>
    <row r="19" spans="1:5" ht="18" customHeight="1">
      <c r="A19" s="773" t="s">
        <v>1687</v>
      </c>
      <c r="B19" s="934" t="s">
        <v>513</v>
      </c>
      <c r="C19" s="772">
        <v>200000</v>
      </c>
      <c r="D19" s="772">
        <v>10</v>
      </c>
      <c r="E19" s="771">
        <f t="shared" si="0"/>
        <v>2000000</v>
      </c>
    </row>
    <row r="20" spans="1:5" ht="18" customHeight="1">
      <c r="A20" s="773" t="s">
        <v>1765</v>
      </c>
      <c r="B20" s="934" t="s">
        <v>1397</v>
      </c>
      <c r="C20" s="772">
        <v>70000</v>
      </c>
      <c r="D20" s="772">
        <v>250</v>
      </c>
      <c r="E20" s="771">
        <f t="shared" si="0"/>
        <v>17500000</v>
      </c>
    </row>
    <row r="21" spans="1:5" ht="18" customHeight="1">
      <c r="A21" s="773" t="s">
        <v>1659</v>
      </c>
      <c r="B21" s="934" t="s">
        <v>511</v>
      </c>
      <c r="C21" s="772">
        <v>180000</v>
      </c>
      <c r="D21" s="772">
        <v>60</v>
      </c>
      <c r="E21" s="771">
        <f t="shared" si="0"/>
        <v>10800000</v>
      </c>
    </row>
    <row r="22" spans="1:5" ht="18" customHeight="1">
      <c r="A22" s="773" t="s">
        <v>1764</v>
      </c>
      <c r="B22" s="934" t="s">
        <v>1287</v>
      </c>
      <c r="C22" s="772"/>
      <c r="D22" s="772"/>
      <c r="E22" s="771">
        <v>5000000</v>
      </c>
    </row>
    <row r="23" spans="1:5" s="933" customFormat="1" ht="18" customHeight="1">
      <c r="A23" s="793" t="s">
        <v>1277</v>
      </c>
      <c r="B23" s="936"/>
      <c r="C23" s="792"/>
      <c r="D23" s="791"/>
      <c r="E23" s="790">
        <f>SUM(E10:E22)-E13</f>
        <v>53700000</v>
      </c>
    </row>
    <row r="24" spans="1:5" ht="18" customHeight="1">
      <c r="A24" s="773" t="s">
        <v>1763</v>
      </c>
      <c r="B24" s="934" t="s">
        <v>1270</v>
      </c>
      <c r="C24" s="935"/>
      <c r="D24" s="772"/>
      <c r="E24" s="771">
        <f>40000000*8%*9/12</f>
        <v>2400000</v>
      </c>
    </row>
    <row r="25" spans="1:5" s="933" customFormat="1" ht="18" customHeight="1">
      <c r="A25" s="793" t="s">
        <v>1275</v>
      </c>
      <c r="B25" s="936"/>
      <c r="C25" s="792"/>
      <c r="D25" s="791"/>
      <c r="E25" s="790">
        <f>E26</f>
        <v>84000000</v>
      </c>
    </row>
    <row r="26" spans="1:5" ht="18" customHeight="1">
      <c r="A26" s="773" t="s">
        <v>1762</v>
      </c>
      <c r="B26" s="934" t="s">
        <v>11</v>
      </c>
      <c r="C26" s="935">
        <v>6000</v>
      </c>
      <c r="D26" s="772">
        <v>14000</v>
      </c>
      <c r="E26" s="771">
        <f>D26*C26</f>
        <v>84000000</v>
      </c>
    </row>
    <row r="27" spans="1:5" s="933" customFormat="1" ht="18" customHeight="1">
      <c r="A27" s="793" t="s">
        <v>1271</v>
      </c>
      <c r="B27" s="934" t="s">
        <v>1270</v>
      </c>
      <c r="C27" s="791"/>
      <c r="D27" s="791"/>
      <c r="E27" s="790">
        <f>E25-E9</f>
        <v>27900000</v>
      </c>
    </row>
    <row r="28" spans="1:5" ht="18" customHeight="1" thickBot="1">
      <c r="A28" s="789" t="s">
        <v>1269</v>
      </c>
      <c r="B28" s="723" t="s">
        <v>90</v>
      </c>
      <c r="C28" s="765"/>
      <c r="D28" s="764"/>
      <c r="E28" s="622">
        <f>E27/E25</f>
        <v>0.33214285714285713</v>
      </c>
    </row>
    <row r="29" spans="1:5" ht="18" customHeight="1" thickTop="1">
      <c r="A29" s="788"/>
      <c r="B29" s="932"/>
      <c r="C29" s="931"/>
      <c r="D29" s="788"/>
      <c r="E29" s="619"/>
    </row>
    <row r="30" spans="1:5" ht="18" customHeight="1">
      <c r="A30" s="524" t="s">
        <v>1268</v>
      </c>
      <c r="B30" s="523"/>
      <c r="C30" s="523"/>
      <c r="D30" s="523"/>
      <c r="E30" s="717"/>
    </row>
    <row r="31" spans="1:5" ht="18" customHeight="1">
      <c r="A31" s="617" t="s">
        <v>1596</v>
      </c>
    </row>
    <row r="32" spans="1:5" ht="18" customHeight="1">
      <c r="A32" s="617" t="s">
        <v>1761</v>
      </c>
    </row>
  </sheetData>
  <mergeCells count="2">
    <mergeCell ref="A5:E5"/>
    <mergeCell ref="A6:E6"/>
  </mergeCells>
  <pageMargins left="1" right="0.5" top="0.75" bottom="0.75" header="0.5" footer="0.5"/>
  <pageSetup paperSize="9" orientation="portrait" horizontalDpi="300" verticalDpi="300" r:id="rId1"/>
  <headerFooter alignWithMargins="0">
    <oddFooter>&amp;CTrang</oddFooter>
  </headerFooter>
  <drawing r:id="rId2"/>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2"/>
  <sheetViews>
    <sheetView workbookViewId="0">
      <selection activeCell="B11" sqref="B11"/>
    </sheetView>
  </sheetViews>
  <sheetFormatPr defaultRowHeight="16.5"/>
  <cols>
    <col min="1" max="1" width="5.140625" style="381" bestFit="1" customWidth="1"/>
    <col min="2" max="2" width="19.28515625" style="381" bestFit="1" customWidth="1"/>
    <col min="3" max="3" width="9.5703125" style="381" customWidth="1"/>
    <col min="4" max="4" width="11.85546875" style="381" bestFit="1" customWidth="1"/>
    <col min="5" max="5" width="19.140625" style="381" bestFit="1" customWidth="1"/>
    <col min="6" max="6" width="16.28515625" style="381" bestFit="1" customWidth="1"/>
    <col min="7" max="7" width="14" style="381" bestFit="1" customWidth="1"/>
    <col min="8" max="8" width="9.28515625" style="381" bestFit="1" customWidth="1"/>
    <col min="9" max="16384" width="9.140625" style="381"/>
  </cols>
  <sheetData>
    <row r="1" spans="1:7">
      <c r="C1" s="381" t="s">
        <v>1016</v>
      </c>
      <c r="G1" s="438" t="s">
        <v>1020</v>
      </c>
    </row>
    <row r="4" spans="1:7" s="450" customFormat="1" ht="33">
      <c r="A4" s="395" t="s">
        <v>0</v>
      </c>
      <c r="B4" s="395" t="s">
        <v>306</v>
      </c>
      <c r="C4" s="395" t="s">
        <v>100</v>
      </c>
      <c r="D4" s="423" t="s">
        <v>1</v>
      </c>
      <c r="E4" s="395" t="s">
        <v>225</v>
      </c>
      <c r="F4" s="395" t="s">
        <v>226</v>
      </c>
    </row>
    <row r="5" spans="1:7">
      <c r="A5" s="374">
        <v>1</v>
      </c>
      <c r="B5" s="375" t="s">
        <v>997</v>
      </c>
      <c r="C5" s="374" t="s">
        <v>228</v>
      </c>
      <c r="D5" s="424">
        <v>65</v>
      </c>
      <c r="E5" s="425">
        <v>300000</v>
      </c>
      <c r="F5" s="426">
        <f>E5*D5</f>
        <v>19500000</v>
      </c>
    </row>
    <row r="6" spans="1:7">
      <c r="A6" s="374">
        <v>2</v>
      </c>
      <c r="B6" s="375" t="s">
        <v>998</v>
      </c>
      <c r="C6" s="374" t="s">
        <v>999</v>
      </c>
      <c r="D6" s="425">
        <v>390</v>
      </c>
      <c r="E6" s="425">
        <v>1500</v>
      </c>
      <c r="F6" s="427">
        <f>D6*E6</f>
        <v>585000</v>
      </c>
    </row>
    <row r="7" spans="1:7">
      <c r="A7" s="374">
        <v>3</v>
      </c>
      <c r="B7" s="375" t="s">
        <v>1000</v>
      </c>
      <c r="C7" s="374" t="s">
        <v>1001</v>
      </c>
      <c r="D7" s="425">
        <v>19500</v>
      </c>
      <c r="E7" s="425">
        <v>1900</v>
      </c>
      <c r="F7" s="427">
        <f t="shared" ref="F7:F16" si="0">D7*E7</f>
        <v>37050000</v>
      </c>
    </row>
    <row r="8" spans="1:7">
      <c r="A8" s="374">
        <v>4</v>
      </c>
      <c r="B8" s="375" t="s">
        <v>1002</v>
      </c>
      <c r="C8" s="374" t="s">
        <v>228</v>
      </c>
      <c r="D8" s="425">
        <v>45.5</v>
      </c>
      <c r="E8" s="425">
        <v>120000</v>
      </c>
      <c r="F8" s="427">
        <f t="shared" si="0"/>
        <v>5460000</v>
      </c>
    </row>
    <row r="9" spans="1:7">
      <c r="A9" s="374">
        <v>5</v>
      </c>
      <c r="B9" s="375" t="s">
        <v>1003</v>
      </c>
      <c r="C9" s="374" t="s">
        <v>1004</v>
      </c>
      <c r="D9" s="425">
        <v>26</v>
      </c>
      <c r="E9" s="425">
        <v>1500000</v>
      </c>
      <c r="F9" s="427">
        <f t="shared" si="0"/>
        <v>39000000</v>
      </c>
    </row>
    <row r="10" spans="1:7">
      <c r="A10" s="374">
        <v>6</v>
      </c>
      <c r="B10" s="375" t="s">
        <v>1005</v>
      </c>
      <c r="C10" s="374" t="s">
        <v>829</v>
      </c>
      <c r="D10" s="425">
        <v>3250</v>
      </c>
      <c r="E10" s="425">
        <v>15000</v>
      </c>
      <c r="F10" s="427">
        <f t="shared" si="0"/>
        <v>48750000</v>
      </c>
    </row>
    <row r="11" spans="1:7">
      <c r="A11" s="374">
        <v>7</v>
      </c>
      <c r="B11" s="375" t="s">
        <v>1006</v>
      </c>
      <c r="C11" s="374" t="s">
        <v>999</v>
      </c>
      <c r="D11" s="425">
        <v>3250</v>
      </c>
      <c r="E11" s="425">
        <v>4200</v>
      </c>
      <c r="F11" s="427">
        <f t="shared" si="0"/>
        <v>13650000</v>
      </c>
    </row>
    <row r="12" spans="1:7">
      <c r="A12" s="374">
        <v>8</v>
      </c>
      <c r="B12" s="428" t="s">
        <v>1007</v>
      </c>
      <c r="C12" s="429" t="s">
        <v>5</v>
      </c>
      <c r="D12" s="430">
        <v>130</v>
      </c>
      <c r="E12" s="431">
        <v>100000</v>
      </c>
      <c r="F12" s="427">
        <f t="shared" si="0"/>
        <v>13000000</v>
      </c>
    </row>
    <row r="13" spans="1:7">
      <c r="A13" s="374">
        <v>9</v>
      </c>
      <c r="B13" s="428" t="s">
        <v>1008</v>
      </c>
      <c r="C13" s="429" t="s">
        <v>5</v>
      </c>
      <c r="D13" s="432">
        <v>104</v>
      </c>
      <c r="E13" s="431">
        <v>100000</v>
      </c>
      <c r="F13" s="427">
        <f t="shared" si="0"/>
        <v>10400000</v>
      </c>
    </row>
    <row r="14" spans="1:7">
      <c r="A14" s="374">
        <v>10</v>
      </c>
      <c r="B14" s="428" t="s">
        <v>1009</v>
      </c>
      <c r="C14" s="429" t="s">
        <v>1010</v>
      </c>
      <c r="D14" s="432">
        <v>65</v>
      </c>
      <c r="E14" s="431">
        <v>450000</v>
      </c>
      <c r="F14" s="427">
        <f t="shared" si="0"/>
        <v>29250000</v>
      </c>
    </row>
    <row r="15" spans="1:7">
      <c r="A15" s="374">
        <v>11</v>
      </c>
      <c r="B15" s="428" t="s">
        <v>1011</v>
      </c>
      <c r="C15" s="429" t="s">
        <v>1012</v>
      </c>
      <c r="D15" s="432">
        <v>130</v>
      </c>
      <c r="E15" s="431">
        <v>120000</v>
      </c>
      <c r="F15" s="427">
        <f t="shared" si="0"/>
        <v>15600000</v>
      </c>
    </row>
    <row r="16" spans="1:7">
      <c r="A16" s="374">
        <v>12</v>
      </c>
      <c r="B16" s="428" t="s">
        <v>1013</v>
      </c>
      <c r="C16" s="429" t="s">
        <v>963</v>
      </c>
      <c r="D16" s="432">
        <v>4</v>
      </c>
      <c r="E16" s="431">
        <v>1850000</v>
      </c>
      <c r="F16" s="427">
        <f t="shared" si="0"/>
        <v>7400000</v>
      </c>
    </row>
    <row r="17" spans="1:8">
      <c r="A17" s="374">
        <v>13</v>
      </c>
      <c r="B17" s="428" t="s">
        <v>1014</v>
      </c>
      <c r="C17" s="429"/>
      <c r="D17" s="432"/>
      <c r="E17" s="431"/>
      <c r="F17" s="430">
        <v>29855000</v>
      </c>
      <c r="G17" s="381">
        <v>25000000</v>
      </c>
    </row>
    <row r="18" spans="1:8">
      <c r="A18" s="374">
        <v>14</v>
      </c>
      <c r="B18" s="375" t="s">
        <v>287</v>
      </c>
      <c r="C18" s="374" t="s">
        <v>511</v>
      </c>
      <c r="D18" s="425">
        <v>400</v>
      </c>
      <c r="E18" s="425">
        <v>250000</v>
      </c>
      <c r="F18" s="427">
        <f>D18*E18</f>
        <v>100000000</v>
      </c>
      <c r="H18" s="381">
        <f>D18*1.3</f>
        <v>520</v>
      </c>
    </row>
    <row r="19" spans="1:8">
      <c r="A19" s="402"/>
      <c r="B19" s="433" t="s">
        <v>1015</v>
      </c>
      <c r="C19" s="402"/>
      <c r="D19" s="434"/>
      <c r="E19" s="434"/>
      <c r="F19" s="435">
        <f>SUM(F6:F18)</f>
        <v>350000000</v>
      </c>
      <c r="G19" s="405">
        <f>300000000-F19</f>
        <v>-50000000</v>
      </c>
    </row>
    <row r="21" spans="1:8">
      <c r="B21" s="484" t="s">
        <v>27</v>
      </c>
      <c r="F21" s="8">
        <v>200000000</v>
      </c>
    </row>
    <row r="22" spans="1:8">
      <c r="B22" s="484" t="s">
        <v>26</v>
      </c>
      <c r="F22" s="405">
        <f>F19-F21</f>
        <v>150000000</v>
      </c>
      <c r="G22" s="15">
        <f>F22/F19</f>
        <v>0.42857142857142855</v>
      </c>
    </row>
  </sheetData>
  <pageMargins left="0.7" right="0.7" top="0.75" bottom="0.75" header="0.3" footer="0.3"/>
  <pageSetup paperSize="9" orientation="portrait" verticalDpi="0" r:id="rId1"/>
  <drawing r:id="rId2"/>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2"/>
  <dimension ref="A1:G32"/>
  <sheetViews>
    <sheetView workbookViewId="0">
      <selection activeCell="C2" sqref="C2"/>
    </sheetView>
  </sheetViews>
  <sheetFormatPr defaultColWidth="9.140625" defaultRowHeight="16.5"/>
  <cols>
    <col min="1" max="1" width="4.85546875" style="311" bestFit="1" customWidth="1"/>
    <col min="2" max="2" width="27.5703125" style="311" bestFit="1" customWidth="1"/>
    <col min="3" max="3" width="13.28515625" style="311" customWidth="1"/>
    <col min="4" max="4" width="12.5703125" style="311" customWidth="1"/>
    <col min="5" max="5" width="16.5703125" style="311" bestFit="1" customWidth="1"/>
    <col min="6" max="6" width="18" style="311" bestFit="1" customWidth="1"/>
    <col min="7" max="8" width="9.140625" style="311"/>
    <col min="9" max="9" width="12.85546875" style="311" bestFit="1" customWidth="1"/>
    <col min="10" max="16384" width="9.140625" style="311"/>
  </cols>
  <sheetData>
    <row r="1" spans="1:7">
      <c r="C1" s="311" t="s">
        <v>2942</v>
      </c>
      <c r="G1" s="309" t="s">
        <v>1020</v>
      </c>
    </row>
    <row r="6" spans="1:7" ht="33">
      <c r="A6" s="177" t="s">
        <v>0</v>
      </c>
      <c r="B6" s="177" t="s">
        <v>2941</v>
      </c>
      <c r="C6" s="177" t="s">
        <v>100</v>
      </c>
      <c r="D6" s="177" t="s">
        <v>1</v>
      </c>
      <c r="E6" s="286" t="s">
        <v>2940</v>
      </c>
      <c r="F6" s="286" t="s">
        <v>2511</v>
      </c>
    </row>
    <row r="7" spans="1:7">
      <c r="A7" s="1542">
        <v>1</v>
      </c>
      <c r="B7" s="1543" t="s">
        <v>2939</v>
      </c>
      <c r="C7" s="1542" t="s">
        <v>3229</v>
      </c>
      <c r="D7" s="1541">
        <v>68</v>
      </c>
      <c r="E7" s="1541">
        <v>120000</v>
      </c>
      <c r="F7" s="1541">
        <f t="shared" ref="F7:F26" si="0">D7*E7</f>
        <v>8160000</v>
      </c>
    </row>
    <row r="8" spans="1:7">
      <c r="A8" s="1542">
        <v>2</v>
      </c>
      <c r="B8" s="1543" t="s">
        <v>2938</v>
      </c>
      <c r="C8" s="1542" t="s">
        <v>3229</v>
      </c>
      <c r="D8" s="1541">
        <v>28</v>
      </c>
      <c r="E8" s="1541">
        <v>150000</v>
      </c>
      <c r="F8" s="1541">
        <f t="shared" si="0"/>
        <v>4200000</v>
      </c>
    </row>
    <row r="9" spans="1:7">
      <c r="A9" s="1542">
        <v>3</v>
      </c>
      <c r="B9" s="1543" t="s">
        <v>2937</v>
      </c>
      <c r="C9" s="1542" t="s">
        <v>2920</v>
      </c>
      <c r="D9" s="1541">
        <v>116</v>
      </c>
      <c r="E9" s="1541">
        <v>25000</v>
      </c>
      <c r="F9" s="1541">
        <f t="shared" si="0"/>
        <v>2900000</v>
      </c>
    </row>
    <row r="10" spans="1:7">
      <c r="A10" s="1542">
        <v>4</v>
      </c>
      <c r="B10" s="1543" t="s">
        <v>2864</v>
      </c>
      <c r="C10" s="1542" t="s">
        <v>3229</v>
      </c>
      <c r="D10" s="1541">
        <v>42</v>
      </c>
      <c r="E10" s="1541">
        <v>190000</v>
      </c>
      <c r="F10" s="1541">
        <f t="shared" si="0"/>
        <v>7980000</v>
      </c>
    </row>
    <row r="11" spans="1:7">
      <c r="A11" s="1542">
        <v>5</v>
      </c>
      <c r="B11" s="1543" t="s">
        <v>2936</v>
      </c>
      <c r="C11" s="1542" t="s">
        <v>3229</v>
      </c>
      <c r="D11" s="1541">
        <v>3</v>
      </c>
      <c r="E11" s="1541">
        <v>160000</v>
      </c>
      <c r="F11" s="1541">
        <f t="shared" si="0"/>
        <v>480000</v>
      </c>
    </row>
    <row r="12" spans="1:7">
      <c r="A12" s="1542">
        <v>6</v>
      </c>
      <c r="B12" s="1543" t="s">
        <v>2935</v>
      </c>
      <c r="C12" s="1542" t="s">
        <v>2920</v>
      </c>
      <c r="D12" s="1541">
        <v>60</v>
      </c>
      <c r="E12" s="1541">
        <v>20000</v>
      </c>
      <c r="F12" s="1541">
        <f t="shared" si="0"/>
        <v>1200000</v>
      </c>
    </row>
    <row r="13" spans="1:7">
      <c r="A13" s="1542">
        <v>7</v>
      </c>
      <c r="B13" s="1543" t="s">
        <v>2934</v>
      </c>
      <c r="C13" s="1542" t="s">
        <v>2925</v>
      </c>
      <c r="D13" s="1541">
        <v>32000</v>
      </c>
      <c r="E13" s="1541">
        <v>2200</v>
      </c>
      <c r="F13" s="1541">
        <f t="shared" si="0"/>
        <v>70400000</v>
      </c>
    </row>
    <row r="14" spans="1:7">
      <c r="A14" s="1542">
        <v>8</v>
      </c>
      <c r="B14" s="1543" t="s">
        <v>2933</v>
      </c>
      <c r="C14" s="1542" t="s">
        <v>2930</v>
      </c>
      <c r="D14" s="1541">
        <v>3</v>
      </c>
      <c r="E14" s="1541">
        <v>11800000</v>
      </c>
      <c r="F14" s="1541">
        <f t="shared" si="0"/>
        <v>35400000</v>
      </c>
    </row>
    <row r="15" spans="1:7">
      <c r="A15" s="1542">
        <v>9</v>
      </c>
      <c r="B15" s="1543" t="s">
        <v>2932</v>
      </c>
      <c r="C15" s="1542" t="s">
        <v>2930</v>
      </c>
      <c r="D15" s="1541">
        <v>1.5</v>
      </c>
      <c r="E15" s="1541">
        <v>11800000</v>
      </c>
      <c r="F15" s="1541">
        <f t="shared" si="0"/>
        <v>17700000</v>
      </c>
    </row>
    <row r="16" spans="1:7">
      <c r="A16" s="1542">
        <v>10</v>
      </c>
      <c r="B16" s="1543" t="s">
        <v>2931</v>
      </c>
      <c r="C16" s="1542" t="s">
        <v>2930</v>
      </c>
      <c r="D16" s="1541">
        <v>2.4</v>
      </c>
      <c r="E16" s="1541">
        <v>11800000</v>
      </c>
      <c r="F16" s="1541">
        <f t="shared" si="0"/>
        <v>28320000</v>
      </c>
    </row>
    <row r="17" spans="1:6">
      <c r="A17" s="1542">
        <v>11</v>
      </c>
      <c r="B17" s="1543" t="s">
        <v>2929</v>
      </c>
      <c r="C17" s="1542" t="s">
        <v>2920</v>
      </c>
      <c r="D17" s="1541">
        <v>17500</v>
      </c>
      <c r="E17" s="1541">
        <v>1800</v>
      </c>
      <c r="F17" s="1541">
        <f t="shared" si="0"/>
        <v>31500000</v>
      </c>
    </row>
    <row r="18" spans="1:6">
      <c r="A18" s="1542">
        <v>12</v>
      </c>
      <c r="B18" s="1543" t="s">
        <v>2928</v>
      </c>
      <c r="C18" s="1542" t="s">
        <v>3230</v>
      </c>
      <c r="D18" s="1541">
        <v>22</v>
      </c>
      <c r="E18" s="1541">
        <v>850000</v>
      </c>
      <c r="F18" s="1541">
        <f t="shared" si="0"/>
        <v>18700000</v>
      </c>
    </row>
    <row r="19" spans="1:6">
      <c r="A19" s="1542">
        <v>13</v>
      </c>
      <c r="B19" s="1543" t="s">
        <v>2927</v>
      </c>
      <c r="C19" s="1542" t="s">
        <v>3230</v>
      </c>
      <c r="D19" s="1541">
        <v>130</v>
      </c>
      <c r="E19" s="1541">
        <v>350000</v>
      </c>
      <c r="F19" s="1541">
        <f t="shared" si="0"/>
        <v>45500000</v>
      </c>
    </row>
    <row r="20" spans="1:6">
      <c r="A20" s="1542">
        <v>15</v>
      </c>
      <c r="B20" s="1543" t="s">
        <v>1006</v>
      </c>
      <c r="C20" s="1542" t="s">
        <v>2925</v>
      </c>
      <c r="D20" s="1541">
        <v>3300</v>
      </c>
      <c r="E20" s="1541">
        <v>10000</v>
      </c>
      <c r="F20" s="1541">
        <f t="shared" si="0"/>
        <v>33000000</v>
      </c>
    </row>
    <row r="21" spans="1:6">
      <c r="A21" s="1542">
        <v>16</v>
      </c>
      <c r="B21" s="1543" t="s">
        <v>2926</v>
      </c>
      <c r="C21" s="1542" t="s">
        <v>2925</v>
      </c>
      <c r="D21" s="1541">
        <v>66</v>
      </c>
      <c r="E21" s="1541">
        <v>14000</v>
      </c>
      <c r="F21" s="1541">
        <f t="shared" si="0"/>
        <v>924000</v>
      </c>
    </row>
    <row r="22" spans="1:6">
      <c r="A22" s="1542">
        <v>17</v>
      </c>
      <c r="B22" s="1543" t="s">
        <v>2924</v>
      </c>
      <c r="C22" s="1542" t="s">
        <v>3230</v>
      </c>
      <c r="D22" s="1541">
        <v>100</v>
      </c>
      <c r="E22" s="1541">
        <v>110000</v>
      </c>
      <c r="F22" s="1541">
        <f t="shared" si="0"/>
        <v>11000000</v>
      </c>
    </row>
    <row r="23" spans="1:6">
      <c r="A23" s="1542">
        <v>18</v>
      </c>
      <c r="B23" s="1543" t="s">
        <v>2923</v>
      </c>
      <c r="C23" s="1542" t="s">
        <v>3230</v>
      </c>
      <c r="D23" s="1541">
        <v>200</v>
      </c>
      <c r="E23" s="1541">
        <v>90000</v>
      </c>
      <c r="F23" s="1541">
        <f t="shared" si="0"/>
        <v>18000000</v>
      </c>
    </row>
    <row r="24" spans="1:6">
      <c r="A24" s="1542">
        <v>19</v>
      </c>
      <c r="B24" s="1543" t="s">
        <v>2922</v>
      </c>
      <c r="C24" s="1542" t="s">
        <v>2920</v>
      </c>
      <c r="D24" s="1541">
        <v>910</v>
      </c>
      <c r="E24" s="1541">
        <v>50000</v>
      </c>
      <c r="F24" s="1541">
        <f t="shared" si="0"/>
        <v>45500000</v>
      </c>
    </row>
    <row r="25" spans="1:6">
      <c r="A25" s="1542">
        <v>20</v>
      </c>
      <c r="B25" s="1543" t="s">
        <v>2921</v>
      </c>
      <c r="C25" s="1542" t="s">
        <v>2920</v>
      </c>
      <c r="D25" s="1541">
        <v>28</v>
      </c>
      <c r="E25" s="1541">
        <v>3000</v>
      </c>
      <c r="F25" s="1541">
        <f t="shared" si="0"/>
        <v>84000</v>
      </c>
    </row>
    <row r="26" spans="1:6">
      <c r="A26" s="1542">
        <v>22</v>
      </c>
      <c r="B26" s="1543" t="s">
        <v>2919</v>
      </c>
      <c r="C26" s="1542" t="s">
        <v>3230</v>
      </c>
      <c r="D26" s="1541">
        <v>40</v>
      </c>
      <c r="E26" s="1541">
        <v>2300000</v>
      </c>
      <c r="F26" s="1541">
        <f t="shared" si="0"/>
        <v>92000000</v>
      </c>
    </row>
    <row r="27" spans="1:6">
      <c r="A27" s="1542">
        <v>21</v>
      </c>
      <c r="B27" s="1543" t="s">
        <v>2918</v>
      </c>
      <c r="C27" s="1545" t="s">
        <v>2915</v>
      </c>
      <c r="D27" s="1544"/>
      <c r="E27" s="1544">
        <v>28000000</v>
      </c>
      <c r="F27" s="1541">
        <v>28000000</v>
      </c>
    </row>
    <row r="28" spans="1:6">
      <c r="A28" s="1542">
        <v>23</v>
      </c>
      <c r="B28" s="1543" t="s">
        <v>2917</v>
      </c>
      <c r="C28" s="1545" t="s">
        <v>2915</v>
      </c>
      <c r="D28" s="1544"/>
      <c r="E28" s="1544">
        <v>33600000</v>
      </c>
      <c r="F28" s="1541">
        <v>33600000</v>
      </c>
    </row>
    <row r="29" spans="1:6">
      <c r="A29" s="1542">
        <v>24</v>
      </c>
      <c r="B29" s="1543" t="s">
        <v>2916</v>
      </c>
      <c r="C29" s="1545" t="s">
        <v>2915</v>
      </c>
      <c r="D29" s="1544"/>
      <c r="E29" s="1544">
        <v>24400000</v>
      </c>
      <c r="F29" s="1541">
        <v>24400000</v>
      </c>
    </row>
    <row r="30" spans="1:6">
      <c r="A30" s="1542">
        <v>25</v>
      </c>
      <c r="B30" s="1543" t="s">
        <v>9</v>
      </c>
      <c r="C30" s="1545" t="s">
        <v>3230</v>
      </c>
      <c r="D30" s="1544">
        <v>100</v>
      </c>
      <c r="E30" s="1544">
        <v>2000000</v>
      </c>
      <c r="F30" s="1541">
        <f>D30*E30</f>
        <v>200000000</v>
      </c>
    </row>
    <row r="31" spans="1:6">
      <c r="A31" s="1542">
        <v>26</v>
      </c>
      <c r="B31" s="1543" t="s">
        <v>217</v>
      </c>
      <c r="C31" s="1542"/>
      <c r="D31" s="1541"/>
      <c r="E31" s="1541"/>
      <c r="F31" s="1541">
        <v>150000000</v>
      </c>
    </row>
    <row r="32" spans="1:6">
      <c r="A32" s="2823" t="s">
        <v>234</v>
      </c>
      <c r="B32" s="2824"/>
      <c r="C32" s="2824"/>
      <c r="D32" s="2824"/>
      <c r="E32" s="2825"/>
      <c r="F32" s="1540">
        <f>SUM(F7:F31)</f>
        <v>908948000</v>
      </c>
    </row>
  </sheetData>
  <mergeCells count="1">
    <mergeCell ref="A32:E32"/>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152</vt:i4>
      </vt:variant>
    </vt:vector>
  </HeadingPairs>
  <TitlesOfParts>
    <vt:vector size="152" baseType="lpstr">
      <vt:lpstr>HOME</vt:lpstr>
      <vt:lpstr>CafeNH</vt:lpstr>
      <vt:lpstr>CSCaPhe</vt:lpstr>
      <vt:lpstr>CSCaoSu</vt:lpstr>
      <vt:lpstr>CSCaphe2</vt:lpstr>
      <vt:lpstr>MangCau</vt:lpstr>
      <vt:lpstr>CSDieu</vt:lpstr>
      <vt:lpstr>BoSua</vt:lpstr>
      <vt:lpstr>BoVoBeo</vt:lpstr>
      <vt:lpstr>NuoiDe</vt:lpstr>
      <vt:lpstr>NuoiGa</vt:lpstr>
      <vt:lpstr>GaThit</vt:lpstr>
      <vt:lpstr>GaDe</vt:lpstr>
      <vt:lpstr>HeoSS</vt:lpstr>
      <vt:lpstr>NuoiHeo</vt:lpstr>
      <vt:lpstr>HeoThit</vt:lpstr>
      <vt:lpstr>LonVoBeo</vt:lpstr>
      <vt:lpstr>TrauSS</vt:lpstr>
      <vt:lpstr>TrauVoBeo</vt:lpstr>
      <vt:lpstr>TrauBoSS</vt:lpstr>
      <vt:lpstr>TrauBoThit</vt:lpstr>
      <vt:lpstr>CNTom</vt:lpstr>
      <vt:lpstr>BotDa</vt:lpstr>
      <vt:lpstr>CheBienDa</vt:lpstr>
      <vt:lpstr>DaMyNghe</vt:lpstr>
      <vt:lpstr>BCS</vt:lpstr>
      <vt:lpstr>HoaHoi</vt:lpstr>
      <vt:lpstr>SanhSu</vt:lpstr>
      <vt:lpstr>KHBepGas</vt:lpstr>
      <vt:lpstr>ChanGa</vt:lpstr>
      <vt:lpstr>DaLanh</vt:lpstr>
      <vt:lpstr>CayCanh</vt:lpstr>
      <vt:lpstr>SaLon</vt:lpstr>
      <vt:lpstr>Internet</vt:lpstr>
      <vt:lpstr>Karaoke</vt:lpstr>
      <vt:lpstr>GiatSay</vt:lpstr>
      <vt:lpstr>CoKhi</vt:lpstr>
      <vt:lpstr>LuuNiem</vt:lpstr>
      <vt:lpstr>LuuNiem (2)</vt:lpstr>
      <vt:lpstr>VangMa</vt:lpstr>
      <vt:lpstr>NongSan1</vt:lpstr>
      <vt:lpstr>NongSan2</vt:lpstr>
      <vt:lpstr>NongSan3</vt:lpstr>
      <vt:lpstr>NongLamSan</vt:lpstr>
      <vt:lpstr>TapHoa</vt:lpstr>
      <vt:lpstr>VanPhongPham</vt:lpstr>
      <vt:lpstr>Dien</vt:lpstr>
      <vt:lpstr>DienMay</vt:lpstr>
      <vt:lpstr>LuaGao</vt:lpstr>
      <vt:lpstr>ViTinh</vt:lpstr>
      <vt:lpstr>NhaHang</vt:lpstr>
      <vt:lpstr>NhaHang1</vt:lpstr>
      <vt:lpstr>NhaHang2</vt:lpstr>
      <vt:lpstr>NhaNghi</vt:lpstr>
      <vt:lpstr>NhomKinh</vt:lpstr>
      <vt:lpstr>NhacCu</vt:lpstr>
      <vt:lpstr>QuanNuoc</vt:lpstr>
      <vt:lpstr>QuanNuoc2</vt:lpstr>
      <vt:lpstr>NoiThatGo</vt:lpstr>
      <vt:lpstr>BVTV</vt:lpstr>
      <vt:lpstr>PhongTro</vt:lpstr>
      <vt:lpstr>MyPham</vt:lpstr>
      <vt:lpstr>VaiVoc</vt:lpstr>
      <vt:lpstr>SCXeMay</vt:lpstr>
      <vt:lpstr>PhuTungXeMay</vt:lpstr>
      <vt:lpstr>PhuTungOtO1</vt:lpstr>
      <vt:lpstr>PhuTungOtO</vt:lpstr>
      <vt:lpstr>QuanCafe</vt:lpstr>
      <vt:lpstr>ComBD</vt:lpstr>
      <vt:lpstr>QuanAo</vt:lpstr>
      <vt:lpstr>QuanAo (2)</vt:lpstr>
      <vt:lpstr>QuanAoTT</vt:lpstr>
      <vt:lpstr>RemCua</vt:lpstr>
      <vt:lpstr>Ruou</vt:lpstr>
      <vt:lpstr>Cuomhat</vt:lpstr>
      <vt:lpstr>ThietBiBep</vt:lpstr>
      <vt:lpstr>VeSinh</vt:lpstr>
      <vt:lpstr>ThuY</vt:lpstr>
      <vt:lpstr>TrongLuaTH</vt:lpstr>
      <vt:lpstr>ThucAnCN2</vt:lpstr>
      <vt:lpstr>ThucAnCN</vt:lpstr>
      <vt:lpstr>PhanBon</vt:lpstr>
      <vt:lpstr>BanhNgot</vt:lpstr>
      <vt:lpstr>VLXD</vt:lpstr>
      <vt:lpstr>VatLieuXD</vt:lpstr>
      <vt:lpstr>VLXD2</vt:lpstr>
      <vt:lpstr>XeDapDien</vt:lpstr>
      <vt:lpstr>XangDau</vt:lpstr>
      <vt:lpstr>XangDau (2)</vt:lpstr>
      <vt:lpstr>DienThoai</vt:lpstr>
      <vt:lpstr>DienThoai2</vt:lpstr>
      <vt:lpstr>NoiThat</vt:lpstr>
      <vt:lpstr>DienNuoc</vt:lpstr>
      <vt:lpstr>KeoNH</vt:lpstr>
      <vt:lpstr>MayCay</vt:lpstr>
      <vt:lpstr>MayXuc</vt:lpstr>
      <vt:lpstr>XeTai</vt:lpstr>
      <vt:lpstr>DauKeo</vt:lpstr>
      <vt:lpstr>XeKhach</vt:lpstr>
      <vt:lpstr>VoThuat</vt:lpstr>
      <vt:lpstr>BanGheDa</vt:lpstr>
      <vt:lpstr>BeTongTuoi</vt:lpstr>
      <vt:lpstr>NhomKinh (2)</vt:lpstr>
      <vt:lpstr>TapLo</vt:lpstr>
      <vt:lpstr>MocDanDung</vt:lpstr>
      <vt:lpstr>GoCongNghiep</vt:lpstr>
      <vt:lpstr>NuoiBo</vt:lpstr>
      <vt:lpstr>TrangTrai</vt:lpstr>
      <vt:lpstr>CafeTH</vt:lpstr>
      <vt:lpstr>ChanNuoiTH</vt:lpstr>
      <vt:lpstr>Cafe3</vt:lpstr>
      <vt:lpstr>Atiso</vt:lpstr>
      <vt:lpstr>TrongBuoi</vt:lpstr>
      <vt:lpstr>CaChua</vt:lpstr>
      <vt:lpstr>CaCao</vt:lpstr>
      <vt:lpstr>CheCanh</vt:lpstr>
      <vt:lpstr>TieuCafe</vt:lpstr>
      <vt:lpstr>Carot</vt:lpstr>
      <vt:lpstr>KhoaiTay</vt:lpstr>
      <vt:lpstr>TrongMi</vt:lpstr>
      <vt:lpstr>CayMit</vt:lpstr>
      <vt:lpstr>MacCa1</vt:lpstr>
      <vt:lpstr>MacCa2</vt:lpstr>
      <vt:lpstr>SauRieng</vt:lpstr>
      <vt:lpstr>SauRieng (2)</vt:lpstr>
      <vt:lpstr>Tieu</vt:lpstr>
      <vt:lpstr>CayDieu</vt:lpstr>
      <vt:lpstr>BoXoi</vt:lpstr>
      <vt:lpstr>CaiThao</vt:lpstr>
      <vt:lpstr>DauTay</vt:lpstr>
      <vt:lpstr>HoaCatTuong</vt:lpstr>
      <vt:lpstr>HoaCucChum</vt:lpstr>
      <vt:lpstr>HoaCucDoa</vt:lpstr>
      <vt:lpstr>HoaCamChuong</vt:lpstr>
      <vt:lpstr>HoaHong</vt:lpstr>
      <vt:lpstr>HoaHongMon</vt:lpstr>
      <vt:lpstr>HoaLayOn</vt:lpstr>
      <vt:lpstr>HoaLyLy</vt:lpstr>
      <vt:lpstr>HoaSaLem</vt:lpstr>
      <vt:lpstr>HoaDiaLan</vt:lpstr>
      <vt:lpstr>HoaDongTien</vt:lpstr>
      <vt:lpstr>HanhLa</vt:lpstr>
      <vt:lpstr>HanhTay</vt:lpstr>
      <vt:lpstr>Lua</vt:lpstr>
      <vt:lpstr>MaiGhep</vt:lpstr>
      <vt:lpstr>Ngo</vt:lpstr>
      <vt:lpstr>SuSu</vt:lpstr>
      <vt:lpstr>SuLo</vt:lpstr>
      <vt:lpstr>XaLach</vt:lpstr>
      <vt:lpstr>OtNgot</vt:lpstr>
      <vt:lpstr>XayNha</vt:lpstr>
      <vt:lpstr>XayNha (2)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Thach - 3613</dc:creator>
  <cp:lastModifiedBy>Hoang Thach - 3612</cp:lastModifiedBy>
  <dcterms:created xsi:type="dcterms:W3CDTF">2023-12-08T04:01:18Z</dcterms:created>
  <dcterms:modified xsi:type="dcterms:W3CDTF">2024-05-31T07:31:56Z</dcterms:modified>
</cp:coreProperties>
</file>