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1.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Project\Personal-Financial-Planning\"/>
    </mc:Choice>
  </mc:AlternateContent>
  <workbookProtection workbookAlgorithmName="SHA-512" workbookHashValue="GWjR1vnZjfNz0dlx/KJVBDBGMkHIoIoQCof7Nt/qWKydmIzABgVYbvn2qmVqVc30ZgNkwNQtIwxGWc7zK13wfQ==" workbookSaltValue="AaHFIwtOO+v29LP5rj6NUw==" workbookSpinCount="100000" lockStructure="1"/>
  <bookViews>
    <workbookView xWindow="0" yWindow="0" windowWidth="20490" windowHeight="9000" tabRatio="818"/>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sset Allocation" sheetId="19" r:id="rId12"/>
    <sheet name="Annual Forecast" sheetId="12" r:id="rId13"/>
    <sheet name="Actual v.s Forecast-MTD" sheetId="13" r:id="rId14"/>
    <sheet name="Actual v.s Forecast-YTD" sheetId="14" r:id="rId15"/>
    <sheet name="Actual by month" sheetId="18" r:id="rId16"/>
  </sheet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0" r:id="rId17"/>
    <pivotCache cacheId="1" r:id="rId18"/>
    <pivotCache cacheId="2" r:id="rId19"/>
    <pivotCache cacheId="3" r:id="rId20"/>
    <pivotCache cacheId="4" r:id="rId2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8" i="8" l="1"/>
  <c r="C19" i="8"/>
  <c r="D10" i="7" l="1"/>
  <c r="D13" i="7" s="1"/>
  <c r="B18" i="19" l="1"/>
  <c r="G18" i="19"/>
  <c r="B19" i="19"/>
  <c r="B20" i="19"/>
  <c r="B21" i="19"/>
  <c r="B22" i="19"/>
  <c r="B23" i="19"/>
  <c r="B24" i="19"/>
  <c r="B25" i="19"/>
  <c r="G19" i="19"/>
  <c r="G20" i="19"/>
  <c r="G21" i="19"/>
  <c r="G22" i="19"/>
  <c r="G23" i="19"/>
  <c r="G24" i="19"/>
  <c r="G25" i="19"/>
  <c r="B14" i="19"/>
  <c r="B15" i="19"/>
  <c r="B16" i="19"/>
  <c r="B17" i="19"/>
  <c r="G14" i="19"/>
  <c r="G15" i="19"/>
  <c r="G16" i="19"/>
  <c r="G17" i="19"/>
  <c r="D13" i="19"/>
  <c r="H19" i="19"/>
  <c r="H20" i="19"/>
  <c r="H21" i="19"/>
  <c r="H22" i="19"/>
  <c r="H16" i="19"/>
  <c r="H14" i="19" l="1"/>
  <c r="C3" i="19"/>
  <c r="C2" i="19"/>
  <c r="H18" i="19" l="1"/>
  <c r="C3" i="18"/>
  <c r="H17" i="19" l="1"/>
  <c r="G10" i="8" l="1"/>
  <c r="C13" i="16" l="1"/>
  <c r="B13" i="16"/>
  <c r="B2" i="3" l="1"/>
  <c r="G15" i="8" l="1"/>
  <c r="G16" i="8"/>
  <c r="G17" i="8"/>
  <c r="C10" i="3" l="1"/>
  <c r="C11" i="3"/>
  <c r="C12" i="3"/>
  <c r="C13" i="3"/>
  <c r="C14" i="3"/>
  <c r="C15" i="3"/>
  <c r="C16" i="3"/>
  <c r="C17" i="3"/>
  <c r="C18" i="3"/>
  <c r="C19" i="3"/>
  <c r="C20"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2" i="18" s="1"/>
  <c r="C3" i="6"/>
  <c r="B19" i="16" l="1"/>
  <c r="F19" i="16" s="1"/>
  <c r="C18" i="16"/>
  <c r="C3" i="14"/>
  <c r="C2" i="12"/>
  <c r="C4" i="4"/>
  <c r="C4" i="6"/>
  <c r="C4" i="5"/>
  <c r="C3" i="15"/>
  <c r="C3" i="9"/>
  <c r="C3" i="8"/>
  <c r="C3" i="7"/>
  <c r="AG7" i="7" l="1"/>
  <c r="AC7" i="7"/>
  <c r="Y7" i="7"/>
  <c r="AF7" i="7"/>
  <c r="AB7" i="7"/>
  <c r="X7" i="7"/>
  <c r="V7" i="7"/>
  <c r="AD7" i="7"/>
  <c r="Z7" i="7"/>
  <c r="AE7" i="7"/>
  <c r="AA7" i="7"/>
  <c r="W7" i="7"/>
  <c r="L7" i="8"/>
  <c r="Z7" i="8"/>
  <c r="AD7" i="8"/>
  <c r="V7" i="8"/>
  <c r="Y7" i="8"/>
  <c r="AC7" i="8"/>
  <c r="AG7" i="8"/>
  <c r="W7" i="8"/>
  <c r="AA7" i="8"/>
  <c r="AE7" i="8"/>
  <c r="X7" i="8"/>
  <c r="AB7" i="8"/>
  <c r="AF7" i="8"/>
  <c r="C19" i="16"/>
  <c r="B20" i="16"/>
  <c r="F20" i="16" s="1"/>
  <c r="S7" i="8"/>
  <c r="O7" i="8"/>
  <c r="K7" i="8"/>
  <c r="J7" i="8"/>
  <c r="R7" i="8"/>
  <c r="N7" i="8"/>
  <c r="U7" i="8"/>
  <c r="Q7" i="8"/>
  <c r="M7" i="8"/>
  <c r="T7" i="8"/>
  <c r="P7" i="8"/>
  <c r="Q11" i="8" l="1"/>
  <c r="Q12" i="8"/>
  <c r="Q13" i="8"/>
  <c r="Q14" i="8"/>
  <c r="Q15" i="8"/>
  <c r="Q16" i="8"/>
  <c r="Q17" i="8"/>
  <c r="Q10" i="8"/>
  <c r="Q18" i="8"/>
  <c r="X18" i="8"/>
  <c r="X11" i="8"/>
  <c r="X12" i="8"/>
  <c r="X13" i="8"/>
  <c r="X14" i="8"/>
  <c r="X15" i="8"/>
  <c r="X16" i="8"/>
  <c r="X17" i="8"/>
  <c r="X10" i="8"/>
  <c r="AD11" i="8"/>
  <c r="AD12" i="8"/>
  <c r="AD13" i="8"/>
  <c r="AD14" i="8"/>
  <c r="AD15" i="8"/>
  <c r="AD16" i="8"/>
  <c r="AD17" i="8"/>
  <c r="AD18" i="8"/>
  <c r="AD10" i="8"/>
  <c r="U18" i="8"/>
  <c r="U12" i="8"/>
  <c r="U14" i="8"/>
  <c r="U16" i="8"/>
  <c r="U13" i="8"/>
  <c r="U17" i="8"/>
  <c r="U11" i="8"/>
  <c r="U15" i="8"/>
  <c r="U10" i="8"/>
  <c r="AE11" i="8"/>
  <c r="AE12" i="8"/>
  <c r="AE13" i="8"/>
  <c r="AE14" i="8"/>
  <c r="AE15" i="8"/>
  <c r="AE16" i="8"/>
  <c r="AE17" i="8"/>
  <c r="AE18" i="8"/>
  <c r="AE10" i="8"/>
  <c r="AC18" i="8"/>
  <c r="AC11" i="8"/>
  <c r="AC13" i="8"/>
  <c r="AC15" i="8"/>
  <c r="AC17" i="8"/>
  <c r="AC14" i="8"/>
  <c r="AC16" i="8"/>
  <c r="AC12" i="8"/>
  <c r="AC10" i="8"/>
  <c r="M18" i="8"/>
  <c r="M11" i="8"/>
  <c r="M13" i="8"/>
  <c r="M15" i="8"/>
  <c r="M17" i="8"/>
  <c r="M12" i="8"/>
  <c r="M16" i="8"/>
  <c r="M14" i="8"/>
  <c r="M10" i="8"/>
  <c r="R18" i="8"/>
  <c r="R11" i="8"/>
  <c r="R12" i="8"/>
  <c r="R13" i="8"/>
  <c r="R14" i="8"/>
  <c r="R15" i="8"/>
  <c r="R16" i="8"/>
  <c r="R17" i="8"/>
  <c r="R10" i="8"/>
  <c r="S18" i="8"/>
  <c r="S11" i="8"/>
  <c r="S12" i="8"/>
  <c r="S13" i="8"/>
  <c r="S14" i="8"/>
  <c r="S15" i="8"/>
  <c r="S16" i="8"/>
  <c r="S17" i="8"/>
  <c r="S10" i="8"/>
  <c r="AB18" i="8"/>
  <c r="AB11" i="8"/>
  <c r="AB13" i="8"/>
  <c r="AB15" i="8"/>
  <c r="AB17" i="8"/>
  <c r="AB12" i="8"/>
  <c r="AB16" i="8"/>
  <c r="AB14" i="8"/>
  <c r="AB10" i="8"/>
  <c r="W11" i="8"/>
  <c r="W12" i="8"/>
  <c r="W13" i="8"/>
  <c r="W14" i="8"/>
  <c r="W15" i="8"/>
  <c r="W16" i="8"/>
  <c r="W17" i="8"/>
  <c r="W18" i="8"/>
  <c r="W10" i="8"/>
  <c r="V11" i="8"/>
  <c r="V12" i="8"/>
  <c r="V13" i="8"/>
  <c r="V14" i="8"/>
  <c r="V15" i="8"/>
  <c r="V16" i="8"/>
  <c r="V17" i="8"/>
  <c r="V18" i="8"/>
  <c r="V10" i="8"/>
  <c r="J18" i="8"/>
  <c r="J11" i="8"/>
  <c r="J12" i="8"/>
  <c r="J13" i="8"/>
  <c r="J14" i="8"/>
  <c r="J15" i="8"/>
  <c r="J16" i="8"/>
  <c r="J17" i="8"/>
  <c r="J10" i="8"/>
  <c r="AG18" i="8"/>
  <c r="AG11" i="8"/>
  <c r="AG12" i="8"/>
  <c r="AG13" i="8"/>
  <c r="AG14" i="8"/>
  <c r="AG15" i="8"/>
  <c r="AG16" i="8"/>
  <c r="AG17" i="8"/>
  <c r="AG10" i="8"/>
  <c r="P11" i="8"/>
  <c r="P12" i="8"/>
  <c r="P13" i="8"/>
  <c r="P14" i="8"/>
  <c r="P15" i="8"/>
  <c r="P16" i="8"/>
  <c r="P17" i="8"/>
  <c r="P18" i="8"/>
  <c r="P10" i="8"/>
  <c r="K18" i="8"/>
  <c r="K11" i="8"/>
  <c r="K12" i="8"/>
  <c r="K13" i="8"/>
  <c r="K14" i="8"/>
  <c r="K15" i="8"/>
  <c r="K16" i="8"/>
  <c r="K17" i="8"/>
  <c r="K10" i="8"/>
  <c r="Z11" i="8"/>
  <c r="Z12" i="8"/>
  <c r="Z13" i="8"/>
  <c r="Z14" i="8"/>
  <c r="Z15" i="8"/>
  <c r="Z16" i="8"/>
  <c r="Z17" i="8"/>
  <c r="Z18" i="8"/>
  <c r="Z10" i="8"/>
  <c r="T18" i="8"/>
  <c r="T12" i="8"/>
  <c r="T14" i="8"/>
  <c r="T16" i="8"/>
  <c r="T11" i="8"/>
  <c r="T15" i="8"/>
  <c r="T17" i="8"/>
  <c r="T13" i="8"/>
  <c r="T10" i="8"/>
  <c r="N18" i="8"/>
  <c r="N11" i="8"/>
  <c r="N12" i="8"/>
  <c r="N13" i="8"/>
  <c r="N14" i="8"/>
  <c r="N15" i="8"/>
  <c r="N16" i="8"/>
  <c r="N17" i="8"/>
  <c r="N10" i="8"/>
  <c r="O18" i="8"/>
  <c r="O11" i="8"/>
  <c r="O12" i="8"/>
  <c r="O13" i="8"/>
  <c r="O14" i="8"/>
  <c r="O15" i="8"/>
  <c r="O16" i="8"/>
  <c r="O17" i="8"/>
  <c r="O10" i="8"/>
  <c r="AF18" i="8"/>
  <c r="AF11" i="8"/>
  <c r="AF12" i="8"/>
  <c r="AF13" i="8"/>
  <c r="AF14" i="8"/>
  <c r="AF15" i="8"/>
  <c r="AF16" i="8"/>
  <c r="AF17" i="8"/>
  <c r="AF10" i="8"/>
  <c r="AA11" i="8"/>
  <c r="AA12" i="8"/>
  <c r="AA13" i="8"/>
  <c r="AA14" i="8"/>
  <c r="AA15" i="8"/>
  <c r="AA16" i="8"/>
  <c r="AA17" i="8"/>
  <c r="AA18" i="8"/>
  <c r="AA10" i="8"/>
  <c r="Y18" i="8"/>
  <c r="Y11" i="8"/>
  <c r="Y12" i="8"/>
  <c r="Y13" i="8"/>
  <c r="Y14" i="8"/>
  <c r="Y15" i="8"/>
  <c r="Y16" i="8"/>
  <c r="Y17" i="8"/>
  <c r="Y10" i="8"/>
  <c r="L18" i="8"/>
  <c r="L11" i="8"/>
  <c r="L13" i="8"/>
  <c r="L15" i="8"/>
  <c r="L17" i="8"/>
  <c r="L14" i="8"/>
  <c r="L12" i="8"/>
  <c r="L10" i="8"/>
  <c r="L16" i="8"/>
  <c r="AA12" i="7"/>
  <c r="AA11" i="7"/>
  <c r="AA10" i="7"/>
  <c r="AA9" i="7"/>
  <c r="Y12" i="7"/>
  <c r="Y11" i="7"/>
  <c r="Y10" i="7"/>
  <c r="Y9" i="7"/>
  <c r="X12" i="7"/>
  <c r="X11" i="7"/>
  <c r="X10" i="7"/>
  <c r="X9" i="7"/>
  <c r="W9" i="7"/>
  <c r="W12" i="7"/>
  <c r="W11" i="7"/>
  <c r="W10" i="7"/>
  <c r="AD12" i="7"/>
  <c r="AD11" i="7"/>
  <c r="AD10" i="7"/>
  <c r="AD9" i="7"/>
  <c r="AF12" i="7"/>
  <c r="AF11" i="7"/>
  <c r="AF10" i="7"/>
  <c r="AF9" i="7"/>
  <c r="V12" i="7"/>
  <c r="V11" i="7"/>
  <c r="V10" i="7"/>
  <c r="V9" i="7"/>
  <c r="AE11" i="7"/>
  <c r="AE10" i="7"/>
  <c r="AE12" i="7"/>
  <c r="AE9" i="7"/>
  <c r="AC12" i="7"/>
  <c r="AC11" i="7"/>
  <c r="AC10" i="7"/>
  <c r="AC9" i="7"/>
  <c r="Z12" i="7"/>
  <c r="Z9" i="7"/>
  <c r="Z11" i="7"/>
  <c r="Z10" i="7"/>
  <c r="AB12" i="7"/>
  <c r="AB11" i="7"/>
  <c r="AB10" i="7"/>
  <c r="AB9" i="7"/>
  <c r="AG12" i="7"/>
  <c r="AG11" i="7"/>
  <c r="AG10" i="7"/>
  <c r="AG9" i="7"/>
  <c r="AB9" i="8"/>
  <c r="W9" i="8"/>
  <c r="V9" i="8"/>
  <c r="X9" i="8"/>
  <c r="AG9" i="8"/>
  <c r="AD9" i="8"/>
  <c r="AE9" i="8"/>
  <c r="AC9" i="8"/>
  <c r="Z9" i="8"/>
  <c r="AF9" i="8"/>
  <c r="AA9" i="8"/>
  <c r="Y9" i="8"/>
  <c r="C20" i="16"/>
  <c r="B21" i="16"/>
  <c r="F21" i="16" s="1"/>
  <c r="K7" i="7"/>
  <c r="L7" i="7"/>
  <c r="M7" i="7"/>
  <c r="N7" i="7"/>
  <c r="O7" i="7"/>
  <c r="P7" i="7"/>
  <c r="Q7" i="7"/>
  <c r="R7" i="7"/>
  <c r="S7" i="7"/>
  <c r="T7" i="7"/>
  <c r="U7" i="7"/>
  <c r="J7" i="7"/>
  <c r="I17" i="8" l="1"/>
  <c r="I18" i="8"/>
  <c r="I14" i="8"/>
  <c r="I15" i="8"/>
  <c r="I16" i="8"/>
  <c r="AB13" i="7"/>
  <c r="AE13" i="7"/>
  <c r="AF13" i="7"/>
  <c r="X13" i="7"/>
  <c r="AA13" i="7"/>
  <c r="AC13" i="7"/>
  <c r="W13" i="7"/>
  <c r="Z13" i="7"/>
  <c r="V13" i="7"/>
  <c r="AD13" i="7"/>
  <c r="Y13" i="7"/>
  <c r="Q12" i="7"/>
  <c r="Q11" i="7"/>
  <c r="Q10" i="7"/>
  <c r="Q9" i="7"/>
  <c r="L9" i="7"/>
  <c r="L12" i="7"/>
  <c r="L11" i="7"/>
  <c r="L10" i="7"/>
  <c r="O9" i="7"/>
  <c r="O11" i="7"/>
  <c r="O10" i="7"/>
  <c r="O12" i="7"/>
  <c r="U12" i="7"/>
  <c r="U11" i="7"/>
  <c r="U10" i="7"/>
  <c r="U9" i="7"/>
  <c r="M12" i="7"/>
  <c r="M11" i="7"/>
  <c r="M10" i="7"/>
  <c r="M9" i="7"/>
  <c r="T9" i="7"/>
  <c r="T12" i="7"/>
  <c r="T11" i="7"/>
  <c r="T10" i="7"/>
  <c r="P9" i="7"/>
  <c r="P12" i="7"/>
  <c r="P11" i="7"/>
  <c r="P10" i="7"/>
  <c r="S9" i="7"/>
  <c r="S12" i="7"/>
  <c r="S11" i="7"/>
  <c r="S10" i="7"/>
  <c r="K9" i="7"/>
  <c r="K12" i="7"/>
  <c r="K11" i="7"/>
  <c r="K10" i="7"/>
  <c r="J12" i="7"/>
  <c r="J9" i="7"/>
  <c r="J11" i="7"/>
  <c r="J10" i="7"/>
  <c r="R11" i="7"/>
  <c r="R10" i="7"/>
  <c r="R9" i="7"/>
  <c r="R12" i="7"/>
  <c r="N12" i="7"/>
  <c r="N11" i="7"/>
  <c r="N10" i="7"/>
  <c r="N9" i="7"/>
  <c r="AG13" i="7"/>
  <c r="W19" i="8"/>
  <c r="AB19" i="8"/>
  <c r="AG19" i="8"/>
  <c r="X19" i="8"/>
  <c r="AA19" i="8"/>
  <c r="Z19" i="8"/>
  <c r="AE19" i="8"/>
  <c r="AD19" i="8"/>
  <c r="V19" i="8"/>
  <c r="Y19" i="8"/>
  <c r="AF19" i="8"/>
  <c r="AC19" i="8"/>
  <c r="B22" i="16"/>
  <c r="F22" i="16" s="1"/>
  <c r="C21" i="16"/>
  <c r="O11" i="3"/>
  <c r="O12" i="3"/>
  <c r="O13" i="3"/>
  <c r="O14" i="3"/>
  <c r="O15" i="3"/>
  <c r="O16" i="3"/>
  <c r="O17" i="3"/>
  <c r="O18" i="3"/>
  <c r="O19" i="3"/>
  <c r="O20" i="3"/>
  <c r="I12" i="3"/>
  <c r="I13" i="3"/>
  <c r="I14" i="3"/>
  <c r="I15" i="3"/>
  <c r="I16" i="3"/>
  <c r="I17" i="3"/>
  <c r="I18" i="3"/>
  <c r="I19" i="3"/>
  <c r="I20" i="3"/>
  <c r="G9" i="8"/>
  <c r="G11" i="8"/>
  <c r="G12" i="8"/>
  <c r="G13" i="8"/>
  <c r="G19" i="8"/>
  <c r="K13" i="7" l="1"/>
  <c r="U13" i="7"/>
  <c r="N13" i="7"/>
  <c r="J13" i="7"/>
  <c r="S13" i="7"/>
  <c r="P13" i="7"/>
  <c r="T13" i="7"/>
  <c r="O13" i="7"/>
  <c r="Q13" i="7"/>
  <c r="R13" i="7"/>
  <c r="M13" i="7"/>
  <c r="L13" i="7"/>
  <c r="B23" i="16"/>
  <c r="F23" i="16" s="1"/>
  <c r="C22" i="16"/>
  <c r="O14" i="6"/>
  <c r="I14" i="6"/>
  <c r="N14" i="6"/>
  <c r="G14" i="6"/>
  <c r="K14" i="6"/>
  <c r="L14" i="6"/>
  <c r="J14" i="6"/>
  <c r="H14" i="6"/>
  <c r="M14" i="6"/>
  <c r="D14" i="6"/>
  <c r="E14" i="6"/>
  <c r="F14" i="6"/>
  <c r="I11" i="7"/>
  <c r="I12" i="7"/>
  <c r="O10" i="3"/>
  <c r="B24" i="16" l="1"/>
  <c r="F24" i="16" s="1"/>
  <c r="C23" i="16"/>
  <c r="P14" i="6"/>
  <c r="D13" i="16"/>
  <c r="C24" i="16" l="1"/>
  <c r="B25" i="16"/>
  <c r="F25" i="16" s="1"/>
  <c r="C29" i="5"/>
  <c r="C26" i="6"/>
  <c r="L26" i="6" s="1"/>
  <c r="C25" i="16" l="1"/>
  <c r="B26" i="16"/>
  <c r="F26" i="16" s="1"/>
  <c r="I26" i="6"/>
  <c r="J26" i="6"/>
  <c r="E26" i="6"/>
  <c r="M26" i="6"/>
  <c r="F26" i="6"/>
  <c r="N26" i="6"/>
  <c r="G26" i="6"/>
  <c r="K26" i="6"/>
  <c r="O26" i="6"/>
  <c r="D26" i="6"/>
  <c r="H26" i="6"/>
  <c r="C2" i="14"/>
  <c r="C2" i="13"/>
  <c r="D8" i="6"/>
  <c r="C26" i="16" l="1"/>
  <c r="B27" i="16"/>
  <c r="F27" i="16" s="1"/>
  <c r="P26" i="6"/>
  <c r="G13" i="16"/>
  <c r="H13" i="16"/>
  <c r="D14" i="16" s="1"/>
  <c r="B28" i="16" l="1"/>
  <c r="F28" i="16" s="1"/>
  <c r="C27" i="16"/>
  <c r="H14" i="16"/>
  <c r="D15" i="16" s="1"/>
  <c r="G14" i="16"/>
  <c r="B29" i="16" l="1"/>
  <c r="F29" i="16" s="1"/>
  <c r="C28" i="16"/>
  <c r="C29" i="16" s="1"/>
  <c r="G15" i="16"/>
  <c r="H15" i="16"/>
  <c r="D16" i="16" s="1"/>
  <c r="C25" i="6"/>
  <c r="D25" i="6" s="1"/>
  <c r="C28" i="5"/>
  <c r="C31" i="5"/>
  <c r="C30" i="5"/>
  <c r="C27" i="5"/>
  <c r="C26" i="5"/>
  <c r="C25" i="5"/>
  <c r="B30" i="16" l="1"/>
  <c r="F30" i="16" s="1"/>
  <c r="B31" i="16"/>
  <c r="F31" i="16" s="1"/>
  <c r="H16" i="16"/>
  <c r="D17" i="16" s="1"/>
  <c r="G16" i="16"/>
  <c r="N25" i="6"/>
  <c r="L25" i="6"/>
  <c r="I25" i="6"/>
  <c r="F25" i="6"/>
  <c r="J25" i="6"/>
  <c r="E25" i="6"/>
  <c r="M25" i="6"/>
  <c r="H25" i="6"/>
  <c r="O25" i="6"/>
  <c r="K25" i="6"/>
  <c r="G25" i="6"/>
  <c r="C30" i="16" l="1"/>
  <c r="C31" i="16" s="1"/>
  <c r="B32" i="16"/>
  <c r="F32" i="16" s="1"/>
  <c r="H17" i="16"/>
  <c r="D18" i="16" s="1"/>
  <c r="G17" i="16"/>
  <c r="P25" i="6"/>
  <c r="B33" i="16" l="1"/>
  <c r="F33" i="16" s="1"/>
  <c r="C32" i="16"/>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3" i="9"/>
  <c r="H23" i="19" s="1"/>
  <c r="J9" i="8"/>
  <c r="K9" i="8"/>
  <c r="L9" i="8"/>
  <c r="M9" i="8"/>
  <c r="N9" i="8"/>
  <c r="O9" i="8"/>
  <c r="P9" i="8"/>
  <c r="Q9" i="8"/>
  <c r="R9" i="8"/>
  <c r="S9" i="8"/>
  <c r="T9" i="8"/>
  <c r="U9" i="8"/>
  <c r="D19" i="15"/>
  <c r="D19" i="8"/>
  <c r="B13"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D18" i="15" l="1"/>
  <c r="H15" i="19"/>
  <c r="I13" i="8"/>
  <c r="I12" i="8"/>
  <c r="I11" i="8"/>
  <c r="I9" i="8"/>
  <c r="I10" i="8"/>
  <c r="D20" i="15"/>
  <c r="C33" i="16"/>
  <c r="B34" i="16"/>
  <c r="F34" i="16" s="1"/>
  <c r="H19" i="16"/>
  <c r="D20" i="16" s="1"/>
  <c r="G19" i="16"/>
  <c r="G13" i="5"/>
  <c r="O13" i="5"/>
  <c r="H13" i="5"/>
  <c r="L13" i="5"/>
  <c r="E13" i="5"/>
  <c r="I13" i="5"/>
  <c r="M13" i="5"/>
  <c r="F13" i="5"/>
  <c r="J13" i="5"/>
  <c r="L19"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9" i="8"/>
  <c r="I10" i="7"/>
  <c r="P19" i="8"/>
  <c r="O19" i="8"/>
  <c r="S19" i="8"/>
  <c r="K19" i="8"/>
  <c r="R19" i="8"/>
  <c r="N19" i="8"/>
  <c r="U19" i="8"/>
  <c r="Q19" i="8"/>
  <c r="M19"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9" i="8"/>
  <c r="I9" i="7"/>
  <c r="D14" i="15" l="1"/>
  <c r="H13" i="19"/>
  <c r="E15" i="19" s="1"/>
  <c r="F15" i="19" s="1"/>
  <c r="D13" i="5"/>
  <c r="B35" i="16"/>
  <c r="F35" i="16" s="1"/>
  <c r="C34" i="16"/>
  <c r="H20" i="16"/>
  <c r="D21" i="16" s="1"/>
  <c r="G20" i="16"/>
  <c r="I13" i="7"/>
  <c r="P19" i="6"/>
  <c r="I19"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E23" i="19" l="1"/>
  <c r="F23" i="19" s="1"/>
  <c r="E14" i="19"/>
  <c r="F14" i="19" s="1"/>
  <c r="E19" i="19"/>
  <c r="F19" i="19" s="1"/>
  <c r="E16" i="19"/>
  <c r="F16" i="19" s="1"/>
  <c r="E13" i="19"/>
  <c r="E20" i="19"/>
  <c r="F20" i="19" s="1"/>
  <c r="E25" i="19"/>
  <c r="F25" i="19" s="1"/>
  <c r="E22" i="19"/>
  <c r="F22" i="19" s="1"/>
  <c r="E24" i="19"/>
  <c r="F24" i="19" s="1"/>
  <c r="E21" i="19"/>
  <c r="F21" i="19" s="1"/>
  <c r="E18" i="19"/>
  <c r="F18" i="19" s="1"/>
  <c r="E17" i="19"/>
  <c r="F17" i="19" s="1"/>
  <c r="C35" i="16"/>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D26" i="15" s="1"/>
  <c r="G25" i="16"/>
  <c r="O6" i="6"/>
  <c r="O5" i="6"/>
  <c r="J6" i="6"/>
  <c r="J5" i="6"/>
  <c r="F6" i="6"/>
  <c r="F5" i="6"/>
  <c r="D24" i="15" l="1"/>
  <c r="D30" i="15" s="1"/>
  <c r="D26" i="16"/>
  <c r="G26" i="16" s="1"/>
  <c r="C40" i="16"/>
  <c r="B41" i="16"/>
  <c r="F41" i="16" s="1"/>
  <c r="H26" i="16"/>
  <c r="D27" i="16" s="1"/>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l="1"/>
  <c r="O28" i="5"/>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I42" i="4"/>
  <c r="I12" i="4"/>
  <c r="F27" i="4"/>
  <c r="G5" i="13" s="1"/>
  <c r="F10" i="4"/>
  <c r="F42" i="4"/>
  <c r="K5" i="13" s="1"/>
  <c r="I10" i="4"/>
  <c r="C10" i="4"/>
  <c r="D48" i="4"/>
  <c r="F5" i="4" s="1"/>
  <c r="C12" i="4"/>
  <c r="G48" i="4"/>
  <c r="I18" i="4"/>
  <c r="C5" i="14" l="1"/>
  <c r="K5" i="14"/>
  <c r="G5" i="14"/>
  <c r="G603" i="16"/>
  <c r="H603" i="16"/>
  <c r="D604" i="16" s="1"/>
  <c r="F48" i="4"/>
  <c r="O5" i="13"/>
  <c r="I48" i="4"/>
  <c r="O5" i="14" l="1"/>
  <c r="G604" i="16"/>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5" authorId="0" shapeId="0">
      <text>
        <r>
          <rPr>
            <sz val="9"/>
            <color indexed="81"/>
            <rFont val="Tahoma"/>
            <family val="2"/>
          </rPr>
          <t xml:space="preserve">Input your cash on hand balance at the specific point of time 
</t>
        </r>
      </text>
    </comment>
    <comment ref="C16" authorId="0" shapeId="0">
      <text>
        <r>
          <rPr>
            <sz val="9"/>
            <color indexed="81"/>
            <rFont val="Tahoma"/>
            <family val="2"/>
          </rPr>
          <t xml:space="preserve">Input your cash in current bank account balance at the specific point of time </t>
        </r>
      </text>
    </comment>
    <comment ref="C17"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<sst xmlns="http://schemas.openxmlformats.org/spreadsheetml/2006/main" count="700" uniqueCount="252">
  <si>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</si>
  <si>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</si>
  <si>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</si>
  <si>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</si>
  <si>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</si>
  <si>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</si>
  <si>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</si>
  <si>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</si>
  <si>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</si>
  <si>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</si>
  <si>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</si>
  <si>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</si>
  <si>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</si>
  <si>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</si>
  <si>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</si>
  <si>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</si>
  <si>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</si>
  <si>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</si>
  <si>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</si>
  <si>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</si>
  <si>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</si>
  <si>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</si>
  <si>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</si>
  <si>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</si>
  <si>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</si>
  <si>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</si>
  <si>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</si>
  <si>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</si>
  <si>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</si>
  <si>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</si>
  <si>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</si>
  <si>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</si>
  <si>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</si>
  <si>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</si>
  <si>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</si>
  <si>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</si>
  <si>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</si>
  <si>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</si>
  <si>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</si>
  <si>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</si>
  <si>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</si>
  <si>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</si>
  <si>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</si>
  <si>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</si>
  <si>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</si>
  <si>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</si>
  <si>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</si>
  <si>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</si>
  <si>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</si>
  <si>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</si>
  <si>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</si>
  <si>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</si>
  <si>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</si>
  <si>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</si>
  <si>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</si>
  <si>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</si>
  <si>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</si>
  <si>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</si>
  <si>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</si>
  <si>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</si>
  <si>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</si>
  <si>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</si>
  <si>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</si>
  <si>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</si>
  <si>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</si>
  <si>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</si>
  <si>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</si>
  <si>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</si>
  <si>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</si>
  <si>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</si>
  <si>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</si>
  <si>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</si>
  <si>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</si>
  <si>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</si>
  <si>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</si>
  <si>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</si>
  <si>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</si>
  <si>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</si>
  <si>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</si>
  <si>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</si>
  <si>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</si>
  <si>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</si>
  <si>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</si>
  <si>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</si>
  <si>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</si>
  <si>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</si>
  <si>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</si>
  <si>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</si>
  <si>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</si>
  <si>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</si>
  <si>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</si>
  <si>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</si>
  <si>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</si>
  <si>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</si>
  <si>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</si>
  <si>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</si>
  <si>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</si>
  <si>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</si>
  <si>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</si>
  <si>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</si>
  <si>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</si>
  <si>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</si>
  <si>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</si>
  <si>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</si>
  <si>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</si>
  <si>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</si>
  <si>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</si>
  <si>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</si>
  <si>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</si>
  <si>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</si>
  <si>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</si>
  <si>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</si>
  <si>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</si>
  <si>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</si>
  <si>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</si>
  <si>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</si>
  <si>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</si>
  <si>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</si>
  <si>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</si>
  <si>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</si>
  <si>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</si>
  <si>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Assets</t>
  </si>
  <si>
    <t>Cash on hand</t>
  </si>
  <si>
    <t>Saving account</t>
  </si>
  <si>
    <t>Investment</t>
  </si>
  <si>
    <t>Real Estate</t>
  </si>
  <si>
    <t>Assets category 1</t>
  </si>
  <si>
    <t>Assets category 2</t>
  </si>
  <si>
    <t>Debts</t>
  </si>
  <si>
    <t>Debt category 2</t>
  </si>
  <si>
    <t>Net Worth</t>
  </si>
  <si>
    <t>Type 1</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</si>
  <si>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</si>
  <si>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</si>
  <si>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</si>
  <si>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</si>
  <si>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</si>
  <si>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</si>
  <si>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</si>
  <si>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</si>
  <si>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</si>
  <si>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</si>
  <si>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</si>
  <si>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</si>
  <si>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</si>
  <si>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</si>
  <si>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</si>
  <si>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</si>
  <si>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</si>
  <si>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</si>
  <si>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</si>
  <si>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</si>
  <si>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</si>
  <si>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</si>
  <si>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</si>
  <si>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</si>
  <si>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</si>
  <si>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</si>
  <si>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</si>
  <si>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</si>
  <si>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</si>
  <si>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</si>
  <si>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</si>
  <si>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</si>
  <si>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</si>
  <si>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</si>
  <si>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</si>
  <si>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</si>
  <si>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</si>
  <si>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</si>
  <si>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</si>
  <si>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</si>
  <si>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</si>
  <si>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</si>
  <si>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</si>
  <si>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</si>
  <si>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</si>
  <si>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</si>
  <si>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</si>
  <si>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</si>
  <si>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</si>
  <si>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</si>
  <si>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</si>
  <si>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</si>
  <si>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</si>
  <si>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</si>
  <si>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</si>
  <si>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</si>
  <si>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</si>
  <si>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</si>
  <si>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</si>
  <si>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</si>
  <si>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</si>
  <si>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</si>
  <si>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</si>
  <si>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</si>
  <si>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</si>
  <si>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</si>
  <si>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</si>
  <si>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</si>
  <si>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</si>
  <si>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</si>
  <si>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</si>
  <si>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</si>
  <si>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</si>
  <si>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</si>
  <si>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</si>
  <si>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</si>
  <si>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</si>
  <si>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</si>
  <si>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</si>
  <si>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</si>
  <si>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</si>
  <si>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</si>
  <si>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</si>
  <si>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</si>
  <si>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</si>
  <si>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</si>
  <si>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</si>
  <si>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</si>
  <si>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</si>
  <si>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</si>
  <si>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</si>
  <si>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</si>
  <si>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t>Column210</t>
  </si>
  <si>
    <t>Maturity amount</t>
  </si>
  <si>
    <t>Investment income</t>
  </si>
  <si>
    <t>Cash</t>
  </si>
  <si>
    <t>Forex</t>
  </si>
  <si>
    <t>Covered Warrant</t>
  </si>
  <si>
    <t>Derivatives</t>
  </si>
  <si>
    <t>Original value</t>
  </si>
  <si>
    <t>Sum of Original value</t>
  </si>
  <si>
    <t>My target</t>
  </si>
  <si>
    <t>Difference</t>
  </si>
  <si>
    <t>Threshold</t>
  </si>
  <si>
    <t>Value</t>
  </si>
  <si>
    <t>Average of Actual</t>
  </si>
  <si>
    <t>(Multiple Items)</t>
  </si>
  <si>
    <t xml:space="preserve"> Actual</t>
  </si>
  <si>
    <t xml:space="preserve"> My target</t>
  </si>
  <si>
    <r>
      <rPr>
        <b/>
        <sz val="10"/>
        <color theme="1" tint="0.249977111117893"/>
        <rFont val="Lato"/>
      </rPr>
      <t>Instructions:</t>
    </r>
    <r>
      <rPr>
        <sz val="10"/>
        <color theme="1" tint="0.249977111117893"/>
        <rFont val="Lato"/>
      </rPr>
      <t xml:space="preserve">
</t>
    </r>
    <r>
      <rPr>
        <i/>
        <sz val="10"/>
        <color theme="1" tint="0.249977111117893"/>
        <rFont val="Lato"/>
      </rPr>
      <t>- To update the chart, go to Data ribbon -&gt; Refresh All.</t>
    </r>
  </si>
  <si>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</si>
  <si>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ACTUAL BY MONTH</t>
  </si>
  <si>
    <r>
      <rPr>
        <b/>
        <sz val="10"/>
        <color theme="1" tint="0.249977111117893"/>
        <rFont val="Lato"/>
      </rPr>
      <t>Instructions</t>
    </r>
    <r>
      <rPr>
        <sz val="10"/>
        <color theme="1" tint="0.249977111117893"/>
        <rFont val="Lato"/>
      </rPr>
      <t xml:space="preserve">:
</t>
    </r>
    <r>
      <rPr>
        <i/>
        <sz val="10"/>
        <color theme="1" tint="0.249977111117893"/>
        <rFont val="Lato"/>
      </rPr>
      <t>- This is an comparison monthly actual by category.
- To update the chart, go to Data ribbon -&gt; Refresh All.</t>
    </r>
  </si>
  <si>
    <t>Mobile card</t>
  </si>
  <si>
    <t>Movie Theater</t>
  </si>
  <si>
    <t>Clothes</t>
  </si>
  <si>
    <t>Buy apartment</t>
  </si>
  <si>
    <t>Debts Total</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</si>
  <si>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
- Base on Actual by Month, you can know how much you spend on each month and use these figures to make Financial Independence &amp; Retire Early - FIRE.</t>
  </si>
  <si>
    <r>
      <t xml:space="preserve">This is a free version with some limited features, if you are interested kindly contact me through my email: </t>
    </r>
    <r>
      <rPr>
        <u/>
        <sz val="10"/>
        <color theme="8" tint="-0.249977111117893"/>
        <rFont val="Lato"/>
      </rPr>
      <t>bichthaoph0410@gmail.com</t>
    </r>
    <r>
      <rPr>
        <sz val="10"/>
        <color rgb="FF404040"/>
        <rFont val="Lato"/>
      </rPr>
      <t xml:space="preserve"> for the FULL version with small fee to support me continuing to develop templates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</si>
</sst>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8">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
      <b/>
      <sz val="11"/>
      <color rgb="FF3A3838"/>
      <name val="Lato"/>
    </font>
    <font>
      <sz val="10"/>
      <color rgb="FF3A3838"/>
      <name val="Lato"/>
    </font>
    <font>
      <sz val="11"/>
      <color rgb="FF3A3838"/>
      <name val="Lato"/>
    </font>
    <font>
      <sz val="10"/>
      <color rgb="FF404040"/>
      <name val="Lato"/>
    </font>
    <font>
      <u/>
      <sz val="10"/>
      <color theme="8" tint="-0.249977111117893"/>
      <name val="Lato"/>
    </font>
  </fonts>
  <fills count="22">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
      <patternFill patternType="solid">
        <fgColor rgb="FFFFFFFF"/>
        <bgColor indexed="64"/>
      </patternFill>
    </fill>
  </fills>
  <borders count="68">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
      <left/>
      <right/>
      <top style="medium">
        <color rgb="FF57574D"/>
      </top>
      <bottom/>
      <diagonal/>
    </border>
    <border>
      <left/>
      <right/>
      <top/>
      <bottom style="dashed">
        <color auto="1"/>
      </bottom>
      <diagonal/>
    </border>
  </borders>
  <cellStyleXfs count="15">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xf numFmtId="0" fontId="1" fillId="2" borderId="0">
      <alignment vertical="center" wrapText="1"/>
    </xf>
  </cellStyleXfs>
  <cellXfs count="386">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0" fontId="27" fillId="11" borderId="0" xfId="4" applyFont="1" applyFill="1" applyBorder="1" applyAlignment="1">
      <alignment vertical="center"/>
    </xf>
    <xf numFmtId="0" fontId="2" fillId="10" borderId="0" xfId="1" applyFont="1" applyFill="1" applyBorder="1">
      <alignment vertical="center" wrapText="1"/>
    </xf>
    <xf numFmtId="164" fontId="50" fillId="10" borderId="49" xfId="6" applyNumberFormat="1" applyFont="1" applyFill="1" applyBorder="1" applyAlignment="1" applyProtection="1">
      <alignment vertical="center" wrapText="1"/>
      <protection hidden="1"/>
    </xf>
    <xf numFmtId="0" fontId="39" fillId="13" borderId="66" xfId="0" applyFont="1" applyFill="1" applyBorder="1" applyAlignment="1">
      <alignment vertical="center"/>
    </xf>
    <xf numFmtId="164" fontId="43" fillId="13" borderId="66" xfId="0" applyNumberFormat="1" applyFont="1" applyFill="1" applyBorder="1" applyAlignment="1">
      <alignment horizontal="right" vertical="center"/>
    </xf>
    <xf numFmtId="171" fontId="84" fillId="0" borderId="0" xfId="6" applyNumberFormat="1" applyFont="1" applyFill="1" applyBorder="1" applyAlignment="1">
      <alignment wrapText="1"/>
    </xf>
    <xf numFmtId="0" fontId="85" fillId="10" borderId="0" xfId="0" applyFont="1" applyFill="1"/>
    <xf numFmtId="0" fontId="50" fillId="10" borderId="10" xfId="0" applyFont="1" applyFill="1" applyBorder="1"/>
    <xf numFmtId="0" fontId="52" fillId="10" borderId="10" xfId="0" applyFont="1" applyFill="1" applyBorder="1"/>
    <xf numFmtId="9" fontId="38" fillId="20" borderId="67" xfId="8" applyFont="1" applyFill="1" applyBorder="1" applyAlignment="1">
      <alignment horizontal="right"/>
    </xf>
    <xf numFmtId="164" fontId="83" fillId="20" borderId="67" xfId="0" applyNumberFormat="1" applyFont="1" applyFill="1" applyBorder="1" applyAlignment="1">
      <alignment horizontal="right"/>
    </xf>
    <xf numFmtId="9" fontId="85" fillId="10" borderId="0" xfId="8" applyFont="1" applyFill="1"/>
    <xf numFmtId="9" fontId="51" fillId="21" borderId="0" xfId="8" applyFont="1" applyFill="1" applyAlignment="1">
      <alignment horizontal="right"/>
    </xf>
    <xf numFmtId="49" fontId="38" fillId="20" borderId="67" xfId="8" applyNumberFormat="1" applyFont="1" applyFill="1" applyBorder="1" applyAlignment="1">
      <alignment horizontal="left"/>
    </xf>
    <xf numFmtId="10" fontId="0" fillId="0" borderId="0" xfId="0" applyNumberFormat="1"/>
    <xf numFmtId="3" fontId="0" fillId="0" borderId="0" xfId="0" applyNumberFormat="1"/>
    <xf numFmtId="3" fontId="0" fillId="0" borderId="0" xfId="0" applyNumberFormat="1" applyProtection="1">
      <protection locked="0"/>
    </xf>
    <xf numFmtId="171" fontId="0" fillId="10" borderId="52" xfId="6" applyNumberFormat="1" applyFont="1" applyFill="1" applyBorder="1" applyAlignment="1" applyProtection="1">
      <alignment vertical="center" wrapText="1"/>
      <protection hidden="1"/>
    </xf>
    <xf numFmtId="0" fontId="51" fillId="0" borderId="0" xfId="1" applyNumberFormat="1" applyFont="1" applyFill="1" applyAlignment="1" applyProtection="1">
      <alignment vertical="center" wrapText="1"/>
      <protection locked="0"/>
    </xf>
    <xf numFmtId="0" fontId="3" fillId="10" borderId="0" xfId="2" applyFont="1" applyFill="1" applyAlignment="1" applyProtection="1"/>
    <xf numFmtId="165" fontId="3" fillId="10" borderId="0" xfId="2" applyNumberFormat="1" applyFont="1" applyFill="1" applyAlignment="1" applyProtection="1"/>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0" fontId="20" fillId="10" borderId="0" xfId="2" applyFont="1" applyFill="1" applyBorder="1" applyAlignment="1">
      <alignment horizontal="left" vertical="center" wrapText="1"/>
    </xf>
    <xf numFmtId="171" fontId="69" fillId="20" borderId="42" xfId="0" applyNumberFormat="1" applyFont="1" applyFill="1" applyBorder="1" applyAlignment="1" applyProtection="1">
      <alignment vertical="center" wrapText="1"/>
      <protection hidden="1"/>
    </xf>
    <xf numFmtId="167" fontId="69" fillId="20" borderId="43" xfId="0" applyNumberFormat="1" applyFont="1" applyFill="1" applyBorder="1" applyAlignment="1" applyProtection="1">
      <alignment horizontal="center" vertical="center" wrapText="1"/>
      <protection hidden="1"/>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xf numFmtId="0" fontId="86" fillId="10" borderId="0" xfId="1" applyFont="1" applyFill="1" applyAlignment="1">
      <alignment horizontal="left" vertical="center" wrapText="1"/>
    </xf>
  </cellXfs>
  <cellStyles count="15">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2 2" xfId="14"/>
    <cellStyle name="Normal 3" xfId="2"/>
    <cellStyle name="Normal 4" xfId="9"/>
    <cellStyle name="Percent" xfId="8" builtinId="5"/>
    <cellStyle name="Percent 2" xfId="7"/>
    <cellStyle name="Percent 3" xfId="12"/>
  </cellStyles>
  <dxfs count="500">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numFmt numFmtId="0" formatCode="General"/>
      <fill>
        <patternFill patternType="solid">
          <fgColor indexed="64"/>
          <bgColor rgb="FFFAF7F0"/>
        </patternFill>
      </fill>
    </dxf>
    <dxf>
      <font>
        <strike val="0"/>
        <outline val="0"/>
        <shadow val="0"/>
        <u val="none"/>
        <vertAlign val="baseline"/>
        <color rgb="FF3A3838"/>
        <name val="Lato"/>
        <scheme val="none"/>
      </font>
    </dxf>
    <dxf>
      <font>
        <strike val="0"/>
        <outline val="0"/>
        <shadow val="0"/>
        <u val="none"/>
        <vertAlign val="baseline"/>
        <color theme="2" tint="-0.749992370372631"/>
        <name val="Lato"/>
        <scheme val="none"/>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9" formatCode="[$$-C09]#,##0.00"/>
    </dxf>
    <dxf>
      <numFmt numFmtId="178"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numFmt numFmtId="3" formatCode="#,##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499"/>
      <tableStyleElement type="headerRow" dxfId="498"/>
      <tableStyleElement type="totalRow" dxfId="497"/>
      <tableStyleElement type="firstRowStripe" dxfId="496"/>
      <tableStyleElement type="secondRowStripe" dxfId="495"/>
    </tableStyle>
    <tableStyle name="Daily Summary 2" pivot="0" count="5">
      <tableStyleElement type="wholeTable" dxfId="494"/>
      <tableStyleElement type="headerRow" dxfId="493"/>
      <tableStyleElement type="totalRow" dxfId="492"/>
      <tableStyleElement type="firstRowStripe" dxfId="491"/>
      <tableStyleElement type="secondRowStripe" dxfId="490"/>
    </tableStyle>
    <tableStyle name="Personal Cash Flow Statement" pivot="0" count="9">
      <tableStyleElement type="wholeTable" dxfId="489"/>
      <tableStyleElement type="headerRow" dxfId="488"/>
      <tableStyleElement type="totalRow" dxfId="487"/>
      <tableStyleElement type="firstColumn" dxfId="486"/>
      <tableStyleElement type="lastColumn" dxfId="485"/>
      <tableStyleElement type="firstHeaderCell" dxfId="484"/>
      <tableStyleElement type="lastHeaderCell" dxfId="483"/>
      <tableStyleElement type="firstTotalCell" dxfId="482"/>
      <tableStyleElement type="lastTotalCell" dxfId="481"/>
    </tableStyle>
    <tableStyle name="Personal Cash Flow Statement 2" pivot="0" count="9">
      <tableStyleElement type="wholeTable" dxfId="480"/>
      <tableStyleElement type="headerRow" dxfId="479"/>
      <tableStyleElement type="totalRow" dxfId="478"/>
      <tableStyleElement type="firstColumn" dxfId="477"/>
      <tableStyleElement type="lastColumn" dxfId="476"/>
      <tableStyleElement type="firstHeaderCell" dxfId="475"/>
      <tableStyleElement type="lastHeaderCell" dxfId="474"/>
      <tableStyleElement type="firstTotalCell" dxfId="473"/>
      <tableStyleElement type="lastTotalCell" dxfId="472"/>
    </tableStyle>
    <tableStyle name="Personal Cash Flow Statement 3" pivot="0" count="9">
      <tableStyleElement type="wholeTable" dxfId="471"/>
      <tableStyleElement type="headerRow" dxfId="470"/>
      <tableStyleElement type="totalRow" dxfId="469"/>
      <tableStyleElement type="firstColumn" dxfId="468"/>
      <tableStyleElement type="lastColumn" dxfId="467"/>
      <tableStyleElement type="firstHeaderCell" dxfId="466"/>
      <tableStyleElement type="lastHeaderCell" dxfId="465"/>
      <tableStyleElement type="firstTotalCell" dxfId="464"/>
      <tableStyleElement type="lastTotalCell" dxfId="463"/>
    </tableStyle>
    <tableStyle name="Personal Cash Flow Statement 4" pivot="0" count="9">
      <tableStyleElement type="wholeTable" dxfId="462"/>
      <tableStyleElement type="headerRow" dxfId="461"/>
      <tableStyleElement type="totalRow" dxfId="460"/>
      <tableStyleElement type="firstColumn" dxfId="459"/>
      <tableStyleElement type="lastColumn" dxfId="458"/>
      <tableStyleElement type="firstHeaderCell" dxfId="457"/>
      <tableStyleElement type="lastHeaderCell" dxfId="456"/>
      <tableStyleElement type="firstTotalCell" dxfId="455"/>
      <tableStyleElement type="lastTotalCell" dxfId="454"/>
    </tableStyle>
    <tableStyle name="Personal Cash Flow Statement 5" pivot="0" count="9">
      <tableStyleElement type="wholeTable" dxfId="453"/>
      <tableStyleElement type="headerRow" dxfId="452"/>
      <tableStyleElement type="totalRow" dxfId="451"/>
      <tableStyleElement type="firstColumn" dxfId="450"/>
      <tableStyleElement type="lastColumn" dxfId="449"/>
      <tableStyleElement type="firstHeaderCell" dxfId="448"/>
      <tableStyleElement type="lastHeaderCell" dxfId="447"/>
      <tableStyleElement type="firstTotalCell" dxfId="446"/>
      <tableStyleElement type="lastTotalCell" dxfId="445"/>
    </tableStyle>
  </tableStyles>
  <colors>
    <mruColors>
      <color rgb="FF404040"/>
      <color rgb="FFFFFFFF"/>
      <color rgb="FF548235"/>
      <color rgb="FF48796F"/>
      <color rgb="FFF2F2F2"/>
      <color rgb="FFF7F1E6"/>
      <color rgb="FFFAF7F0"/>
      <color rgb="FFDFECE9"/>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Worth'!$T$6:$U$16</c:f>
              <c:multiLvlStrCache>
                <c:ptCount val="7"/>
                <c:lvl>
                  <c:pt idx="0">
                    <c:v>Cash on hand</c:v>
                  </c:pt>
                  <c:pt idx="1">
                    <c:v>Investment</c:v>
                  </c:pt>
                  <c:pt idx="2">
                    <c:v>Saving account</c:v>
                  </c:pt>
                  <c:pt idx="3">
                    <c:v>Cash in bank</c:v>
                  </c:pt>
                  <c:pt idx="4">
                    <c:v>Cash in digital wallet</c:v>
                  </c:pt>
                  <c:pt idx="5">
                    <c:v>Outstanding loan</c:v>
                  </c:pt>
                  <c:pt idx="6">
                    <c:v>Net Worth</c:v>
                  </c:pt>
                </c:lvl>
                <c:lvl>
                  <c:pt idx="0">
                    <c:v>Assets</c:v>
                  </c:pt>
                  <c:pt idx="5">
                    <c:v>Debts</c:v>
                  </c:pt>
                  <c:pt idx="6">
                    <c:v>Net Worth</c:v>
                  </c:pt>
                </c:lvl>
              </c:multiLvlStrCache>
            </c:multiLvlStrRef>
          </c:cat>
          <c:val>
            <c:numRef>
              <c:f>'Net Worth'!$V$6:$V$16</c:f>
              <c:numCache>
                <c:formatCode>#,##0</c:formatCode>
                <c:ptCount val="7"/>
                <c:pt idx="0">
                  <c:v>10100000</c:v>
                </c:pt>
                <c:pt idx="1">
                  <c:v>250000000</c:v>
                </c:pt>
                <c:pt idx="2">
                  <c:v>100000000</c:v>
                </c:pt>
                <c:pt idx="3">
                  <c:v>28000000</c:v>
                </c:pt>
                <c:pt idx="4">
                  <c:v>1000000</c:v>
                </c:pt>
                <c:pt idx="5">
                  <c:v>-371111111.11111128</c:v>
                </c:pt>
                <c:pt idx="6">
                  <c:v>17988888.888888717</c:v>
                </c:pt>
              </c:numCache>
            </c:numRef>
          </c:val>
          <c:extLst>
            <c:ext xmlns:c16="http://schemas.microsoft.com/office/drawing/2014/chart" uri="{C3380CC4-5D6E-409C-BE32-E72D297353CC}">
              <c16:uniqueId val="{00000000-8366-4996-84E5-632CBB5A5FBC}"/>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Actual v/s Target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'Asset Allocation'!$V$5</c:f>
              <c:strCache>
                <c:ptCount val="1"/>
                <c:pt idx="0">
                  <c:v> Actual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Allocation'!$V$6:$V$10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B550-4DB4-B46B-361257AD34D8}"/>
            </c:ext>
          </c:extLst>
        </c:ser>
        <c:ser>
          <c:idx val="1"/>
          <c:order val="1"/>
          <c:tx>
            <c:strRef>
              <c:f>'Asset Allocation'!$W$5</c:f>
              <c:strCache>
                <c:ptCount val="1"/>
                <c:pt idx="0">
                  <c:v> My target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Allocation'!$W$6:$W$10</c:f>
              <c:numCache>
                <c:formatCode>0.00%</c:formatCode>
                <c:ptCount val="5"/>
                <c:pt idx="0">
                  <c:v>0.06</c:v>
                </c:pt>
                <c:pt idx="1">
                  <c:v>0.01</c:v>
                </c:pt>
                <c:pt idx="2">
                  <c:v>0</c:v>
                </c:pt>
                <c:pt idx="3">
                  <c:v>0.1</c:v>
                </c:pt>
                <c:pt idx="4">
                  <c:v>0.08</c:v>
                </c:pt>
              </c:numCache>
            </c:numRef>
          </c:val>
          <c:extLst>
            <c:ext xmlns:c16="http://schemas.microsoft.com/office/drawing/2014/chart" uri="{C3380CC4-5D6E-409C-BE32-E72D297353CC}">
              <c16:uniqueId val="{00000001-B550-4DB4-B46B-361257AD34D8}"/>
            </c:ext>
          </c:extLst>
        </c:ser>
        <c:dLbls>
          <c:dLblPos val="outEnd"/>
          <c:showLegendKey val="0"/>
          <c:showVal val="1"/>
          <c:showCatName val="0"/>
          <c:showSerName val="0"/>
          <c:showPercent val="0"/>
          <c:showBubbleSize val="0"/>
        </c:dLbls>
        <c:gapWidth val="219"/>
        <c:overlap val="-27"/>
        <c:axId val="1106621360"/>
        <c:axId val="1026404960"/>
      </c:barChart>
      <c:catAx>
        <c:axId val="11066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026404960"/>
        <c:crosses val="autoZero"/>
        <c:auto val="1"/>
        <c:lblAlgn val="ctr"/>
        <c:lblOffset val="100"/>
        <c:noMultiLvlLbl val="0"/>
      </c:catAx>
      <c:valAx>
        <c:axId val="102640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10662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Asset Allocation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'Asset Allocation'!$AB$5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C5-480C-881B-BD9B255BA3DE}"/>
              </c:ext>
            </c:extLst>
          </c:dPt>
          <c:dPt>
            <c:idx val="1"/>
            <c:bubble3D val="0"/>
            <c:spPr>
              <a:solidFill>
                <a:schemeClr val="accent2"/>
              </a:solidFill>
              <a:ln>
                <a:noFill/>
              </a:ln>
              <a:effectLst/>
            </c:spPr>
            <c:extLst>
              <c:ext xmlns:c16="http://schemas.microsoft.com/office/drawing/2014/chart" uri="{C3380CC4-5D6E-409C-BE32-E72D297353CC}">
                <c16:uniqueId val="{00000003-D7C5-480C-881B-BD9B255BA3DE}"/>
              </c:ext>
            </c:extLst>
          </c:dPt>
          <c:dPt>
            <c:idx val="2"/>
            <c:bubble3D val="0"/>
            <c:spPr>
              <a:solidFill>
                <a:schemeClr val="accent3"/>
              </a:solidFill>
              <a:ln>
                <a:noFill/>
              </a:ln>
              <a:effectLst/>
            </c:spPr>
            <c:extLst>
              <c:ext xmlns:c16="http://schemas.microsoft.com/office/drawing/2014/chart" uri="{C3380CC4-5D6E-409C-BE32-E72D297353CC}">
                <c16:uniqueId val="{00000005-D7C5-480C-881B-BD9B255BA3DE}"/>
              </c:ext>
            </c:extLst>
          </c:dPt>
          <c:dPt>
            <c:idx val="3"/>
            <c:bubble3D val="0"/>
            <c:spPr>
              <a:solidFill>
                <a:schemeClr val="accent4"/>
              </a:solidFill>
              <a:ln>
                <a:noFill/>
              </a:ln>
              <a:effectLst/>
            </c:spPr>
            <c:extLst>
              <c:ext xmlns:c16="http://schemas.microsoft.com/office/drawing/2014/chart" uri="{C3380CC4-5D6E-409C-BE32-E72D297353CC}">
                <c16:uniqueId val="{00000007-D7C5-480C-881B-BD9B255BA3DE}"/>
              </c:ext>
            </c:extLst>
          </c:dPt>
          <c:dPt>
            <c:idx val="4"/>
            <c:bubble3D val="0"/>
            <c:spPr>
              <a:solidFill>
                <a:schemeClr val="accent5"/>
              </a:solidFill>
              <a:ln>
                <a:noFill/>
              </a:ln>
              <a:effectLst/>
            </c:spPr>
            <c:extLst>
              <c:ext xmlns:c16="http://schemas.microsoft.com/office/drawing/2014/chart" uri="{C3380CC4-5D6E-409C-BE32-E72D297353CC}">
                <c16:uniqueId val="{00000009-D7C5-480C-881B-BD9B255BA3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'Asset Allocation'!$AA$6:$AA$10</c:f>
              <c:strCache>
                <c:ptCount val="5"/>
                <c:pt idx="0">
                  <c:v>Bond</c:v>
                </c:pt>
                <c:pt idx="1">
                  <c:v>Cash</c:v>
                </c:pt>
                <c:pt idx="2">
                  <c:v>Certificate of deposit</c:v>
                </c:pt>
                <c:pt idx="3">
                  <c:v>Saving account</c:v>
                </c:pt>
                <c:pt idx="4">
                  <c:v>Stock</c:v>
                </c:pt>
              </c:strCache>
            </c:strRef>
          </c:cat>
          <c:val>
            <c:numRef>
              <c:f>'Asset Allocation'!$AB$6:$AB$10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971B-4080-A96D-F65F12C92B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#,##0</c:formatCode>
                <c:ptCount val="2"/>
                <c:pt idx="0">
                  <c:v>18318720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#,##0</c:formatCode>
                <c:ptCount val="1"/>
                <c:pt idx="0">
                  <c:v>31613164.444444425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5.2533865310044503E-2"/>
                <c:y val="0.9327522161678145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#,##0</c:formatCode>
                <c:ptCount val="1"/>
                <c:pt idx="0">
                  <c:v>12665208.888888888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#,##0</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#,##0</c:formatCode>
                <c:ptCount val="1"/>
                <c:pt idx="0">
                  <c:v>12665208.888888888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INCOME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Actual'!$C$10</c:f>
              <c:strCache>
                <c:ptCount val="1"/>
                <c:pt idx="0">
                  <c:v>Salary</c:v>
                </c:pt>
              </c:strCache>
            </c:strRef>
          </c:tx>
          <c:spPr>
            <a:solidFill>
              <a:schemeClr val="accent1"/>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Actual'!$D$10:$O$10</c:f>
              <c:numCache>
                <c:formatCode>[$VND]\ #,##0_);\([$VND]\ #,##0\)</c:formatCode>
                <c:ptCount val="12"/>
                <c:pt idx="0">
                  <c:v>20000000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049-4641-A7BE-2606D3DC82CD}"/>
            </c:ext>
          </c:extLst>
        </c:ser>
        <c:ser>
          <c:idx val="1"/>
          <c:order val="1"/>
          <c:tx>
            <c:strRef>
              <c:f>'Monthly Actual'!$C$11</c:f>
              <c:strCache>
                <c:ptCount val="1"/>
                <c:pt idx="0">
                  <c:v> Commissions</c:v>
                </c:pt>
              </c:strCache>
            </c:strRef>
          </c:tx>
          <c:spPr>
            <a:solidFill>
              <a:schemeClr val="accent2"/>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Actual'!$D$11:$O$11</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049-4641-A7BE-2606D3DC82CD}"/>
            </c:ext>
          </c:extLst>
        </c:ser>
        <c:ser>
          <c:idx val="2"/>
          <c:order val="2"/>
          <c:tx>
            <c:strRef>
              <c:f>'Monthly Actual'!$C$12</c:f>
              <c:strCache>
                <c:ptCount val="1"/>
                <c:pt idx="0">
                  <c:v> Bonus</c:v>
                </c:pt>
              </c:strCache>
            </c:strRef>
          </c:tx>
          <c:spPr>
            <a:solidFill>
              <a:schemeClr val="accent3"/>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Actual'!$D$12:$O$12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049-4641-A7BE-2606D3DC82CD}"/>
            </c:ext>
          </c:extLst>
        </c:ser>
        <c:ser>
          <c:idx val="3"/>
          <c:order val="3"/>
          <c:tx>
            <c:strRef>
              <c:f>'Monthly Actual'!$C$13</c:f>
              <c:strCache>
                <c:ptCount val="1"/>
                <c:pt idx="0">
                  <c:v> Interest income</c:v>
                </c:pt>
              </c:strCache>
            </c:strRef>
          </c:tx>
          <c:spPr>
            <a:solidFill>
              <a:schemeClr val="accent4"/>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Actual'!$D$13:$O$13</c:f>
              <c:numCache>
                <c:formatCode>[$VND]\ #,##0_);\([$VND]\ #,##0\)</c:formatCode>
                <c:ptCount val="12"/>
                <c:pt idx="0">
                  <c:v>18000000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049-4641-A7BE-2606D3DC82CD}"/>
            </c:ext>
          </c:extLst>
        </c:ser>
        <c:ser>
          <c:idx val="4"/>
          <c:order val="4"/>
          <c:tx>
            <c:strRef>
              <c:f>'Monthly Actual'!$C$14</c:f>
              <c:strCache>
                <c:ptCount val="1"/>
                <c:pt idx="0">
                  <c:v> Tax refund</c:v>
                </c:pt>
              </c:strCache>
            </c:strRef>
          </c:tx>
          <c:spPr>
            <a:solidFill>
              <a:schemeClr val="accent5"/>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Actual'!$D$14:$O$14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049-4641-A7BE-2606D3DC82CD}"/>
            </c:ext>
          </c:extLst>
        </c:ser>
        <c:ser>
          <c:idx val="5"/>
          <c:order val="5"/>
          <c:tx>
            <c:strRef>
              <c:f>'Monthly Actual'!$C$15</c:f>
              <c:strCache>
                <c:ptCount val="1"/>
                <c:pt idx="0">
                  <c:v> Receivable lending</c:v>
                </c:pt>
              </c:strCache>
            </c:strRef>
          </c:tx>
          <c:spPr>
            <a:solidFill>
              <a:schemeClr val="accent6"/>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Actual'!$D$15:$O$15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3049-4641-A7BE-2606D3DC82CD}"/>
            </c:ext>
          </c:extLst>
        </c:ser>
        <c:ser>
          <c:idx val="6"/>
          <c:order val="6"/>
          <c:tx>
            <c:strRef>
              <c:f>'Monthly Actual'!$C$16</c:f>
              <c:strCache>
                <c:ptCount val="1"/>
                <c:pt idx="0">
                  <c:v> Other income</c:v>
                </c:pt>
              </c:strCache>
            </c:strRef>
          </c:tx>
          <c:spPr>
            <a:solidFill>
              <a:schemeClr val="accent1">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Actual'!$D$16:$O$16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3049-4641-A7BE-2606D3DC82CD}"/>
            </c:ext>
          </c:extLst>
        </c:ser>
        <c:ser>
          <c:idx val="7"/>
          <c:order val="7"/>
          <c:tx>
            <c:strRef>
              <c:f>'Monthly Actual'!$C$17</c:f>
              <c:strCache>
                <c:ptCount val="1"/>
                <c:pt idx="0">
                  <c:v> Investment income</c:v>
                </c:pt>
              </c:strCache>
            </c:strRef>
          </c:tx>
          <c:spPr>
            <a:solidFill>
              <a:schemeClr val="accent2">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Actual'!$D$17:$O$17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3049-4641-A7BE-2606D3DC82CD}"/>
            </c:ext>
          </c:extLst>
        </c:ser>
        <c:ser>
          <c:idx val="8"/>
          <c:order val="8"/>
          <c:tx>
            <c:strRef>
              <c:f>'Monthly Actual'!$C$18</c:f>
              <c:strCache>
                <c:ptCount val="1"/>
                <c:pt idx="0">
                  <c:v> Income category 2</c:v>
                </c:pt>
              </c:strCache>
            </c:strRef>
          </c:tx>
          <c:spPr>
            <a:solidFill>
              <a:schemeClr val="accent3">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Actual'!$D$18:$O$18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3049-4641-A7BE-2606D3DC82CD}"/>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EXPENSES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Actual'!$C$19</c:f>
              <c:strCache>
                <c:ptCount val="1"/>
                <c:pt idx="0">
                  <c:v> Grosceries &amp; Other Supplies</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Actual'!$D$19:$O$19</c:f>
              <c:numCache>
                <c:formatCode>[$VND]\ #,##0_);\([$VND]\ #,##0\)</c:formatCode>
                <c:ptCount val="12"/>
                <c:pt idx="0">
                  <c:v>4600000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B8B-40A5-A7D6-733CC34BE143}"/>
            </c:ext>
          </c:extLst>
        </c:ser>
        <c:ser>
          <c:idx val="1"/>
          <c:order val="1"/>
          <c:tx>
            <c:strRef>
              <c:f>'Monthly Actual'!$C$20</c:f>
              <c:strCache>
                <c:ptCount val="1"/>
                <c:pt idx="0">
                  <c:v> Transportation</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Actual'!$D$20:$O$20</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5B8B-40A5-A7D6-733CC34BE143}"/>
            </c:ext>
          </c:extLst>
        </c:ser>
        <c:ser>
          <c:idx val="2"/>
          <c:order val="2"/>
          <c:tx>
            <c:strRef>
              <c:f>'Monthly Actual'!$C$21</c:f>
              <c:strCache>
                <c:ptCount val="1"/>
                <c:pt idx="0">
                  <c:v> Utilities</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Actual'!$D$21:$O$21</c:f>
              <c:numCache>
                <c:formatCode>[$VND]\ #,##0_);\([$VND]\ #,##0\)</c:formatCode>
                <c:ptCount val="12"/>
                <c:pt idx="0">
                  <c:v>800000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5B8B-40A5-A7D6-733CC34BE143}"/>
            </c:ext>
          </c:extLst>
        </c:ser>
        <c:ser>
          <c:idx val="3"/>
          <c:order val="3"/>
          <c:tx>
            <c:strRef>
              <c:f>'Monthly Actual'!$C$22</c:f>
              <c:strCache>
                <c:ptCount val="1"/>
                <c:pt idx="0">
                  <c:v> Health expenses</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Actual'!$D$22:$O$22</c:f>
              <c:numCache>
                <c:formatCode>[$VND]\ #,##0_);\([$VND]\ #,##0\)</c:formatCode>
                <c:ptCount val="12"/>
                <c:pt idx="0">
                  <c:v>1000000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5B8B-40A5-A7D6-733CC34BE143}"/>
            </c:ext>
          </c:extLst>
        </c:ser>
        <c:ser>
          <c:idx val="4"/>
          <c:order val="4"/>
          <c:tx>
            <c:strRef>
              <c:f>'Monthly Actual'!$C$23</c:f>
              <c:strCache>
                <c:ptCount val="1"/>
                <c:pt idx="0">
                  <c:v> Personal</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Actual'!$D$23:$O$23</c:f>
              <c:numCache>
                <c:formatCode>[$VND]\ #,##0_);\([$VND]\ #,##0\)</c:formatCode>
                <c:ptCount val="12"/>
                <c:pt idx="0">
                  <c:v>400000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5B8B-40A5-A7D6-733CC34BE143}"/>
            </c:ext>
          </c:extLst>
        </c:ser>
        <c:ser>
          <c:idx val="5"/>
          <c:order val="5"/>
          <c:tx>
            <c:strRef>
              <c:f>'Monthly Actual'!$C$24</c:f>
              <c:strCache>
                <c:ptCount val="1"/>
                <c:pt idx="0">
                  <c:v> Education &amp; Childcare</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Actual'!$D$24:$O$24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5B8B-40A5-A7D6-733CC34BE143}"/>
            </c:ext>
          </c:extLst>
        </c:ser>
        <c:ser>
          <c:idx val="6"/>
          <c:order val="6"/>
          <c:tx>
            <c:strRef>
              <c:f>'Monthly Actual'!$C$25</c:f>
              <c:strCache>
                <c:ptCount val="1"/>
                <c:pt idx="0">
                  <c:v> Loan Principal payment</c:v>
                </c:pt>
              </c:strCache>
            </c:strRef>
          </c:tx>
          <c:spPr>
            <a:solidFill>
              <a:schemeClr val="accent1">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Actual'!$D$25:$O$25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5B8B-40A5-A7D6-733CC34BE143}"/>
            </c:ext>
          </c:extLst>
        </c:ser>
        <c:ser>
          <c:idx val="7"/>
          <c:order val="7"/>
          <c:tx>
            <c:strRef>
              <c:f>'Monthly Actual'!$C$26</c:f>
              <c:strCache>
                <c:ptCount val="1"/>
                <c:pt idx="0">
                  <c:v> Loan Interest expense</c:v>
                </c:pt>
              </c:strCache>
            </c:strRef>
          </c:tx>
          <c:spPr>
            <a:solidFill>
              <a:schemeClr val="accent2">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Actual'!$D$26:$O$26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5B8B-40A5-A7D6-733CC34BE143}"/>
            </c:ext>
          </c:extLst>
        </c:ser>
        <c:ser>
          <c:idx val="8"/>
          <c:order val="8"/>
          <c:tx>
            <c:strRef>
              <c:f>'Monthly Actual'!$C$27</c:f>
              <c:strCache>
                <c:ptCount val="1"/>
                <c:pt idx="0">
                  <c:v> Service animals &amp; Pets</c:v>
                </c:pt>
              </c:strCache>
            </c:strRef>
          </c:tx>
          <c:spPr>
            <a:solidFill>
              <a:schemeClr val="accent3">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Actual'!$D$27:$O$27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5B8B-40A5-A7D6-733CC34BE143}"/>
            </c:ext>
          </c:extLst>
        </c:ser>
        <c:ser>
          <c:idx val="9"/>
          <c:order val="9"/>
          <c:tx>
            <c:strRef>
              <c:f>'Monthly Actual'!$C$28</c:f>
              <c:strCache>
                <c:ptCount val="1"/>
                <c:pt idx="0">
                  <c:v> Other expenses</c:v>
                </c:pt>
              </c:strCache>
            </c:strRef>
          </c:tx>
          <c:spPr>
            <a:solidFill>
              <a:schemeClr val="accent4">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Actual'!$D$28:$O$28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5B8B-40A5-A7D6-733CC34BE143}"/>
            </c:ext>
          </c:extLst>
        </c:ser>
        <c:ser>
          <c:idx val="10"/>
          <c:order val="10"/>
          <c:tx>
            <c:strRef>
              <c:f>'Monthly Actual'!$C$29</c:f>
              <c:strCache>
                <c:ptCount val="1"/>
                <c:pt idx="0">
                  <c:v> Vehicle maintenance</c:v>
                </c:pt>
              </c:strCache>
            </c:strRef>
          </c:tx>
          <c:spPr>
            <a:solidFill>
              <a:schemeClr val="accent5">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Actual'!$D$29:$O$29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5B8B-40A5-A7D6-733CC34BE143}"/>
            </c:ext>
          </c:extLst>
        </c:ser>
        <c:ser>
          <c:idx val="11"/>
          <c:order val="11"/>
          <c:tx>
            <c:strRef>
              <c:f>'Monthly Actual'!$C$30</c:f>
              <c:strCache>
                <c:ptCount val="1"/>
                <c:pt idx="0">
                  <c:v> Lending</c:v>
                </c:pt>
              </c:strCache>
            </c:strRef>
          </c:tx>
          <c:spPr>
            <a:solidFill>
              <a:schemeClr val="accent6">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Actual'!$D$30:$O$30</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5B8B-40A5-A7D6-733CC34BE143}"/>
            </c:ext>
          </c:extLst>
        </c:ser>
        <c:ser>
          <c:idx val="12"/>
          <c:order val="12"/>
          <c:tx>
            <c:strRef>
              <c:f>'Monthly Actual'!$C$31</c:f>
              <c:strCache>
                <c:ptCount val="1"/>
                <c:pt idx="0">
                  <c:v> Mobile fee</c:v>
                </c:pt>
              </c:strCache>
            </c:strRef>
          </c:tx>
          <c:spPr>
            <a:solidFill>
              <a:schemeClr val="accent1">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Actual'!$D$31:$O$31</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5B8B-40A5-A7D6-733CC34BE143}"/>
            </c:ext>
          </c:extLst>
        </c:ser>
        <c:ser>
          <c:idx val="13"/>
          <c:order val="13"/>
          <c:tx>
            <c:strRef>
              <c:f>'Monthly Actual'!$C$32</c:f>
              <c:strCache>
                <c:ptCount val="1"/>
                <c:pt idx="0">
                  <c:v> Expenses category 1</c:v>
                </c:pt>
              </c:strCache>
            </c:strRef>
          </c:tx>
          <c:spPr>
            <a:solidFill>
              <a:schemeClr val="accent2">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Actual'!$D$32:$O$32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5B8B-40A5-A7D6-733CC34BE143}"/>
            </c:ext>
          </c:extLst>
        </c:ser>
        <c:ser>
          <c:idx val="14"/>
          <c:order val="14"/>
          <c:tx>
            <c:strRef>
              <c:f>'Monthly Actual'!$C$33</c:f>
              <c:strCache>
                <c:ptCount val="1"/>
                <c:pt idx="0">
                  <c:v> Expenses category 2</c:v>
                </c:pt>
              </c:strCache>
            </c:strRef>
          </c:tx>
          <c:spPr>
            <a:solidFill>
              <a:schemeClr val="accent3">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Actual'!$D$33:$O$33</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5B8B-40A5-A7D6-733CC34BE143}"/>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DISCRETIONARY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Actual'!$C$34</c:f>
              <c:strCache>
                <c:ptCount val="1"/>
                <c:pt idx="0">
                  <c:v> Entertainment</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Actual'!$D$34:$O$34</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4AA-47E1-BFF9-D60E53DFDDC6}"/>
            </c:ext>
          </c:extLst>
        </c:ser>
        <c:ser>
          <c:idx val="1"/>
          <c:order val="1"/>
          <c:tx>
            <c:strRef>
              <c:f>'Monthly Actual'!$C$35</c:f>
              <c:strCache>
                <c:ptCount val="1"/>
                <c:pt idx="0">
                  <c:v> Shopping</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Actual'!$D$35:$O$35</c:f>
              <c:numCache>
                <c:formatCode>[$VND]\ #,##0_);\([$VND]\ #,##0\)</c:formatCode>
                <c:ptCount val="12"/>
                <c:pt idx="0">
                  <c:v>500000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4AA-47E1-BFF9-D60E53DFDDC6}"/>
            </c:ext>
          </c:extLst>
        </c:ser>
        <c:ser>
          <c:idx val="2"/>
          <c:order val="2"/>
          <c:tx>
            <c:strRef>
              <c:f>'Monthly Actual'!$C$36</c:f>
              <c:strCache>
                <c:ptCount val="1"/>
                <c:pt idx="0">
                  <c:v> Travelling</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Actual'!$D$36:$O$36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84AA-47E1-BFF9-D60E53DFDDC6}"/>
            </c:ext>
          </c:extLst>
        </c:ser>
        <c:ser>
          <c:idx val="3"/>
          <c:order val="3"/>
          <c:tx>
            <c:strRef>
              <c:f>'Monthly Actual'!$C$37</c:f>
              <c:strCache>
                <c:ptCount val="1"/>
                <c:pt idx="0">
                  <c:v> Other discretionary</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Actual'!$D$37:$O$37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84AA-47E1-BFF9-D60E53DFDDC6}"/>
            </c:ext>
          </c:extLst>
        </c:ser>
        <c:ser>
          <c:idx val="4"/>
          <c:order val="4"/>
          <c:tx>
            <c:strRef>
              <c:f>'Monthly Actual'!$C$38</c:f>
              <c:strCache>
                <c:ptCount val="1"/>
                <c:pt idx="0">
                  <c:v> Discretionary category 1</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Actual'!$D$38:$O$38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84AA-47E1-BFF9-D60E53DFDDC6}"/>
            </c:ext>
          </c:extLst>
        </c:ser>
        <c:ser>
          <c:idx val="5"/>
          <c:order val="5"/>
          <c:tx>
            <c:strRef>
              <c:f>'Monthly Actual'!$C$39</c:f>
              <c:strCache>
                <c:ptCount val="1"/>
                <c:pt idx="0">
                  <c:v> Discretionary category 2</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Actual'!$D$39:$O$39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84AA-47E1-BFF9-D60E53DFDDC6}"/>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SAVING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Actual'!$B$40</c:f>
              <c:strCache>
                <c:ptCount val="1"/>
                <c:pt idx="0">
                  <c:v>Actual saving</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Actual'!$D$40:$O$40</c:f>
              <c:numCache>
                <c:formatCode>[$VND]\ #,##0_);\([$VND]\ #,##0\)</c:formatCode>
                <c:ptCount val="12"/>
                <c:pt idx="0">
                  <c:v>30100000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023-411D-B49B-ABC3175E8172}"/>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Asset Allocatio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Loan!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Net Worth'!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Real Estate'!A1"/><Relationship Id="rId4" Type="http://schemas.openxmlformats.org/officeDocument/2006/relationships/hyperlink" Target="#Transactions!A1"/><Relationship Id="rId9" Type="http://schemas.openxmlformats.org/officeDocument/2006/relationships/hyperlink" Target="#Investment!A1"/><Relationship Id="rId14"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 Id="rId14" Type="http://schemas.openxmlformats.org/officeDocument/2006/relationships/hyperlink" Target="#'Asset Allocation'!A1"/></Relationships>
</file>

<file path=xl/drawings/_rels/drawing3.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4.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5.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6.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7.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Transactions!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Saving Accounts'!A1"/><Relationship Id="rId16" Type="http://schemas.openxmlformats.org/officeDocument/2006/relationships/hyperlink" Target="#'Actual by month'!A1"/><Relationship Id="rId1" Type="http://schemas.openxmlformats.org/officeDocument/2006/relationships/chart" Target="../charts/chart1.xml"/><Relationship Id="rId6" Type="http://schemas.openxmlformats.org/officeDocument/2006/relationships/hyperlink" Target="#'Monthly Forecast'!A1"/><Relationship Id="rId11" Type="http://schemas.openxmlformats.org/officeDocument/2006/relationships/hyperlink" Target="#Loan!A1"/><Relationship Id="rId5" Type="http://schemas.openxmlformats.org/officeDocument/2006/relationships/hyperlink" Target="#Investment!A1"/><Relationship Id="rId15" Type="http://schemas.openxmlformats.org/officeDocument/2006/relationships/hyperlink" Target="#'Asset Allocation'!A1"/><Relationship Id="rId10" Type="http://schemas.openxmlformats.org/officeDocument/2006/relationships/hyperlink" Target="#'Net Worth'!A1"/><Relationship Id="rId4" Type="http://schemas.openxmlformats.org/officeDocument/2006/relationships/hyperlink" Target="#Instruction!A1"/><Relationship Id="rId9" Type="http://schemas.openxmlformats.org/officeDocument/2006/relationships/hyperlink" Target="#'Real Estate'!A1"/><Relationship Id="rId14" Type="http://schemas.openxmlformats.org/officeDocument/2006/relationships/hyperlink" Target="#'Actual v.s Forecast-YTD'!A1"/></Relationships>
</file>

<file path=xl/drawings/_rels/drawing8.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9.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0.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1.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M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chart" Target="../charts/chart3.xml"/><Relationship Id="rId17" Type="http://schemas.openxmlformats.org/officeDocument/2006/relationships/hyperlink" Target="#'Actual by month'!A1"/><Relationship Id="rId2" Type="http://schemas.openxmlformats.org/officeDocument/2006/relationships/hyperlink" Target="#Transactions!A1"/><Relationship Id="rId16" Type="http://schemas.openxmlformats.org/officeDocument/2006/relationships/hyperlink" Target="#'Asset Allocation'!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chart" Target="../charts/chart2.xml"/><Relationship Id="rId5" Type="http://schemas.openxmlformats.org/officeDocument/2006/relationships/hyperlink" Target="#'Monthly Forecast'!A1"/><Relationship Id="rId15" Type="http://schemas.openxmlformats.org/officeDocument/2006/relationships/hyperlink" Target="#'Actual v.s Forecast-YTD'!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nnual Forecast'!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6.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5.xml"/><Relationship Id="rId16" Type="http://schemas.openxmlformats.org/officeDocument/2006/relationships/hyperlink" Target="#'Annual Forecast'!A1"/><Relationship Id="rId1" Type="http://schemas.openxmlformats.org/officeDocument/2006/relationships/chart" Target="../charts/chart4.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7.xml"/><Relationship Id="rId9" Type="http://schemas.openxmlformats.org/officeDocument/2006/relationships/hyperlink" Target="#'Monthly Forecast'!A1"/><Relationship Id="rId14" Type="http://schemas.openxmlformats.org/officeDocument/2006/relationships/hyperlink" Target="#Loan!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0.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9.xml"/><Relationship Id="rId16" Type="http://schemas.openxmlformats.org/officeDocument/2006/relationships/hyperlink" Target="#'Annual Forecast'!A1"/><Relationship Id="rId1" Type="http://schemas.openxmlformats.org/officeDocument/2006/relationships/chart" Target="../charts/chart8.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1.xml"/><Relationship Id="rId9" Type="http://schemas.openxmlformats.org/officeDocument/2006/relationships/hyperlink" Target="#'Monthly Forecast'!A1"/><Relationship Id="rId14" Type="http://schemas.openxmlformats.org/officeDocument/2006/relationships/hyperlink" Target="#Loan!A1"/></Relationships>
</file>

<file path=xl/drawings/_rels/drawing14.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4.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3.xml"/><Relationship Id="rId16" Type="http://schemas.openxmlformats.org/officeDocument/2006/relationships/hyperlink" Target="#'Annual Forecast'!A1"/><Relationship Id="rId1" Type="http://schemas.openxmlformats.org/officeDocument/2006/relationships/chart" Target="../charts/chart12.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5.xml"/><Relationship Id="rId9" Type="http://schemas.openxmlformats.org/officeDocument/2006/relationships/hyperlink" Target="#'Monthly Forecast'!A1"/><Relationship Id="rId14" Type="http://schemas.openxmlformats.org/officeDocument/2006/relationships/hyperlink" Target="#Loan!A1"/></Relationships>
</file>

<file path=xl/drawings/_rels/drawing15.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8.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7.xml"/><Relationship Id="rId16" Type="http://schemas.openxmlformats.org/officeDocument/2006/relationships/hyperlink" Target="#'Annual Forecast'!A1"/><Relationship Id="rId1" Type="http://schemas.openxmlformats.org/officeDocument/2006/relationships/chart" Target="../charts/chart16.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9.xml"/><Relationship Id="rId9" Type="http://schemas.openxmlformats.org/officeDocument/2006/relationships/hyperlink" Target="#'Monthly Forecast'!A1"/><Relationship Id="rId14" Type="http://schemas.openxmlformats.org/officeDocument/2006/relationships/hyperlink" Target="#Loan!A1"/></Relationships>
</file>

<file path=xl/drawings/drawing1.xml><?xml version="1.0" encoding="utf-8"?>
<xdr:wsDr xmlns:xdr="http://schemas.openxmlformats.org/drawingml/2006/spreadsheetDrawing" xmlns:a="http://schemas.openxmlformats.org/drawingml/2006/main">
  <xdr:twoCellAnchor editAs="absolute">
    <xdr:from>
      <xdr:col>8</xdr:col>
      <xdr:colOff>245384</xdr:colOff>
      <xdr:row>0</xdr:row>
      <xdr:rowOff>70465</xdr:rowOff>
    </xdr:from>
    <xdr:to>
      <xdr:col>10</xdr:col>
      <xdr:colOff>65133</xdr:colOff>
      <xdr:row>0</xdr:row>
      <xdr:rowOff>509377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479717" y="7046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669799</xdr:colOff>
      <xdr:row>0</xdr:row>
      <xdr:rowOff>70465</xdr:rowOff>
    </xdr:from>
    <xdr:to>
      <xdr:col>4</xdr:col>
      <xdr:colOff>512365</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78132"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1364439</xdr:colOff>
      <xdr:row>0</xdr:row>
      <xdr:rowOff>70465</xdr:rowOff>
    </xdr:from>
    <xdr:to>
      <xdr:col>5</xdr:col>
      <xdr:colOff>727137</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778189"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565518</xdr:colOff>
      <xdr:row>0</xdr:row>
      <xdr:rowOff>79929</xdr:rowOff>
    </xdr:from>
    <xdr:to>
      <xdr:col>4</xdr:col>
      <xdr:colOff>1318558</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8979268"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907180</xdr:colOff>
      <xdr:row>0</xdr:row>
      <xdr:rowOff>73577</xdr:rowOff>
    </xdr:from>
    <xdr:to>
      <xdr:col>8</xdr:col>
      <xdr:colOff>206065</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617513"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16</xdr:row>
      <xdr:rowOff>107944</xdr:rowOff>
    </xdr:from>
    <xdr:to>
      <xdr:col>2</xdr:col>
      <xdr:colOff>5923929</xdr:colOff>
      <xdr:row>34</xdr:row>
      <xdr:rowOff>163745</xdr:rowOff>
    </xdr:to>
    <xdr:grpSp>
      <xdr:nvGrpSpPr>
        <xdr:cNvPr id="46" name="Group 45"/>
        <xdr:cNvGrpSpPr/>
      </xdr:nvGrpSpPr>
      <xdr:grpSpPr>
        <a:xfrm>
          <a:off x="190500" y="6045194"/>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15</xdr:row>
      <xdr:rowOff>10583</xdr:rowOff>
    </xdr:from>
    <xdr:to>
      <xdr:col>3</xdr:col>
      <xdr:colOff>105832</xdr:colOff>
      <xdr:row>36</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550335</xdr:colOff>
      <xdr:row>24</xdr:row>
      <xdr:rowOff>101597</xdr:rowOff>
    </xdr:from>
    <xdr:to>
      <xdr:col>2</xdr:col>
      <xdr:colOff>264583</xdr:colOff>
      <xdr:row>27</xdr:row>
      <xdr:rowOff>759</xdr:rowOff>
    </xdr:to>
    <xdr:sp macro="" textlink="">
      <xdr:nvSpPr>
        <xdr:cNvPr id="45" name="Rounded Rectangle 44">
          <a:extLst>
            <a:ext uri="{FF2B5EF4-FFF2-40B4-BE49-F238E27FC236}">
              <a16:creationId xmlns:a16="http://schemas.microsoft.com/office/drawing/2014/main" id="{00000000-0008-0000-0400-000011000000}"/>
            </a:ext>
          </a:extLst>
        </xdr:cNvPr>
        <xdr:cNvSpPr/>
      </xdr:nvSpPr>
      <xdr:spPr>
        <a:xfrm>
          <a:off x="709085" y="6906680"/>
          <a:ext cx="888998"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bg1"/>
              </a:solidFill>
              <a:latin typeface="Lato"/>
              <a:ea typeface="+mn-ea"/>
              <a:cs typeface="+mn-cs"/>
            </a:rPr>
            <a:t>ASSET ALLOCATION</a:t>
          </a:r>
        </a:p>
      </xdr:txBody>
    </xdr:sp>
    <xdr:clientData/>
  </xdr:twoCellAnchor>
  <xdr:twoCellAnchor>
    <xdr:from>
      <xdr:col>1</xdr:col>
      <xdr:colOff>937283</xdr:colOff>
      <xdr:row>21</xdr:row>
      <xdr:rowOff>139695</xdr:rowOff>
    </xdr:from>
    <xdr:to>
      <xdr:col>1</xdr:col>
      <xdr:colOff>937283</xdr:colOff>
      <xdr:row>24</xdr:row>
      <xdr:rowOff>102865</xdr:rowOff>
    </xdr:to>
    <xdr:cxnSp macro="">
      <xdr:nvCxnSpPr>
        <xdr:cNvPr id="76" name="Straight Arrow Connector 75"/>
        <xdr:cNvCxnSpPr/>
      </xdr:nvCxnSpPr>
      <xdr:spPr>
        <a:xfrm flipH="1">
          <a:off x="1096033" y="640502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380940</xdr:colOff>
      <xdr:row>32</xdr:row>
      <xdr:rowOff>92006</xdr:rowOff>
    </xdr:from>
    <xdr:to>
      <xdr:col>2</xdr:col>
      <xdr:colOff>1203825</xdr:colOff>
      <xdr:row>34</xdr:row>
      <xdr:rowOff>171085</xdr:rowOff>
    </xdr:to>
    <xdr:sp macro="" textlink="">
      <xdr:nvSpPr>
        <xdr:cNvPr id="77" name="Rounded Rectangle 76">
          <a:extLst>
            <a:ext uri="{FF2B5EF4-FFF2-40B4-BE49-F238E27FC236}">
              <a16:creationId xmlns:a16="http://schemas.microsoft.com/office/drawing/2014/main" id="{00000000-0008-0000-0400-000011000000}"/>
            </a:ext>
          </a:extLst>
        </xdr:cNvPr>
        <xdr:cNvSpPr/>
      </xdr:nvSpPr>
      <xdr:spPr>
        <a:xfrm>
          <a:off x="1714440" y="8336423"/>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 BY MONTH</a:t>
          </a:r>
        </a:p>
      </xdr:txBody>
    </xdr:sp>
    <xdr:clientData/>
  </xdr:twoCellAnchor>
  <xdr:twoCellAnchor>
    <xdr:from>
      <xdr:col>2</xdr:col>
      <xdr:colOff>828775</xdr:colOff>
      <xdr:row>29</xdr:row>
      <xdr:rowOff>84666</xdr:rowOff>
    </xdr:from>
    <xdr:to>
      <xdr:col>2</xdr:col>
      <xdr:colOff>828775</xdr:colOff>
      <xdr:row>32</xdr:row>
      <xdr:rowOff>119890</xdr:rowOff>
    </xdr:to>
    <xdr:cxnSp macro="">
      <xdr:nvCxnSpPr>
        <xdr:cNvPr id="78" name="Straight Arrow Connector 77"/>
        <xdr:cNvCxnSpPr/>
      </xdr:nvCxnSpPr>
      <xdr:spPr>
        <a:xfrm flipH="1">
          <a:off x="2162275" y="7789333"/>
          <a:ext cx="0" cy="5749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1587077</xdr:colOff>
      <xdr:row>27</xdr:row>
      <xdr:rowOff>2535</xdr:rowOff>
    </xdr:from>
    <xdr:to>
      <xdr:col>2</xdr:col>
      <xdr:colOff>1587077</xdr:colOff>
      <xdr:row>29</xdr:row>
      <xdr:rowOff>95250</xdr:rowOff>
    </xdr:to>
    <xdr:cxnSp macro="">
      <xdr:nvCxnSpPr>
        <xdr:cNvPr id="79" name="Straight Connector 78"/>
        <xdr:cNvCxnSpPr/>
      </xdr:nvCxnSpPr>
      <xdr:spPr>
        <a:xfrm flipH="1" flipV="1">
          <a:off x="2920577" y="7347368"/>
          <a:ext cx="0" cy="45254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814916</xdr:colOff>
      <xdr:row>29</xdr:row>
      <xdr:rowOff>80852</xdr:rowOff>
    </xdr:from>
    <xdr:to>
      <xdr:col>2</xdr:col>
      <xdr:colOff>1592156</xdr:colOff>
      <xdr:row>29</xdr:row>
      <xdr:rowOff>80852</xdr:rowOff>
    </xdr:to>
    <xdr:cxnSp macro="">
      <xdr:nvCxnSpPr>
        <xdr:cNvPr id="80" name="Straight Connector 79"/>
        <xdr:cNvCxnSpPr/>
      </xdr:nvCxnSpPr>
      <xdr:spPr>
        <a:xfrm>
          <a:off x="2148416" y="7785519"/>
          <a:ext cx="777240" cy="0"/>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784732</xdr:colOff>
      <xdr:row>0</xdr:row>
      <xdr:rowOff>76202</xdr:rowOff>
    </xdr:from>
    <xdr:to>
      <xdr:col>6</xdr:col>
      <xdr:colOff>858308</xdr:colOff>
      <xdr:row>0</xdr:row>
      <xdr:rowOff>515114</xdr:rowOff>
    </xdr:to>
    <xdr:sp macro="" textlink="">
      <xdr:nvSpPr>
        <xdr:cNvPr id="81" name="Rounded Rectangle 8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669565" y="7620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10</xdr:col>
      <xdr:colOff>105836</xdr:colOff>
      <xdr:row>0</xdr:row>
      <xdr:rowOff>74083</xdr:rowOff>
    </xdr:from>
    <xdr:to>
      <xdr:col>11</xdr:col>
      <xdr:colOff>543154</xdr:colOff>
      <xdr:row>0</xdr:row>
      <xdr:rowOff>512995</xdr:rowOff>
    </xdr:to>
    <xdr:sp macro="" textlink="">
      <xdr:nvSpPr>
        <xdr:cNvPr id="82" name="Rounded Rectangle 8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567836" y="7408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11</xdr:col>
      <xdr:colOff>586320</xdr:colOff>
      <xdr:row>0</xdr:row>
      <xdr:rowOff>78320</xdr:rowOff>
    </xdr:from>
    <xdr:to>
      <xdr:col>13</xdr:col>
      <xdr:colOff>409804</xdr:colOff>
      <xdr:row>0</xdr:row>
      <xdr:rowOff>517232</xdr:rowOff>
    </xdr:to>
    <xdr:sp macro="" textlink="">
      <xdr:nvSpPr>
        <xdr:cNvPr id="83" name="Rounded Rectangle 8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662153" y="7832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584036</xdr:colOff>
      <xdr:row>0</xdr:row>
      <xdr:rowOff>70466</xdr:rowOff>
    </xdr:from>
    <xdr:to>
      <xdr:col>15</xdr:col>
      <xdr:colOff>22785</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659619"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1436330</xdr:colOff>
      <xdr:row>0</xdr:row>
      <xdr:rowOff>73578</xdr:rowOff>
    </xdr:from>
    <xdr:to>
      <xdr:col>13</xdr:col>
      <xdr:colOff>512965</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765663"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15</xdr:col>
      <xdr:colOff>67195</xdr:colOff>
      <xdr:row>0</xdr:row>
      <xdr:rowOff>74701</xdr:rowOff>
    </xdr:from>
    <xdr:to>
      <xdr:col>15</xdr:col>
      <xdr:colOff>1118346</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3751445"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11</xdr:col>
      <xdr:colOff>508009</xdr:colOff>
      <xdr:row>0</xdr:row>
      <xdr:rowOff>71963</xdr:rowOff>
    </xdr:from>
    <xdr:to>
      <xdr:col>11</xdr:col>
      <xdr:colOff>1407085</xdr:colOff>
      <xdr:row>0</xdr:row>
      <xdr:rowOff>510875</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37342" y="7196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16</xdr:col>
      <xdr:colOff>2680</xdr:colOff>
      <xdr:row>0</xdr:row>
      <xdr:rowOff>74081</xdr:rowOff>
    </xdr:from>
    <xdr:to>
      <xdr:col>16</xdr:col>
      <xdr:colOff>1053831</xdr:colOff>
      <xdr:row>0</xdr:row>
      <xdr:rowOff>512993</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40513" y="740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179965</xdr:colOff>
      <xdr:row>0</xdr:row>
      <xdr:rowOff>95372</xdr:rowOff>
    </xdr:from>
    <xdr:to>
      <xdr:col>5</xdr:col>
      <xdr:colOff>120139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120048</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179218</xdr:colOff>
      <xdr:row>0</xdr:row>
      <xdr:rowOff>88404</xdr:rowOff>
    </xdr:from>
    <xdr:to>
      <xdr:col>5</xdr:col>
      <xdr:colOff>1078245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7</xdr:col>
      <xdr:colOff>894088</xdr:colOff>
      <xdr:row>0</xdr:row>
      <xdr:rowOff>93746</xdr:rowOff>
    </xdr:from>
    <xdr:to>
      <xdr:col>8</xdr:col>
      <xdr:colOff>800155</xdr:colOff>
      <xdr:row>0</xdr:row>
      <xdr:rowOff>532658</xdr:rowOff>
    </xdr:to>
    <xdr:sp macro="" textlink="">
      <xdr:nvSpPr>
        <xdr:cNvPr id="30" name="Rounded Rectangle 29">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85894</xdr:colOff>
      <xdr:row>0</xdr:row>
      <xdr:rowOff>93746</xdr:rowOff>
    </xdr:from>
    <xdr:to>
      <xdr:col>10</xdr:col>
      <xdr:colOff>20092</xdr:colOff>
      <xdr:row>0</xdr:row>
      <xdr:rowOff>532658</xdr:rowOff>
    </xdr:to>
    <xdr:sp macro="" textlink="">
      <xdr:nvSpPr>
        <xdr:cNvPr id="31" name="Rounded Rectangle 30">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821561</xdr:colOff>
      <xdr:row>0</xdr:row>
      <xdr:rowOff>92626</xdr:rowOff>
    </xdr:from>
    <xdr:to>
      <xdr:col>9</xdr:col>
      <xdr:colOff>40017</xdr:colOff>
      <xdr:row>0</xdr:row>
      <xdr:rowOff>531538</xdr:rowOff>
    </xdr:to>
    <xdr:sp macro="" textlink="">
      <xdr:nvSpPr>
        <xdr:cNvPr id="32" name="Rounded Rectangle 31">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1121838</xdr:colOff>
      <xdr:row>0</xdr:row>
      <xdr:rowOff>91016</xdr:rowOff>
    </xdr:from>
    <xdr:to>
      <xdr:col>6</xdr:col>
      <xdr:colOff>541804</xdr:colOff>
      <xdr:row>0</xdr:row>
      <xdr:rowOff>529928</xdr:rowOff>
    </xdr:to>
    <xdr:sp macro="" textlink="">
      <xdr:nvSpPr>
        <xdr:cNvPr id="35" name="Rounded Rectangle 3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69231</xdr:colOff>
      <xdr:row>0</xdr:row>
      <xdr:rowOff>91017</xdr:rowOff>
    </xdr:from>
    <xdr:to>
      <xdr:col>7</xdr:col>
      <xdr:colOff>843124</xdr:colOff>
      <xdr:row>0</xdr:row>
      <xdr:rowOff>529929</xdr:rowOff>
    </xdr:to>
    <xdr:sp macro="" textlink="">
      <xdr:nvSpPr>
        <xdr:cNvPr id="36" name="Rounded Rectangle 3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596905</xdr:colOff>
      <xdr:row>0</xdr:row>
      <xdr:rowOff>84666</xdr:rowOff>
    </xdr:from>
    <xdr:to>
      <xdr:col>7</xdr:col>
      <xdr:colOff>2053</xdr:colOff>
      <xdr:row>0</xdr:row>
      <xdr:rowOff>523578</xdr:rowOff>
    </xdr:to>
    <xdr:sp macro="" textlink="">
      <xdr:nvSpPr>
        <xdr:cNvPr id="37" name="Rounded Rectangle 3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7</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4</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12</xdr:col>
      <xdr:colOff>48510</xdr:colOff>
      <xdr:row>0</xdr:row>
      <xdr:rowOff>76200</xdr:rowOff>
    </xdr:from>
    <xdr:to>
      <xdr:col>13</xdr:col>
      <xdr:colOff>189993</xdr:colOff>
      <xdr:row>0</xdr:row>
      <xdr:rowOff>515112</xdr:rowOff>
    </xdr:to>
    <xdr:sp macro="" textlink="">
      <xdr:nvSpPr>
        <xdr:cNvPr id="17" name="Rounded Rectangle 16">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97710" y="76200"/>
          <a:ext cx="10558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94354</xdr:colOff>
      <xdr:row>0</xdr:row>
      <xdr:rowOff>79312</xdr:rowOff>
    </xdr:from>
    <xdr:to>
      <xdr:col>11</xdr:col>
      <xdr:colOff>917239</xdr:colOff>
      <xdr:row>0</xdr:row>
      <xdr:rowOff>518224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803754" y="79312"/>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234403</xdr:colOff>
      <xdr:row>0</xdr:row>
      <xdr:rowOff>80435</xdr:rowOff>
    </xdr:from>
    <xdr:to>
      <xdr:col>14</xdr:col>
      <xdr:colOff>318237</xdr:colOff>
      <xdr:row>0</xdr:row>
      <xdr:rowOff>519347</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98003" y="80435"/>
          <a:ext cx="1049034"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76200</xdr:colOff>
      <xdr:row>0</xdr:row>
      <xdr:rowOff>77697</xdr:rowOff>
    </xdr:from>
    <xdr:to>
      <xdr:col>11</xdr:col>
      <xdr:colOff>60876</xdr:colOff>
      <xdr:row>0</xdr:row>
      <xdr:rowOff>516609</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71200" y="77697"/>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356154</xdr:colOff>
      <xdr:row>0</xdr:row>
      <xdr:rowOff>79815</xdr:rowOff>
    </xdr:from>
    <xdr:to>
      <xdr:col>15</xdr:col>
      <xdr:colOff>507722</xdr:colOff>
      <xdr:row>0</xdr:row>
      <xdr:rowOff>518727</xdr:rowOff>
    </xdr:to>
    <xdr:sp macro="" textlink="">
      <xdr:nvSpPr>
        <xdr:cNvPr id="24" name="Rounded Rectangle 2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84954" y="79815"/>
          <a:ext cx="106596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12</xdr:col>
      <xdr:colOff>691102</xdr:colOff>
      <xdr:row>0</xdr:row>
      <xdr:rowOff>70036</xdr:rowOff>
    </xdr:from>
    <xdr:to>
      <xdr:col>13</xdr:col>
      <xdr:colOff>775436</xdr:colOff>
      <xdr:row>0</xdr:row>
      <xdr:rowOff>508948</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9374" y="70036"/>
          <a:ext cx="10508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760229</xdr:colOff>
      <xdr:row>0</xdr:row>
      <xdr:rowOff>73148</xdr:rowOff>
    </xdr:from>
    <xdr:to>
      <xdr:col>12</xdr:col>
      <xdr:colOff>620031</xdr:colOff>
      <xdr:row>0</xdr:row>
      <xdr:rowOff>512060</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1994" y="73148"/>
          <a:ext cx="82630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823269</xdr:colOff>
      <xdr:row>0</xdr:row>
      <xdr:rowOff>74271</xdr:rowOff>
    </xdr:from>
    <xdr:to>
      <xdr:col>14</xdr:col>
      <xdr:colOff>911337</xdr:colOff>
      <xdr:row>0</xdr:row>
      <xdr:rowOff>513183</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8048" y="74271"/>
          <a:ext cx="10545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798416</xdr:colOff>
      <xdr:row>0</xdr:row>
      <xdr:rowOff>71533</xdr:rowOff>
    </xdr:from>
    <xdr:to>
      <xdr:col>11</xdr:col>
      <xdr:colOff>730984</xdr:colOff>
      <xdr:row>0</xdr:row>
      <xdr:rowOff>510445</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3673" y="715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949254</xdr:colOff>
      <xdr:row>0</xdr:row>
      <xdr:rowOff>73651</xdr:rowOff>
    </xdr:from>
    <xdr:to>
      <xdr:col>16</xdr:col>
      <xdr:colOff>70815</xdr:colOff>
      <xdr:row>0</xdr:row>
      <xdr:rowOff>512563</xdr:rowOff>
    </xdr:to>
    <xdr:sp macro="" textlink="">
      <xdr:nvSpPr>
        <xdr:cNvPr id="34" name="Rounded Rectangle 3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30541" y="73651"/>
          <a:ext cx="105457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382952</xdr:colOff>
      <xdr:row>0</xdr:row>
      <xdr:rowOff>63499</xdr:rowOff>
    </xdr:from>
    <xdr:to>
      <xdr:col>10</xdr:col>
      <xdr:colOff>382618</xdr:colOff>
      <xdr:row>0</xdr:row>
      <xdr:rowOff>502411</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2" y="6349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547329</xdr:colOff>
      <xdr:row>0</xdr:row>
      <xdr:rowOff>66611</xdr:rowOff>
    </xdr:from>
    <xdr:to>
      <xdr:col>9</xdr:col>
      <xdr:colOff>311881</xdr:colOff>
      <xdr:row>0</xdr:row>
      <xdr:rowOff>505523</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6" y="6661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427028</xdr:colOff>
      <xdr:row>0</xdr:row>
      <xdr:rowOff>67734</xdr:rowOff>
    </xdr:from>
    <xdr:to>
      <xdr:col>11</xdr:col>
      <xdr:colOff>462179</xdr:colOff>
      <xdr:row>0</xdr:row>
      <xdr:rowOff>506646</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8" y="6773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677342</xdr:colOff>
      <xdr:row>0</xdr:row>
      <xdr:rowOff>64996</xdr:rowOff>
    </xdr:from>
    <xdr:to>
      <xdr:col>8</xdr:col>
      <xdr:colOff>518084</xdr:colOff>
      <xdr:row>0</xdr:row>
      <xdr:rowOff>503908</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5" y="64996"/>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500096</xdr:colOff>
      <xdr:row>0</xdr:row>
      <xdr:rowOff>67114</xdr:rowOff>
    </xdr:from>
    <xdr:to>
      <xdr:col>12</xdr:col>
      <xdr:colOff>598747</xdr:colOff>
      <xdr:row>0</xdr:row>
      <xdr:rowOff>506026</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6" y="6711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10</xdr:col>
      <xdr:colOff>647535</xdr:colOff>
      <xdr:row>0</xdr:row>
      <xdr:rowOff>84664</xdr:rowOff>
    </xdr:from>
    <xdr:to>
      <xdr:col>11</xdr:col>
      <xdr:colOff>308534</xdr:colOff>
      <xdr:row>0</xdr:row>
      <xdr:rowOff>523576</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17285" y="84664"/>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1171746</xdr:colOff>
      <xdr:row>0</xdr:row>
      <xdr:rowOff>87776</xdr:rowOff>
    </xdr:from>
    <xdr:to>
      <xdr:col>10</xdr:col>
      <xdr:colOff>576464</xdr:colOff>
      <xdr:row>0</xdr:row>
      <xdr:rowOff>526688</xdr:rowOff>
    </xdr:to>
    <xdr:sp macro="" textlink="">
      <xdr:nvSpPr>
        <xdr:cNvPr id="20" name="Rounded Rectangle 1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23329" y="87776"/>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352944</xdr:colOff>
      <xdr:row>0</xdr:row>
      <xdr:rowOff>88899</xdr:rowOff>
    </xdr:from>
    <xdr:to>
      <xdr:col>12</xdr:col>
      <xdr:colOff>17679</xdr:colOff>
      <xdr:row>0</xdr:row>
      <xdr:rowOff>527811</xdr:rowOff>
    </xdr:to>
    <xdr:sp macro="" textlink="">
      <xdr:nvSpPr>
        <xdr:cNvPr id="21" name="Rounded Rectangle 2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09111" y="8889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243425</xdr:colOff>
      <xdr:row>0</xdr:row>
      <xdr:rowOff>86161</xdr:rowOff>
    </xdr:from>
    <xdr:to>
      <xdr:col>9</xdr:col>
      <xdr:colOff>1132976</xdr:colOff>
      <xdr:row>0</xdr:row>
      <xdr:rowOff>525073</xdr:rowOff>
    </xdr:to>
    <xdr:sp macro="" textlink="">
      <xdr:nvSpPr>
        <xdr:cNvPr id="22" name="Rounded Rectangle 2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795008" y="86161"/>
          <a:ext cx="8895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55596</xdr:colOff>
      <xdr:row>0</xdr:row>
      <xdr:rowOff>88279</xdr:rowOff>
    </xdr:from>
    <xdr:to>
      <xdr:col>13</xdr:col>
      <xdr:colOff>514080</xdr:colOff>
      <xdr:row>0</xdr:row>
      <xdr:rowOff>527191</xdr:rowOff>
    </xdr:to>
    <xdr:sp macro="" textlink="">
      <xdr:nvSpPr>
        <xdr:cNvPr id="23" name="Rounded Rectangle 2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798179" y="8827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1</xdr:col>
      <xdr:colOff>421743</xdr:colOff>
      <xdr:row>4</xdr:row>
      <xdr:rowOff>103718</xdr:rowOff>
    </xdr:from>
    <xdr:to>
      <xdr:col>13</xdr:col>
      <xdr:colOff>296332</xdr:colOff>
      <xdr:row>6</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14</xdr:row>
      <xdr:rowOff>148168</xdr:rowOff>
    </xdr:from>
    <xdr:to>
      <xdr:col>6</xdr:col>
      <xdr:colOff>0</xdr:colOff>
      <xdr:row>17</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14</xdr:row>
      <xdr:rowOff>63500</xdr:rowOff>
    </xdr:from>
    <xdr:to>
      <xdr:col>4</xdr:col>
      <xdr:colOff>66886</xdr:colOff>
      <xdr:row>16</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25</xdr:row>
      <xdr:rowOff>57152</xdr:rowOff>
    </xdr:from>
    <xdr:to>
      <xdr:col>7</xdr:col>
      <xdr:colOff>449793</xdr:colOff>
      <xdr:row>27</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24</xdr:row>
      <xdr:rowOff>67732</xdr:rowOff>
    </xdr:from>
    <xdr:to>
      <xdr:col>4</xdr:col>
      <xdr:colOff>105833</xdr:colOff>
      <xdr:row>27</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20</xdr:row>
      <xdr:rowOff>84669</xdr:rowOff>
    </xdr:from>
    <xdr:to>
      <xdr:col>7</xdr:col>
      <xdr:colOff>434976</xdr:colOff>
      <xdr:row>22</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20</xdr:row>
      <xdr:rowOff>63499</xdr:rowOff>
    </xdr:from>
    <xdr:to>
      <xdr:col>4</xdr:col>
      <xdr:colOff>88052</xdr:colOff>
      <xdr:row>22</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17</xdr:col>
      <xdr:colOff>171285</xdr:colOff>
      <xdr:row>0</xdr:row>
      <xdr:rowOff>63498</xdr:rowOff>
    </xdr:from>
    <xdr:to>
      <xdr:col>17</xdr:col>
      <xdr:colOff>1218701</xdr:colOff>
      <xdr:row>0</xdr:row>
      <xdr:rowOff>502410</xdr:rowOff>
    </xdr:to>
    <xdr:sp macro="" textlink="">
      <xdr:nvSpPr>
        <xdr:cNvPr id="30" name="Rounded Rectangle 2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483829</xdr:colOff>
      <xdr:row>0</xdr:row>
      <xdr:rowOff>66610</xdr:rowOff>
    </xdr:from>
    <xdr:to>
      <xdr:col>17</xdr:col>
      <xdr:colOff>100214</xdr:colOff>
      <xdr:row>0</xdr:row>
      <xdr:rowOff>505522</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1263111</xdr:colOff>
      <xdr:row>0</xdr:row>
      <xdr:rowOff>67733</xdr:rowOff>
    </xdr:from>
    <xdr:to>
      <xdr:col>18</xdr:col>
      <xdr:colOff>444502</xdr:colOff>
      <xdr:row>0</xdr:row>
      <xdr:rowOff>506645</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3"/>
          <a:ext cx="104405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169342</xdr:colOff>
      <xdr:row>0</xdr:row>
      <xdr:rowOff>64995</xdr:rowOff>
    </xdr:from>
    <xdr:to>
      <xdr:col>16</xdr:col>
      <xdr:colOff>454584</xdr:colOff>
      <xdr:row>0</xdr:row>
      <xdr:rowOff>503907</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18</xdr:col>
      <xdr:colOff>489513</xdr:colOff>
      <xdr:row>0</xdr:row>
      <xdr:rowOff>67113</xdr:rowOff>
    </xdr:from>
    <xdr:to>
      <xdr:col>23</xdr:col>
      <xdr:colOff>312997</xdr:colOff>
      <xdr:row>0</xdr:row>
      <xdr:rowOff>506025</xdr:rowOff>
    </xdr:to>
    <xdr:sp macro="" textlink="">
      <xdr:nvSpPr>
        <xdr:cNvPr id="34" name="Rounded Rectangle 33">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9</xdr:col>
      <xdr:colOff>1127508</xdr:colOff>
      <xdr:row>0</xdr:row>
      <xdr:rowOff>78442</xdr:rowOff>
    </xdr:from>
    <xdr:to>
      <xdr:col>10</xdr:col>
      <xdr:colOff>774188</xdr:colOff>
      <xdr:row>0</xdr:row>
      <xdr:rowOff>517354</xdr:rowOff>
    </xdr:to>
    <xdr:sp macro="" textlink="">
      <xdr:nvSpPr>
        <xdr:cNvPr id="26" name="Rounded Rectangle 25">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767743"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233552</xdr:colOff>
      <xdr:row>0</xdr:row>
      <xdr:rowOff>81554</xdr:rowOff>
    </xdr:from>
    <xdr:to>
      <xdr:col>9</xdr:col>
      <xdr:colOff>1056437</xdr:colOff>
      <xdr:row>0</xdr:row>
      <xdr:rowOff>520466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873787" y="81554"/>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818598</xdr:colOff>
      <xdr:row>0</xdr:row>
      <xdr:rowOff>82677</xdr:rowOff>
    </xdr:from>
    <xdr:to>
      <xdr:col>11</xdr:col>
      <xdr:colOff>390573</xdr:colOff>
      <xdr:row>0</xdr:row>
      <xdr:rowOff>521589</xdr:rowOff>
    </xdr:to>
    <xdr:sp macro="" textlink="">
      <xdr:nvSpPr>
        <xdr:cNvPr id="28" name="Rounded Rectangle 27">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859569"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705966</xdr:colOff>
      <xdr:row>0</xdr:row>
      <xdr:rowOff>79939</xdr:rowOff>
    </xdr:from>
    <xdr:to>
      <xdr:col>9</xdr:col>
      <xdr:colOff>204307</xdr:colOff>
      <xdr:row>0</xdr:row>
      <xdr:rowOff>518851</xdr:rowOff>
    </xdr:to>
    <xdr:sp macro="" textlink="">
      <xdr:nvSpPr>
        <xdr:cNvPr id="29" name="Rounded Rectangle 28">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945466" y="79939"/>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428490</xdr:colOff>
      <xdr:row>0</xdr:row>
      <xdr:rowOff>82057</xdr:rowOff>
    </xdr:from>
    <xdr:to>
      <xdr:col>12</xdr:col>
      <xdr:colOff>78906</xdr:colOff>
      <xdr:row>0</xdr:row>
      <xdr:rowOff>520969</xdr:rowOff>
    </xdr:to>
    <xdr:sp macro="" textlink="">
      <xdr:nvSpPr>
        <xdr:cNvPr id="30" name="Rounded Rectangle 29">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948637" y="8205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10</xdr:col>
      <xdr:colOff>981825</xdr:colOff>
      <xdr:row>0</xdr:row>
      <xdr:rowOff>67236</xdr:rowOff>
    </xdr:from>
    <xdr:to>
      <xdr:col>11</xdr:col>
      <xdr:colOff>628506</xdr:colOff>
      <xdr:row>0</xdr:row>
      <xdr:rowOff>506148</xdr:rowOff>
    </xdr:to>
    <xdr:sp macro="" textlink="">
      <xdr:nvSpPr>
        <xdr:cNvPr id="24" name="Rounded Rectangle 23">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689296"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87869</xdr:colOff>
      <xdr:row>0</xdr:row>
      <xdr:rowOff>70348</xdr:rowOff>
    </xdr:from>
    <xdr:to>
      <xdr:col>10</xdr:col>
      <xdr:colOff>910754</xdr:colOff>
      <xdr:row>0</xdr:row>
      <xdr:rowOff>509260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795340" y="7034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672916</xdr:colOff>
      <xdr:row>0</xdr:row>
      <xdr:rowOff>71471</xdr:rowOff>
    </xdr:from>
    <xdr:to>
      <xdr:col>12</xdr:col>
      <xdr:colOff>323332</xdr:colOff>
      <xdr:row>0</xdr:row>
      <xdr:rowOff>510383</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781122" y="7147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560284</xdr:colOff>
      <xdr:row>0</xdr:row>
      <xdr:rowOff>68733</xdr:rowOff>
    </xdr:from>
    <xdr:to>
      <xdr:col>10</xdr:col>
      <xdr:colOff>58624</xdr:colOff>
      <xdr:row>0</xdr:row>
      <xdr:rowOff>507645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867019" y="687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361249</xdr:colOff>
      <xdr:row>0</xdr:row>
      <xdr:rowOff>70851</xdr:rowOff>
    </xdr:from>
    <xdr:to>
      <xdr:col>13</xdr:col>
      <xdr:colOff>11665</xdr:colOff>
      <xdr:row>0</xdr:row>
      <xdr:rowOff>509763</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870190" y="7085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319453</xdr:colOff>
      <xdr:row>0</xdr:row>
      <xdr:rowOff>74081</xdr:rowOff>
    </xdr:from>
    <xdr:to>
      <xdr:col>10</xdr:col>
      <xdr:colOff>192119</xdr:colOff>
      <xdr:row>0</xdr:row>
      <xdr:rowOff>512993</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3" y="74081"/>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981247</xdr:colOff>
      <xdr:row>0</xdr:row>
      <xdr:rowOff>77193</xdr:rowOff>
    </xdr:from>
    <xdr:to>
      <xdr:col>9</xdr:col>
      <xdr:colOff>248382</xdr:colOff>
      <xdr:row>0</xdr:row>
      <xdr:rowOff>516105</xdr:rowOff>
    </xdr:to>
    <xdr:sp macro="" textlink="">
      <xdr:nvSpPr>
        <xdr:cNvPr id="26" name="Rounded Rectangle 2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7"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236529</xdr:colOff>
      <xdr:row>0</xdr:row>
      <xdr:rowOff>78316</xdr:rowOff>
    </xdr:from>
    <xdr:to>
      <xdr:col>12</xdr:col>
      <xdr:colOff>60013</xdr:colOff>
      <xdr:row>0</xdr:row>
      <xdr:rowOff>517228</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9" y="7831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52926</xdr:colOff>
      <xdr:row>0</xdr:row>
      <xdr:rowOff>75578</xdr:rowOff>
    </xdr:from>
    <xdr:to>
      <xdr:col>8</xdr:col>
      <xdr:colOff>952002</xdr:colOff>
      <xdr:row>0</xdr:row>
      <xdr:rowOff>514490</xdr:rowOff>
    </xdr:to>
    <xdr:sp macro="" textlink="">
      <xdr:nvSpPr>
        <xdr:cNvPr id="28" name="Rounded Rectangle 2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6" y="75578"/>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97930</xdr:colOff>
      <xdr:row>0</xdr:row>
      <xdr:rowOff>77696</xdr:rowOff>
    </xdr:from>
    <xdr:to>
      <xdr:col>13</xdr:col>
      <xdr:colOff>535248</xdr:colOff>
      <xdr:row>0</xdr:row>
      <xdr:rowOff>516608</xdr:rowOff>
    </xdr:to>
    <xdr:sp macro="" textlink="">
      <xdr:nvSpPr>
        <xdr:cNvPr id="29" name="Rounded Rectangle 2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7" y="7769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5</xdr:col>
      <xdr:colOff>502279</xdr:colOff>
      <xdr:row>0</xdr:row>
      <xdr:rowOff>75759</xdr:rowOff>
    </xdr:from>
    <xdr:to>
      <xdr:col>6</xdr:col>
      <xdr:colOff>609671</xdr:colOff>
      <xdr:row>0</xdr:row>
      <xdr:rowOff>514671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48754" y="75759"/>
          <a:ext cx="88632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5</xdr:col>
      <xdr:colOff>430384</xdr:colOff>
      <xdr:row>0</xdr:row>
      <xdr:rowOff>513551</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25300" y="74639"/>
          <a:ext cx="105155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52626" y="74017"/>
          <a:ext cx="93238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666260</xdr:colOff>
      <xdr:row>0</xdr:row>
      <xdr:rowOff>68791</xdr:rowOff>
    </xdr:from>
    <xdr:to>
      <xdr:col>7</xdr:col>
      <xdr:colOff>807520</xdr:colOff>
      <xdr:row>0</xdr:row>
      <xdr:rowOff>507703</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1668" y="68791"/>
          <a:ext cx="8947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216769</xdr:colOff>
      <xdr:row>0</xdr:row>
      <xdr:rowOff>74081</xdr:rowOff>
    </xdr:from>
    <xdr:to>
      <xdr:col>12</xdr:col>
      <xdr:colOff>450919</xdr:colOff>
      <xdr:row>0</xdr:row>
      <xdr:rowOff>512993</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189194" y="74081"/>
          <a:ext cx="84375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14</xdr:col>
      <xdr:colOff>96492</xdr:colOff>
      <xdr:row>0</xdr:row>
      <xdr:rowOff>74081</xdr:rowOff>
    </xdr:from>
    <xdr:to>
      <xdr:col>15</xdr:col>
      <xdr:colOff>316440</xdr:colOff>
      <xdr:row>0</xdr:row>
      <xdr:rowOff>512993</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01950" y="74081"/>
          <a:ext cx="82531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504072</xdr:colOff>
      <xdr:row>0</xdr:row>
      <xdr:rowOff>83545</xdr:rowOff>
    </xdr:from>
    <xdr:to>
      <xdr:col>14</xdr:col>
      <xdr:colOff>29445</xdr:colOff>
      <xdr:row>0</xdr:row>
      <xdr:rowOff>522457</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086097" y="83545"/>
          <a:ext cx="748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867838</xdr:colOff>
      <xdr:row>0</xdr:row>
      <xdr:rowOff>81935</xdr:rowOff>
    </xdr:from>
    <xdr:to>
      <xdr:col>8</xdr:col>
      <xdr:colOff>520637</xdr:colOff>
      <xdr:row>0</xdr:row>
      <xdr:rowOff>520847</xdr:rowOff>
    </xdr:to>
    <xdr:sp macro="" textlink="">
      <xdr:nvSpPr>
        <xdr:cNvPr id="13" name="Rounded Rectangle 12">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6779" y="81935"/>
          <a:ext cx="7174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608987</xdr:colOff>
      <xdr:row>0</xdr:row>
      <xdr:rowOff>81936</xdr:rowOff>
    </xdr:from>
    <xdr:to>
      <xdr:col>11</xdr:col>
      <xdr:colOff>155213</xdr:colOff>
      <xdr:row>0</xdr:row>
      <xdr:rowOff>520848</xdr:rowOff>
    </xdr:to>
    <xdr:sp macro="" textlink="">
      <xdr:nvSpPr>
        <xdr:cNvPr id="14" name="Rounded Rectangle 13">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62212" y="81936"/>
          <a:ext cx="769659" cy="438912"/>
        </a:xfrm>
        <a:prstGeom prst="roundRect">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NET</a:t>
          </a:r>
          <a:r>
            <a:rPr lang="en-US" sz="800" baseline="0">
              <a:solidFill>
                <a:schemeClr val="bg1"/>
              </a:solidFill>
              <a:latin typeface="Lato"/>
            </a:rPr>
            <a:t> WORTH</a:t>
          </a:r>
          <a:endParaRPr lang="en-US" sz="800">
            <a:solidFill>
              <a:schemeClr val="bg1"/>
            </a:solidFill>
            <a:latin typeface="Lato"/>
          </a:endParaRPr>
        </a:p>
      </xdr:txBody>
    </xdr:sp>
    <xdr:clientData fPrintsWithSheet="0"/>
  </xdr:twoCellAnchor>
  <xdr:twoCellAnchor editAs="absolute">
    <xdr:from>
      <xdr:col>8</xdr:col>
      <xdr:colOff>560302</xdr:colOff>
      <xdr:row>0</xdr:row>
      <xdr:rowOff>75586</xdr:rowOff>
    </xdr:from>
    <xdr:to>
      <xdr:col>9</xdr:col>
      <xdr:colOff>562971</xdr:colOff>
      <xdr:row>0</xdr:row>
      <xdr:rowOff>514498</xdr:rowOff>
    </xdr:to>
    <xdr:sp macro="" textlink="">
      <xdr:nvSpPr>
        <xdr:cNvPr id="15" name="Rounded Rectangle 14">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3927" y="75586"/>
          <a:ext cx="61226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560916</xdr:colOff>
      <xdr:row>3</xdr:row>
      <xdr:rowOff>57150</xdr:rowOff>
    </xdr:from>
    <xdr:to>
      <xdr:col>8</xdr:col>
      <xdr:colOff>264583</xdr:colOff>
      <xdr:row>3</xdr:row>
      <xdr:rowOff>2963335</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148165</xdr:colOff>
      <xdr:row>3</xdr:row>
      <xdr:rowOff>63500</xdr:rowOff>
    </xdr:from>
    <xdr:to>
      <xdr:col>16</xdr:col>
      <xdr:colOff>465666</xdr:colOff>
      <xdr:row>3</xdr:row>
      <xdr:rowOff>2984501</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17</xdr:col>
      <xdr:colOff>361782</xdr:colOff>
      <xdr:row>0</xdr:row>
      <xdr:rowOff>63498</xdr:rowOff>
    </xdr:from>
    <xdr:to>
      <xdr:col>17</xdr:col>
      <xdr:colOff>1407588</xdr:colOff>
      <xdr:row>0</xdr:row>
      <xdr:rowOff>502410</xdr:rowOff>
    </xdr:to>
    <xdr:sp macro="" textlink="">
      <xdr:nvSpPr>
        <xdr:cNvPr id="17" name="Rounded Rectangle 1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2638449" y="63498"/>
          <a:ext cx="1045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674326</xdr:colOff>
      <xdr:row>0</xdr:row>
      <xdr:rowOff>66610</xdr:rowOff>
    </xdr:from>
    <xdr:to>
      <xdr:col>17</xdr:col>
      <xdr:colOff>290711</xdr:colOff>
      <xdr:row>0</xdr:row>
      <xdr:rowOff>505522</xdr:rowOff>
    </xdr:to>
    <xdr:sp macro="" textlink="">
      <xdr:nvSpPr>
        <xdr:cNvPr id="18" name="Rounded Rectangle 1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744493"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1453608</xdr:colOff>
      <xdr:row>0</xdr:row>
      <xdr:rowOff>67733</xdr:rowOff>
    </xdr:from>
    <xdr:to>
      <xdr:col>19</xdr:col>
      <xdr:colOff>28259</xdr:colOff>
      <xdr:row>0</xdr:row>
      <xdr:rowOff>506645</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30275"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359839</xdr:colOff>
      <xdr:row>0</xdr:row>
      <xdr:rowOff>64995</xdr:rowOff>
    </xdr:from>
    <xdr:to>
      <xdr:col>16</xdr:col>
      <xdr:colOff>645081</xdr:colOff>
      <xdr:row>0</xdr:row>
      <xdr:rowOff>503907</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0816172" y="64995"/>
          <a:ext cx="89907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ASSET ALLOCATION</a:t>
          </a:r>
        </a:p>
      </xdr:txBody>
    </xdr:sp>
    <xdr:clientData fPrintsWithSheet="0"/>
  </xdr:twoCellAnchor>
  <xdr:twoCellAnchor editAs="absolute">
    <xdr:from>
      <xdr:col>19</xdr:col>
      <xdr:colOff>76759</xdr:colOff>
      <xdr:row>0</xdr:row>
      <xdr:rowOff>67113</xdr:rowOff>
    </xdr:from>
    <xdr:to>
      <xdr:col>33</xdr:col>
      <xdr:colOff>514077</xdr:colOff>
      <xdr:row>0</xdr:row>
      <xdr:rowOff>506025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992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14</xdr:col>
      <xdr:colOff>23120</xdr:colOff>
      <xdr:row>0</xdr:row>
      <xdr:rowOff>52915</xdr:rowOff>
    </xdr:from>
    <xdr:to>
      <xdr:col>14</xdr:col>
      <xdr:colOff>1070536</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2670203"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13</xdr:col>
      <xdr:colOff>293330</xdr:colOff>
      <xdr:row>0</xdr:row>
      <xdr:rowOff>56027</xdr:rowOff>
    </xdr:from>
    <xdr:to>
      <xdr:col>13</xdr:col>
      <xdr:colOff>1116215</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1776247"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1114946</xdr:colOff>
      <xdr:row>0</xdr:row>
      <xdr:rowOff>57150</xdr:rowOff>
    </xdr:from>
    <xdr:to>
      <xdr:col>15</xdr:col>
      <xdr:colOff>1001930</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3762029"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814926</xdr:colOff>
      <xdr:row>0</xdr:row>
      <xdr:rowOff>54412</xdr:rowOff>
    </xdr:from>
    <xdr:to>
      <xdr:col>13</xdr:col>
      <xdr:colOff>264085</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0847926"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1039847</xdr:colOff>
      <xdr:row>0</xdr:row>
      <xdr:rowOff>56530</xdr:rowOff>
    </xdr:from>
    <xdr:to>
      <xdr:col>17</xdr:col>
      <xdr:colOff>312998</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4851097"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340620</xdr:colOff>
      <xdr:row>0</xdr:row>
      <xdr:rowOff>52915</xdr:rowOff>
    </xdr:from>
    <xdr:to>
      <xdr:col>14</xdr:col>
      <xdr:colOff>96870</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157037"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896581</xdr:colOff>
      <xdr:row>0</xdr:row>
      <xdr:rowOff>56027</xdr:rowOff>
    </xdr:from>
    <xdr:to>
      <xdr:col>13</xdr:col>
      <xdr:colOff>269549</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263081"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141280</xdr:colOff>
      <xdr:row>0</xdr:row>
      <xdr:rowOff>57150</xdr:rowOff>
    </xdr:from>
    <xdr:to>
      <xdr:col>15</xdr:col>
      <xdr:colOff>28264</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248863"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1132427</xdr:colOff>
      <xdr:row>0</xdr:row>
      <xdr:rowOff>54412</xdr:rowOff>
    </xdr:from>
    <xdr:to>
      <xdr:col>11</xdr:col>
      <xdr:colOff>867336</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334760"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66181</xdr:colOff>
      <xdr:row>0</xdr:row>
      <xdr:rowOff>56530</xdr:rowOff>
    </xdr:from>
    <xdr:to>
      <xdr:col>15</xdr:col>
      <xdr:colOff>1117332</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337931"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1087316</xdr:colOff>
      <xdr:row>0</xdr:row>
      <xdr:rowOff>81049</xdr:rowOff>
    </xdr:from>
    <xdr:to>
      <xdr:col>6</xdr:col>
      <xdr:colOff>438838</xdr:colOff>
      <xdr:row>0</xdr:row>
      <xdr:rowOff>519961</xdr:rowOff>
    </xdr:to>
    <xdr:sp macro="" textlink="">
      <xdr:nvSpPr>
        <xdr:cNvPr id="11" name="Rounded Rectangle 1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5108983" y="81049"/>
          <a:ext cx="88610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273117</xdr:colOff>
      <xdr:row>0</xdr:row>
      <xdr:rowOff>79929</xdr:rowOff>
    </xdr:from>
    <xdr:to>
      <xdr:col>5</xdr:col>
      <xdr:colOff>1042942</xdr:colOff>
      <xdr:row>0</xdr:row>
      <xdr:rowOff>518841</xdr:rowOff>
    </xdr:to>
    <xdr:sp macro="" textlink="">
      <xdr:nvSpPr>
        <xdr:cNvPr id="12" name="Rounded Rectangle 11">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4009034" y="79929"/>
          <a:ext cx="1055575"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465668</xdr:colOff>
      <xdr:row>0</xdr:row>
      <xdr:rowOff>79307</xdr:rowOff>
    </xdr:from>
    <xdr:to>
      <xdr:col>4</xdr:col>
      <xdr:colOff>232832</xdr:colOff>
      <xdr:row>0</xdr:row>
      <xdr:rowOff>518219</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3037418" y="7930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495427</xdr:colOff>
      <xdr:row>0</xdr:row>
      <xdr:rowOff>74081</xdr:rowOff>
    </xdr:from>
    <xdr:to>
      <xdr:col>6</xdr:col>
      <xdr:colOff>1398468</xdr:colOff>
      <xdr:row>0</xdr:row>
      <xdr:rowOff>512993</xdr:rowOff>
    </xdr:to>
    <xdr:sp macro="" textlink="">
      <xdr:nvSpPr>
        <xdr:cNvPr id="14" name="Rounded Rectangle 13">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51677" y="74081"/>
          <a:ext cx="9030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356538</xdr:colOff>
      <xdr:row>0</xdr:row>
      <xdr:rowOff>63498</xdr:rowOff>
    </xdr:from>
    <xdr:to>
      <xdr:col>9</xdr:col>
      <xdr:colOff>1208535</xdr:colOff>
      <xdr:row>0</xdr:row>
      <xdr:rowOff>502410</xdr:rowOff>
    </xdr:to>
    <xdr:sp macro="" textlink="">
      <xdr:nvSpPr>
        <xdr:cNvPr id="16" name="Rounded Rectangle 15">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9267705" y="63498"/>
          <a:ext cx="85199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758859</xdr:colOff>
      <xdr:row>0</xdr:row>
      <xdr:rowOff>63498</xdr:rowOff>
    </xdr:from>
    <xdr:to>
      <xdr:col>11</xdr:col>
      <xdr:colOff>432488</xdr:colOff>
      <xdr:row>0</xdr:row>
      <xdr:rowOff>502410</xdr:rowOff>
    </xdr:to>
    <xdr:sp macro="" textlink="">
      <xdr:nvSpPr>
        <xdr:cNvPr id="17" name="Rounded Rectangle 16">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992942" y="63498"/>
          <a:ext cx="83779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1261688</xdr:colOff>
      <xdr:row>0</xdr:row>
      <xdr:rowOff>72962</xdr:rowOff>
    </xdr:from>
    <xdr:to>
      <xdr:col>10</xdr:col>
      <xdr:colOff>691812</xdr:colOff>
      <xdr:row>0</xdr:row>
      <xdr:rowOff>511874</xdr:rowOff>
    </xdr:to>
    <xdr:sp macro="" textlink="">
      <xdr:nvSpPr>
        <xdr:cNvPr id="18" name="Rounded Rectangle 1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0172855"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1440793</xdr:colOff>
      <xdr:row>0</xdr:row>
      <xdr:rowOff>71352</xdr:rowOff>
    </xdr:from>
    <xdr:to>
      <xdr:col>7</xdr:col>
      <xdr:colOff>631941</xdr:colOff>
      <xdr:row>0</xdr:row>
      <xdr:rowOff>510264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997043" y="71352"/>
          <a:ext cx="72573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1337409</xdr:colOff>
      <xdr:row>0</xdr:row>
      <xdr:rowOff>71353</xdr:rowOff>
    </xdr:from>
    <xdr:to>
      <xdr:col>9</xdr:col>
      <xdr:colOff>294982</xdr:colOff>
      <xdr:row>0</xdr:row>
      <xdr:rowOff>510265</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8428242" y="71353"/>
          <a:ext cx="77790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674891</xdr:colOff>
      <xdr:row>0</xdr:row>
      <xdr:rowOff>65003</xdr:rowOff>
    </xdr:from>
    <xdr:to>
      <xdr:col>7</xdr:col>
      <xdr:colOff>1291393</xdr:colOff>
      <xdr:row>0</xdr:row>
      <xdr:rowOff>503915</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765724"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880371</xdr:colOff>
      <xdr:row>0</xdr:row>
      <xdr:rowOff>63498</xdr:rowOff>
    </xdr:from>
    <xdr:to>
      <xdr:col>14</xdr:col>
      <xdr:colOff>647204</xdr:colOff>
      <xdr:row>0</xdr:row>
      <xdr:rowOff>502410</xdr:rowOff>
    </xdr:to>
    <xdr:sp macro="" textlink="">
      <xdr:nvSpPr>
        <xdr:cNvPr id="37" name="Rounded Rectangle 36">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28538"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272165</xdr:colOff>
      <xdr:row>0</xdr:row>
      <xdr:rowOff>66610</xdr:rowOff>
    </xdr:from>
    <xdr:to>
      <xdr:col>13</xdr:col>
      <xdr:colOff>809300</xdr:colOff>
      <xdr:row>0</xdr:row>
      <xdr:rowOff>505522</xdr:rowOff>
    </xdr:to>
    <xdr:sp macro="" textlink="">
      <xdr:nvSpPr>
        <xdr:cNvPr id="38" name="Rounded Rectangle 37">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834582"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691614</xdr:colOff>
      <xdr:row>0</xdr:row>
      <xdr:rowOff>67733</xdr:rowOff>
    </xdr:from>
    <xdr:to>
      <xdr:col>15</xdr:col>
      <xdr:colOff>578598</xdr:colOff>
      <xdr:row>0</xdr:row>
      <xdr:rowOff>506645</xdr:rowOff>
    </xdr:to>
    <xdr:sp macro="" textlink="">
      <xdr:nvSpPr>
        <xdr:cNvPr id="39" name="Rounded Rectangle 38">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0364" y="6773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508011</xdr:colOff>
      <xdr:row>0</xdr:row>
      <xdr:rowOff>64995</xdr:rowOff>
    </xdr:from>
    <xdr:to>
      <xdr:col>12</xdr:col>
      <xdr:colOff>242920</xdr:colOff>
      <xdr:row>0</xdr:row>
      <xdr:rowOff>503907</xdr:rowOff>
    </xdr:to>
    <xdr:sp macro="" textlink="">
      <xdr:nvSpPr>
        <xdr:cNvPr id="40" name="Rounded Rectangle 39">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906261"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616515</xdr:colOff>
      <xdr:row>0</xdr:row>
      <xdr:rowOff>67113</xdr:rowOff>
    </xdr:from>
    <xdr:to>
      <xdr:col>16</xdr:col>
      <xdr:colOff>503500</xdr:colOff>
      <xdr:row>0</xdr:row>
      <xdr:rowOff>506025</xdr:rowOff>
    </xdr:to>
    <xdr:sp macro="" textlink="">
      <xdr:nvSpPr>
        <xdr:cNvPr id="41" name="Rounded Rectangle 40">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909432"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xdr:from>
      <xdr:col>1</xdr:col>
      <xdr:colOff>43793</xdr:colOff>
      <xdr:row>5</xdr:row>
      <xdr:rowOff>0</xdr:rowOff>
    </xdr:from>
    <xdr:to>
      <xdr:col>6</xdr:col>
      <xdr:colOff>1483811</xdr:colOff>
      <xdr:row>5</xdr:row>
      <xdr:rowOff>3350475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43793</xdr:colOff>
      <xdr:row>5</xdr:row>
      <xdr:rowOff>0</xdr:rowOff>
    </xdr:from>
    <xdr:to>
      <xdr:col>14</xdr:col>
      <xdr:colOff>8968</xdr:colOff>
      <xdr:row>5</xdr:row>
      <xdr:rowOff>3350475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xdr:row>
      <xdr:rowOff>0</xdr:rowOff>
    </xdr:from>
    <xdr:to>
      <xdr:col>6</xdr:col>
      <xdr:colOff>1440018</xdr:colOff>
      <xdr:row>9</xdr:row>
      <xdr:rowOff>3350475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43793</xdr:colOff>
      <xdr:row>9</xdr:row>
      <xdr:rowOff>0</xdr:rowOff>
    </xdr:from>
    <xdr:to>
      <xdr:col>14</xdr:col>
      <xdr:colOff>8968</xdr:colOff>
      <xdr:row>9</xdr:row>
      <xdr:rowOff>3350475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1070162</xdr:colOff>
      <xdr:row>0</xdr:row>
      <xdr:rowOff>71926</xdr:rowOff>
    </xdr:from>
    <xdr:to>
      <xdr:col>5</xdr:col>
      <xdr:colOff>813267</xdr:colOff>
      <xdr:row>0</xdr:row>
      <xdr:rowOff>510838</xdr:rowOff>
    </xdr:to>
    <xdr:sp macro="" textlink="">
      <xdr:nvSpPr>
        <xdr:cNvPr id="64" name="Rounded Rectangle 6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40395" y="7192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1113213</xdr:colOff>
      <xdr:row>0</xdr:row>
      <xdr:rowOff>70806</xdr:rowOff>
    </xdr:from>
    <xdr:to>
      <xdr:col>4</xdr:col>
      <xdr:colOff>1025788</xdr:colOff>
      <xdr:row>0</xdr:row>
      <xdr:rowOff>509718</xdr:rowOff>
    </xdr:to>
    <xdr:sp macro="" textlink="">
      <xdr:nvSpPr>
        <xdr:cNvPr id="65" name="Rounded Rectangle 64">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4461" y="7080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141597</xdr:colOff>
      <xdr:row>0</xdr:row>
      <xdr:rowOff>70184</xdr:rowOff>
    </xdr:from>
    <xdr:to>
      <xdr:col>3</xdr:col>
      <xdr:colOff>1072928</xdr:colOff>
      <xdr:row>0</xdr:row>
      <xdr:rowOff>509096</xdr:rowOff>
    </xdr:to>
    <xdr:sp macro="" textlink="">
      <xdr:nvSpPr>
        <xdr:cNvPr id="66" name="Rounded Rectangle 65">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2845" y="7018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869856</xdr:colOff>
      <xdr:row>0</xdr:row>
      <xdr:rowOff>64958</xdr:rowOff>
    </xdr:from>
    <xdr:to>
      <xdr:col>6</xdr:col>
      <xdr:colOff>629897</xdr:colOff>
      <xdr:row>0</xdr:row>
      <xdr:rowOff>503870</xdr:rowOff>
    </xdr:to>
    <xdr:sp macro="" textlink="">
      <xdr:nvSpPr>
        <xdr:cNvPr id="67" name="Rounded Rectangle 6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79075" y="6495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508718</xdr:colOff>
      <xdr:row>0</xdr:row>
      <xdr:rowOff>54375</xdr:rowOff>
    </xdr:from>
    <xdr:to>
      <xdr:col>10</xdr:col>
      <xdr:colOff>217715</xdr:colOff>
      <xdr:row>0</xdr:row>
      <xdr:rowOff>493287</xdr:rowOff>
    </xdr:to>
    <xdr:sp macro="" textlink="">
      <xdr:nvSpPr>
        <xdr:cNvPr id="69" name="Rounded Rectangle 68">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79775" y="5437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1090955</xdr:colOff>
      <xdr:row>0</xdr:row>
      <xdr:rowOff>54375</xdr:rowOff>
    </xdr:from>
    <xdr:to>
      <xdr:col>11</xdr:col>
      <xdr:colOff>785751</xdr:colOff>
      <xdr:row>0</xdr:row>
      <xdr:rowOff>493287</xdr:rowOff>
    </xdr:to>
    <xdr:sp macro="" textlink="">
      <xdr:nvSpPr>
        <xdr:cNvPr id="70" name="Rounded Rectangle 6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500998" y="5437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270868</xdr:colOff>
      <xdr:row>0</xdr:row>
      <xdr:rowOff>63839</xdr:rowOff>
    </xdr:from>
    <xdr:to>
      <xdr:col>10</xdr:col>
      <xdr:colOff>1023908</xdr:colOff>
      <xdr:row>0</xdr:row>
      <xdr:rowOff>502751</xdr:rowOff>
    </xdr:to>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80911" y="6383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672222</xdr:colOff>
      <xdr:row>0</xdr:row>
      <xdr:rowOff>62229</xdr:rowOff>
    </xdr:from>
    <xdr:to>
      <xdr:col>8</xdr:col>
      <xdr:colOff>106787</xdr:colOff>
      <xdr:row>0</xdr:row>
      <xdr:rowOff>501141</xdr:rowOff>
    </xdr:to>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520427" y="6222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812255</xdr:colOff>
      <xdr:row>0</xdr:row>
      <xdr:rowOff>62230</xdr:rowOff>
    </xdr:from>
    <xdr:to>
      <xdr:col>9</xdr:col>
      <xdr:colOff>447162</xdr:colOff>
      <xdr:row>0</xdr:row>
      <xdr:rowOff>501142</xdr:rowOff>
    </xdr:to>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944326" y="6223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149737</xdr:colOff>
      <xdr:row>0</xdr:row>
      <xdr:rowOff>55880</xdr:rowOff>
    </xdr:from>
    <xdr:to>
      <xdr:col>8</xdr:col>
      <xdr:colOff>766239</xdr:colOff>
      <xdr:row>0</xdr:row>
      <xdr:rowOff>494792</xdr:rowOff>
    </xdr:to>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81808" y="5588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361784</xdr:colOff>
      <xdr:row>0</xdr:row>
      <xdr:rowOff>63498</xdr:rowOff>
    </xdr:from>
    <xdr:to>
      <xdr:col>14</xdr:col>
      <xdr:colOff>266200</xdr:colOff>
      <xdr:row>0</xdr:row>
      <xdr:rowOff>502410</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231117"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610828</xdr:colOff>
      <xdr:row>0</xdr:row>
      <xdr:rowOff>66610</xdr:rowOff>
    </xdr:from>
    <xdr:to>
      <xdr:col>13</xdr:col>
      <xdr:colOff>290713</xdr:colOff>
      <xdr:row>0</xdr:row>
      <xdr:rowOff>505522</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33716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310610</xdr:colOff>
      <xdr:row>0</xdr:row>
      <xdr:rowOff>67733</xdr:rowOff>
    </xdr:from>
    <xdr:to>
      <xdr:col>15</xdr:col>
      <xdr:colOff>197594</xdr:colOff>
      <xdr:row>0</xdr:row>
      <xdr:rowOff>506645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322943"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825507</xdr:colOff>
      <xdr:row>0</xdr:row>
      <xdr:rowOff>64995</xdr:rowOff>
    </xdr:from>
    <xdr:to>
      <xdr:col>12</xdr:col>
      <xdr:colOff>581583</xdr:colOff>
      <xdr:row>0</xdr:row>
      <xdr:rowOff>503907</xdr:rowOff>
    </xdr:to>
    <xdr:sp macro="" textlink="">
      <xdr:nvSpPr>
        <xdr:cNvPr id="22" name="Rounded Rectangle 21">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408840"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235511</xdr:colOff>
      <xdr:row>0</xdr:row>
      <xdr:rowOff>67113</xdr:rowOff>
    </xdr:from>
    <xdr:to>
      <xdr:col>17</xdr:col>
      <xdr:colOff>58995</xdr:colOff>
      <xdr:row>0</xdr:row>
      <xdr:rowOff>506025</xdr:rowOff>
    </xdr:to>
    <xdr:sp macro="" textlink="">
      <xdr:nvSpPr>
        <xdr:cNvPr id="23" name="Rounded Rectangle 22">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412011" y="6711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BY MONTH</a:t>
          </a:r>
          <a:endParaRPr lang="en-US" sz="800">
            <a:solidFill>
              <a:schemeClr val="accent2">
                <a:lumMod val="40000"/>
                <a:lumOff val="60000"/>
              </a:schemeClr>
            </a:solidFill>
            <a:latin typeface="Lato"/>
          </a:endParaRPr>
        </a:p>
      </xdr:txBody>
    </xdr:sp>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L" refreshedDate="44488.831361574077" createdVersion="6" refreshedVersion="6" minRefreshableVersion="3" recordCount="13">
  <cacheSource type="worksheet">
    <worksheetSource ref="B12:H25" sheet="Asset Allocation"/>
  </cacheSource>
  <cacheFields count="7">
    <cacheField name="Type 1" numFmtId="0">
      <sharedItems containsBlank="1" count="13">
        <m/>
        <s v="Cash"/>
        <s v="Saving account"/>
        <s v="Certificate of deposit"/>
        <s v="Bond"/>
        <s v="Stock"/>
        <s v="Mutual fund"/>
        <s v="Forex"/>
        <s v="Covered Warrant"/>
        <s v="Derivatives"/>
        <s v="Real Estate"/>
        <s v="Assets category 1"/>
        <s v="Assets category 2"/>
      </sharedItems>
    </cacheField>
    <cacheField name="Type/Category" numFmtId="0">
      <sharedItems count="13">
        <s v="Assets"/>
        <s v="Cash"/>
        <s v="Saving account"/>
        <s v="Certificate of deposit"/>
        <s v="Bond"/>
        <s v="Stock"/>
        <s v="Mutual fund"/>
        <s v="Forex"/>
        <s v="Covered Warrant"/>
        <s v="Derivatives"/>
        <s v="Real Estate"/>
        <s v="Assets category 1"/>
        <s v="Assets category 2"/>
      </sharedItems>
    </cacheField>
    <cacheField name="My target" numFmtId="9">
      <sharedItems containsSemiMixedTypes="0" containsString="0" containsNumber="1" minValue="0" maxValue="1"/>
    </cacheField>
    <cacheField name="Actual" numFmtId="9">
      <sharedItems containsSemiMixedTypes="0" containsString="0" containsNumber="1" minValue="0" maxValue="1"/>
    </cacheField>
    <cacheField name="Difference" numFmtId="9">
      <sharedItems containsString="0" containsBlank="1" containsNumber="1" minValue="-0.75" maxValue="0.25700334104343359"/>
    </cacheField>
    <cacheField name="Threshold" numFmtId="9">
      <sharedItems containsString="0" containsBlank="1" containsNumber="1" minValue="0" maxValue="0.05"/>
    </cacheField>
    <cacheField name="Value" numFmtId="0">
      <sharedItems containsSemiMixedTypes="0" containsString="0" containsNumber="1" containsInteger="1" minValue="0" maxValue="3891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88.831361921293"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6">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88.831362500001"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8">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743479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7434791.111111112"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88.831362847224"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7">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554368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5543680" maxValue="5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4488.831363773148"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Original value" numFmtId="0">
      <sharedItems containsString="0" containsBlank="1" containsNumber="1" minValue="-371111111.11111128" maxValue="389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
  <r>
    <x v="0"/>
    <x v="0"/>
    <n v="1"/>
    <n v="1"/>
    <m/>
    <m/>
    <n v="389100000"/>
  </r>
  <r>
    <x v="1"/>
    <x v="1"/>
    <n v="0.01"/>
    <n v="0.10048830634798252"/>
    <n v="9.0488306347982522E-2"/>
    <n v="2.5000000000000001E-3"/>
    <n v="39100000"/>
  </r>
  <r>
    <x v="2"/>
    <x v="2"/>
    <n v="0.1"/>
    <n v="0.25700334104343359"/>
    <n v="0.15700334104343358"/>
    <n v="2.5000000000000001E-2"/>
    <n v="100000000"/>
  </r>
  <r>
    <x v="3"/>
    <x v="3"/>
    <n v="0"/>
    <n v="0.25700334104343359"/>
    <n v="0.25700334104343359"/>
    <n v="0"/>
    <n v="100000000"/>
  </r>
  <r>
    <x v="4"/>
    <x v="4"/>
    <n v="0.06"/>
    <n v="0.25700334104343359"/>
    <n v="0.19700334104343359"/>
    <n v="1.4999999999999999E-2"/>
    <n v="100000000"/>
  </r>
  <r>
    <x v="5"/>
    <x v="5"/>
    <n v="0.08"/>
    <n v="0.12850167052171679"/>
    <n v="4.8501670521716791E-2"/>
    <n v="0.02"/>
    <n v="50000000"/>
  </r>
  <r>
    <x v="6"/>
    <x v="6"/>
    <n v="0"/>
    <n v="0"/>
    <n v="0"/>
    <n v="0"/>
    <n v="0"/>
  </r>
  <r>
    <x v="7"/>
    <x v="7"/>
    <n v="0"/>
    <n v="0"/>
    <n v="0"/>
    <n v="0"/>
    <n v="0"/>
  </r>
  <r>
    <x v="8"/>
    <x v="8"/>
    <n v="0"/>
    <n v="0"/>
    <n v="0"/>
    <n v="0"/>
    <n v="0"/>
  </r>
  <r>
    <x v="9"/>
    <x v="9"/>
    <n v="0"/>
    <n v="0"/>
    <n v="0"/>
    <n v="0"/>
    <n v="0"/>
  </r>
  <r>
    <x v="10"/>
    <x v="10"/>
    <n v="0.75"/>
    <n v="0"/>
    <n v="-0.75"/>
    <n v="0.05"/>
    <n v="0"/>
  </r>
  <r>
    <x v="11"/>
    <x v="11"/>
    <n v="0"/>
    <n v="0"/>
    <n v="0"/>
    <n v="0"/>
    <n v="0"/>
  </r>
  <r>
    <x v="12"/>
    <x v="12"/>
    <n v="0"/>
    <n v="0"/>
    <n v="0"/>
    <n v="0"/>
    <n v="0"/>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2456320"/>
    <n v="0"/>
    <n v="0"/>
    <n v="0"/>
    <n v="0"/>
    <n v="0"/>
    <n v="0"/>
    <n v="0"/>
    <n v="5862400"/>
    <n v="0"/>
    <n v="0"/>
    <n v="0"/>
    <n v="1831872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2665208.888888888"/>
    <n v="1225370.3703703694"/>
    <n v="1141851.8518518507"/>
    <n v="1258333.3333333321"/>
    <n v="1274814.8148148134"/>
    <n v="1191296.2962962948"/>
    <n v="1307777.7777777761"/>
    <n v="1324259.2592592575"/>
    <n v="7103140.7407407388"/>
    <n v="1357222.2222222202"/>
    <n v="373703.7037037015"/>
    <n v="1390185.1851851828"/>
    <n v="31613164.444444425"/>
  </r>
</pivotCacheRecords>
</file>

<file path=xl/pivotCache/pivotCacheRecords3.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2665208.888888888"/>
    <n v="30100000"/>
    <n v="-17434791.111111112"/>
    <n v="12665208.888888888"/>
    <n v="30100000"/>
    <n v="-17434791.111111112"/>
  </r>
</pivotCacheRecords>
</file>

<file path=xl/pivotCache/pivotCacheRecords4.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5.xml><?xml version="1.0" encoding="utf-8"?>
<pivotCacheRecords xmlns="http://schemas.openxmlformats.org/spreadsheetml/2006/main" xmlns:r="http://schemas.openxmlformats.org/officeDocument/2006/relationships" count="17">
  <r>
    <x v="0"/>
    <x v="0"/>
    <n v="389100000"/>
  </r>
  <r>
    <x v="1"/>
    <x v="1"/>
    <n v="10100000"/>
  </r>
  <r>
    <x v="1"/>
    <x v="2"/>
    <n v="28000000"/>
  </r>
  <r>
    <x v="1"/>
    <x v="3"/>
    <n v="1000000"/>
  </r>
  <r>
    <x v="1"/>
    <x v="4"/>
    <n v="100000000"/>
  </r>
  <r>
    <x v="1"/>
    <x v="5"/>
    <n v="250000000"/>
  </r>
  <r>
    <x v="1"/>
    <x v="6"/>
    <n v="0"/>
  </r>
  <r>
    <x v="1"/>
    <x v="7"/>
    <n v="0"/>
  </r>
  <r>
    <x v="1"/>
    <x v="8"/>
    <n v="0"/>
  </r>
  <r>
    <x v="0"/>
    <x v="9"/>
    <m/>
  </r>
  <r>
    <x v="0"/>
    <x v="10"/>
    <n v="-371111111.11111128"/>
  </r>
  <r>
    <x v="2"/>
    <x v="11"/>
    <n v="0"/>
  </r>
  <r>
    <x v="2"/>
    <x v="12"/>
    <n v="-371111111.11111128"/>
  </r>
  <r>
    <x v="2"/>
    <x v="13"/>
    <n v="0"/>
  </r>
  <r>
    <x v="2"/>
    <x v="14"/>
    <n v="0"/>
  </r>
  <r>
    <x v="0"/>
    <x v="9"/>
    <m/>
  </r>
  <r>
    <x v="3"/>
    <x v="15"/>
    <n v="17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5:V16"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items count="20">
        <item x="0"/>
        <item x="7"/>
        <item x="8"/>
        <item x="1"/>
        <item x="13"/>
        <item x="14"/>
        <item x="10"/>
        <item x="5"/>
        <item x="15"/>
        <item m="1" x="16"/>
        <item x="6"/>
        <item x="4"/>
        <item x="9"/>
        <item x="2"/>
        <item m="1" x="17"/>
        <item x="11"/>
        <item x="12"/>
        <item m="1" x="18"/>
        <item x="3"/>
        <item t="default"/>
      </items>
    </pivotField>
    <pivotField dataField="1" compact="0" outline="0" showAll="0" defaultSubtotal="0"/>
  </pivotFields>
  <rowFields count="2">
    <field x="0"/>
    <field x="1"/>
  </rowFields>
  <rowItems count="11">
    <i>
      <x/>
      <x v="3"/>
    </i>
    <i r="1">
      <x v="7"/>
    </i>
    <i r="1">
      <x v="11"/>
    </i>
    <i r="1">
      <x v="13"/>
    </i>
    <i r="1">
      <x v="18"/>
    </i>
    <i t="default">
      <x/>
    </i>
    <i>
      <x v="1"/>
      <x v="16"/>
    </i>
    <i t="default">
      <x v="1"/>
    </i>
    <i>
      <x v="3"/>
      <x v="8"/>
    </i>
    <i t="default">
      <x v="3"/>
    </i>
    <i t="grand">
      <x/>
    </i>
  </rowItems>
  <colItems count="1">
    <i/>
  </colItems>
  <dataFields count="1">
    <dataField name="Sum of Original value" fld="2" baseField="1" baseItem="3" numFmtId="3"/>
  </dataFields>
  <formats count="12">
    <format dxfId="262">
      <pivotArea type="all" dataOnly="0" outline="0" fieldPosition="0"/>
    </format>
    <format dxfId="261">
      <pivotArea outline="0" collapsedLevelsAreSubtotals="1" fieldPosition="0"/>
    </format>
    <format dxfId="260">
      <pivotArea field="0" type="button" dataOnly="0" labelOnly="1" outline="0" axis="axisRow" fieldPosition="0"/>
    </format>
    <format dxfId="259">
      <pivotArea field="1" type="button" dataOnly="0" labelOnly="1" outline="0" axis="axisRow" fieldPosition="1"/>
    </format>
    <format dxfId="258">
      <pivotArea dataOnly="0" labelOnly="1" outline="0" axis="axisValues" fieldPosition="0"/>
    </format>
    <format dxfId="257">
      <pivotArea dataOnly="0" labelOnly="1" outline="0" fieldPosition="0">
        <references count="1">
          <reference field="0" count="2">
            <x v="0"/>
            <x v="3"/>
          </reference>
        </references>
      </pivotArea>
    </format>
    <format dxfId="256">
      <pivotArea dataOnly="0" labelOnly="1" outline="0" fieldPosition="0">
        <references count="1">
          <reference field="0" count="2" defaultSubtotal="1">
            <x v="0"/>
            <x v="3"/>
          </reference>
        </references>
      </pivotArea>
    </format>
    <format dxfId="255">
      <pivotArea dataOnly="0" labelOnly="1" grandRow="1" outline="0" fieldPosition="0"/>
    </format>
    <format dxfId="254">
      <pivotArea dataOnly="0" labelOnly="1" outline="0" fieldPosition="0">
        <references count="2">
          <reference field="0" count="1" selected="0">
            <x v="0"/>
          </reference>
          <reference field="1" count="5">
            <x v="3"/>
            <x v="7"/>
            <x v="11"/>
            <x v="13"/>
            <x v="18"/>
          </reference>
        </references>
      </pivotArea>
    </format>
    <format dxfId="253">
      <pivotArea dataOnly="0" labelOnly="1" outline="0" fieldPosition="0">
        <references count="2">
          <reference field="0" count="1" selected="0">
            <x v="3"/>
          </reference>
          <reference field="1" count="1">
            <x v="8"/>
          </reference>
        </references>
      </pivotArea>
    </format>
    <format dxfId="252">
      <pivotArea dataOnly="0" labelOnly="1" outline="0" axis="axisValues" fieldPosition="0"/>
    </format>
    <format dxfId="251">
      <pivotArea outline="0" fieldPosition="0">
        <references count="1">
          <reference field="4294967294" count="1">
            <x v="0"/>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4"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U5:W10" firstHeaderRow="0" firstDataRow="1" firstDataCol="1" rowPageCount="1" colPageCount="1"/>
  <pivotFields count="7">
    <pivotField axis="axisPage" multipleItemSelectionAllowed="1" showAll="0" defaultSubtotal="0">
      <items count="13">
        <item x="11"/>
        <item x="12"/>
        <item x="4"/>
        <item x="1"/>
        <item x="3"/>
        <item x="8"/>
        <item x="9"/>
        <item x="7"/>
        <item x="6"/>
        <item x="10"/>
        <item x="2"/>
        <item x="5"/>
        <item h="1" x="0"/>
      </items>
    </pivotField>
    <pivotField axis="axisRow" showAll="0" measureFilter="1">
      <items count="14">
        <item x="0"/>
        <item x="11"/>
        <item x="12"/>
        <item x="4"/>
        <item x="1"/>
        <item x="3"/>
        <item x="8"/>
        <item x="9"/>
        <item x="7"/>
        <item x="6"/>
        <item x="10"/>
        <item x="2"/>
        <item x="5"/>
        <item t="default"/>
      </items>
    </pivotField>
    <pivotField dataField="1" numFmtId="9" showAll="0"/>
    <pivotField dataField="1" numFmtId="9" showAll="0"/>
    <pivotField showAll="0"/>
    <pivotField showAll="0"/>
    <pivotField showAll="0"/>
  </pivotFields>
  <rowFields count="1">
    <field x="1"/>
  </rowFields>
  <rowItems count="5">
    <i>
      <x v="3"/>
    </i>
    <i>
      <x v="4"/>
    </i>
    <i>
      <x v="5"/>
    </i>
    <i>
      <x v="11"/>
    </i>
    <i>
      <x v="12"/>
    </i>
  </rowItems>
  <colFields count="1">
    <field x="-2"/>
  </colFields>
  <colItems count="2">
    <i>
      <x/>
    </i>
    <i i="1">
      <x v="1"/>
    </i>
  </colItems>
  <pageFields count="1">
    <pageField fld="0" hier="-1"/>
  </pageFields>
  <dataFields count="2">
    <dataField name=" Actual" fld="3" subtotal="average" baseField="0" baseItem="0" numFmtId="10"/>
    <dataField name=" My target" fld="2"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A5:AB10" firstHeaderRow="1" firstDataRow="1" firstDataCol="1" rowPageCount="1" colPageCount="1"/>
  <pivotFields count="7">
    <pivotField axis="axisPage" multipleItemSelectionAllowed="1" showAll="0">
      <items count="14">
        <item x="11"/>
        <item x="12"/>
        <item x="4"/>
        <item x="1"/>
        <item x="3"/>
        <item x="8"/>
        <item x="9"/>
        <item x="7"/>
        <item x="6"/>
        <item x="10"/>
        <item x="2"/>
        <item x="5"/>
        <item h="1" x="0"/>
        <item t="default"/>
      </items>
    </pivotField>
    <pivotField axis="axisRow" showAll="0" measureFilter="1">
      <items count="14">
        <item x="0"/>
        <item x="11"/>
        <item x="12"/>
        <item x="4"/>
        <item x="1"/>
        <item x="3"/>
        <item x="8"/>
        <item x="9"/>
        <item x="7"/>
        <item x="6"/>
        <item x="10"/>
        <item x="2"/>
        <item x="5"/>
        <item t="default"/>
      </items>
    </pivotField>
    <pivotField numFmtId="9" showAll="0"/>
    <pivotField dataField="1" numFmtId="9" showAll="0"/>
    <pivotField showAll="0"/>
    <pivotField showAll="0"/>
    <pivotField showAll="0"/>
  </pivotFields>
  <rowFields count="1">
    <field x="1"/>
  </rowFields>
  <rowItems count="5">
    <i>
      <x v="3"/>
    </i>
    <i>
      <x v="4"/>
    </i>
    <i>
      <x v="5"/>
    </i>
    <i>
      <x v="11"/>
    </i>
    <i>
      <x v="12"/>
    </i>
  </rowItems>
  <colItems count="1">
    <i/>
  </colItems>
  <pageFields count="1">
    <pageField fld="0" hier="-1"/>
  </pageFields>
  <dataFields count="1">
    <dataField name="Average of Actual" fld="3" subtotal="average" baseField="1" baseItem="3" numFmtId="10"/>
  </dataFields>
  <chartFormats count="7">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11"/>
          </reference>
        </references>
      </pivotArea>
    </chartFormat>
    <chartFormat chart="0" format="7">
      <pivotArea type="data" outline="0" fieldPosition="0">
        <references count="2">
          <reference field="4294967294" count="1" selected="0">
            <x v="0"/>
          </reference>
          <reference field="1" count="1" selected="0">
            <x v="12"/>
          </reference>
        </references>
      </pivotArea>
    </chartFormat>
    <chartFormat chart="0" format="8">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3"/>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3"/>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3"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14"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3"/>
    <dataField name="Sum of MTD Forecast" fld="2" baseField="1" baseItem="23" numFmtId="3"/>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8" numFmtId="3"/>
    <dataField name="Sum of MTD Forecast" fld="2" baseField="1" baseItem="28"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MTD Actual" fld="3" baseField="1" baseItem="17" numFmtId="3"/>
    <dataField name="Sum of MTD Forecast" fld="2" baseField="1" baseItem="17" numFmtId="3"/>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26" numFmtId="3"/>
    <dataField name="Sum of MTD Forecast" fld="2" baseField="1" baseItem="26"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1" baseItem="28" numFmtId="3"/>
    <dataField name="Sum of YTD Forecast" fld="5" baseField="1" baseItem="28"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1" baseItem="23" numFmtId="3"/>
    <dataField name="Sum of YTD Forecast" fld="5" baseField="1" baseItem="23" numFmtId="3"/>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1" baseItem="26" numFmtId="3"/>
    <dataField name="Sum of YTD Forecast" fld="5" baseField="1" baseItem="26"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YTD Actual" fld="6" baseField="1" baseItem="17" numFmtId="3"/>
    <dataField name="Sum of YTD Forecast" fld="5" baseField="1" baseItem="17" numFmtId="3"/>
  </dataFields>
  <chartFormats count="2">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428" tableBorderDxfId="427" headerRowCellStyle="Normal 3">
  <tableColumns count="5">
    <tableColumn id="1" name="Date" dataDxfId="426" dataCellStyle="Normal 3"/>
    <tableColumn id="2" name="Month (auto-fill)" dataDxfId="425" dataCellStyle="Normal 3">
      <calculatedColumnFormula>IF(ISBLANK(Transactions!$B10),"",MONTH(Transactions!$B10))</calculatedColumnFormula>
    </tableColumn>
    <tableColumn id="3" name="Amount" dataDxfId="424" dataCellStyle="Comma"/>
    <tableColumn id="4" name="Description" dataDxfId="423" dataCellStyle="Normal 3"/>
    <tableColumn id="5" name="Category" dataDxfId="422"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421" dataDxfId="420" tableBorderDxfId="419" headerRowCellStyle="Normal 3" dataCellStyle="Normal 3">
  <autoFilter ref="H9:L4002"/>
  <tableColumns count="5">
    <tableColumn id="1" name="Date" dataDxfId="418" dataCellStyle="Normal 3"/>
    <tableColumn id="2" name="Month (auto-fill)" dataDxfId="417" dataCellStyle="Normal 3">
      <calculatedColumnFormula>IF(ISBLANK(Transactions!$H10),"",MONTH(Transactions!$H10))</calculatedColumnFormula>
    </tableColumn>
    <tableColumn id="3" name="Amount" dataDxfId="416" dataCellStyle="Comma"/>
    <tableColumn id="4" name="Description" dataDxfId="415" dataCellStyle="Normal 3"/>
    <tableColumn id="5" name="Category" dataDxfId="414"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413" dataDxfId="412" tableBorderDxfId="411" headerRowCellStyle="Normal 3" dataCellStyle="Normal 3">
  <tableColumns count="5">
    <tableColumn id="1" name="Date" dataDxfId="410" dataCellStyle="Normal 3"/>
    <tableColumn id="2" name="Month (auto-fill)" dataDxfId="409" dataCellStyle="Normal 3">
      <calculatedColumnFormula>IF(ISBLANK(Transactions!$N10),"",MONTH(Transactions!$N10))</calculatedColumnFormula>
    </tableColumn>
    <tableColumn id="3" name="Amount" dataDxfId="408" dataCellStyle="Comma"/>
    <tableColumn id="4" name="Description" dataDxfId="407" dataCellStyle="Normal 3"/>
    <tableColumn id="5" name="Category" dataDxfId="406"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G12" totalsRowShown="0" headerRowDxfId="357" dataDxfId="356" tableBorderDxfId="355" headerRowCellStyle="Comma 2" dataCellStyle="Comma 2">
  <autoFilter ref="B8:AG12"/>
  <tableColumns count="32">
    <tableColumn id="1" name="Column1" dataDxfId="354" dataCellStyle="Comma 2"/>
    <tableColumn id="2" name="Column2" dataDxfId="353" dataCellStyle="Comma 2"/>
    <tableColumn id="33" name="Column210" dataDxfId="352" dataCellStyle="Comma 2"/>
    <tableColumn id="3" name="Column3" dataDxfId="351" dataCellStyle="Comma 2"/>
    <tableColumn id="19" name="Column32" dataDxfId="350" dataCellStyle="Comma 2"/>
    <tableColumn id="4" name="Column4" dataDxfId="349" dataCellStyle="Comma 2"/>
    <tableColumn id="5" name="Column5" dataDxfId="348" dataCellStyle="Percent 2"/>
    <tableColumn id="6" name="Column6" dataDxfId="347" dataCellStyle="Comma 2">
      <calculatedColumnFormula>SUM(J9:U9)</calculatedColumnFormula>
    </tableColumn>
    <tableColumn id="7" name="Column7" dataDxfId="346" dataCellStyle="Comma 2">
      <calculatedColumnFormula>IF(AND(MONTH('Saving Accounts'!$E9)=MONTH(J$7),YEAR('Saving Accounts'!$E9)=YEAR(J$7)),('Saving Accounts'!$B9+'Saving Accounts'!$F9)*'Saving Accounts'!$G9*'Saving Accounts'!$H9/12+'Saving Accounts'!$F9," ")</calculatedColumnFormula>
    </tableColumn>
    <tableColumn id="8" name="Column8" dataDxfId="345" dataCellStyle="Comma 2">
      <calculatedColumnFormula>IF(AND(MONTH('Saving Accounts'!$E9)=MONTH(K$7),YEAR('Saving Accounts'!$E9)=YEAR(K$7)),('Saving Accounts'!$B9+'Saving Accounts'!$F9)*'Saving Accounts'!$G9*'Saving Accounts'!$H9/12+'Saving Accounts'!$F9," ")</calculatedColumnFormula>
    </tableColumn>
    <tableColumn id="9" name="Column9" dataDxfId="344" dataCellStyle="Comma 2">
      <calculatedColumnFormula>IF(AND(MONTH('Saving Accounts'!$E9)=MONTH(L$7),YEAR('Saving Accounts'!$E9)=YEAR(L$7)),('Saving Accounts'!$B9+'Saving Accounts'!$F9)*'Saving Accounts'!$G9*'Saving Accounts'!$H9/12+'Saving Accounts'!$F9," ")</calculatedColumnFormula>
    </tableColumn>
    <tableColumn id="10" name="Column10" dataDxfId="343" dataCellStyle="Comma 2">
      <calculatedColumnFormula>IF(AND(MONTH('Saving Accounts'!$E9)=MONTH(M$7),YEAR('Saving Accounts'!$E9)=YEAR(M$7)),('Saving Accounts'!$B9+'Saving Accounts'!$F9)*'Saving Accounts'!$G9*'Saving Accounts'!$H9/12+'Saving Accounts'!$F9," ")</calculatedColumnFormula>
    </tableColumn>
    <tableColumn id="11" name="Column11" dataDxfId="342" dataCellStyle="Comma 2">
      <calculatedColumnFormula>IF(AND(MONTH('Saving Accounts'!$E9)=MONTH(N$7),YEAR('Saving Accounts'!$E9)=YEAR(N$7)),('Saving Accounts'!$B9+'Saving Accounts'!$F9)*'Saving Accounts'!$G9*'Saving Accounts'!$H9/12+'Saving Accounts'!$F9," ")</calculatedColumnFormula>
    </tableColumn>
    <tableColumn id="12" name="Column12" dataDxfId="341" dataCellStyle="Comma 2">
      <calculatedColumnFormula>IF(AND(MONTH('Saving Accounts'!$E9)=MONTH(O$7),YEAR('Saving Accounts'!$E9)=YEAR(O$7)),('Saving Accounts'!$B9+'Saving Accounts'!$F9)*'Saving Accounts'!$G9*'Saving Accounts'!$H9/12+'Saving Accounts'!$F9," ")</calculatedColumnFormula>
    </tableColumn>
    <tableColumn id="13" name="Column13" dataDxfId="340" dataCellStyle="Comma 2">
      <calculatedColumnFormula>IF(AND(MONTH('Saving Accounts'!$E9)=MONTH(P$7),YEAR('Saving Accounts'!$E9)=YEAR(P$7)),('Saving Accounts'!$B9+'Saving Accounts'!$F9)*'Saving Accounts'!$G9*'Saving Accounts'!$H9/12+'Saving Accounts'!$F9," ")</calculatedColumnFormula>
    </tableColumn>
    <tableColumn id="14" name="Column14" dataDxfId="339" dataCellStyle="Comma 2">
      <calculatedColumnFormula>IF(AND(MONTH('Saving Accounts'!$E9)=MONTH(Q$7),YEAR('Saving Accounts'!$E9)=YEAR(Q$7)),('Saving Accounts'!$B9+'Saving Accounts'!$F9)*'Saving Accounts'!$G9*'Saving Accounts'!$H9/12+'Saving Accounts'!$F9," ")</calculatedColumnFormula>
    </tableColumn>
    <tableColumn id="15" name="Column15" dataDxfId="338" dataCellStyle="Comma 2">
      <calculatedColumnFormula>IF(AND(MONTH('Saving Accounts'!$E9)=MONTH(R$7),YEAR('Saving Accounts'!$E9)=YEAR(R$7)),('Saving Accounts'!$B9+'Saving Accounts'!$F9)*'Saving Accounts'!$G9*'Saving Accounts'!$H9/12+'Saving Accounts'!$F9," ")</calculatedColumnFormula>
    </tableColumn>
    <tableColumn id="16" name="Column16" dataDxfId="337" dataCellStyle="Comma 2">
      <calculatedColumnFormula>IF(AND(MONTH('Saving Accounts'!$E9)=MONTH(S$7),YEAR('Saving Accounts'!$E9)=YEAR(S$7)),('Saving Accounts'!$B9+'Saving Accounts'!$F9)*'Saving Accounts'!$G9*'Saving Accounts'!$H9/12+'Saving Accounts'!$F9," ")</calculatedColumnFormula>
    </tableColumn>
    <tableColumn id="17" name="Column17" dataDxfId="336" dataCellStyle="Comma 2">
      <calculatedColumnFormula>IF(AND(MONTH('Saving Accounts'!$E9)=MONTH(T$7),YEAR('Saving Accounts'!$E9)=YEAR(T$7)),('Saving Accounts'!$B9+'Saving Accounts'!$F9)*'Saving Accounts'!$G9*'Saving Accounts'!$H9/12+'Saving Accounts'!$F9," ")</calculatedColumnFormula>
    </tableColumn>
    <tableColumn id="18" name="Column18" dataDxfId="335" dataCellStyle="Comma 2">
      <calculatedColumnFormula>IF(AND(MONTH('Saving Accounts'!$E9)=MONTH(U$7),YEAR('Saving Accounts'!$E9)=YEAR(U$7)),('Saving Accounts'!$B9+'Saving Accounts'!$F9)*'Saving Accounts'!$G9*'Saving Accounts'!$H9/12+'Saving Accounts'!$F9," ")</calculatedColumnFormula>
    </tableColumn>
    <tableColumn id="20" name="Column19" dataDxfId="334" dataCellStyle="Comma 2">
      <calculatedColumnFormula>IF(AND(MONTH('Saving Accounts'!$E9)=MONTH(V$7),YEAR('Saving Accounts'!$E9)=YEAR(V$7)),('Saving Accounts'!$B9+'Saving Accounts'!$F9)*'Saving Accounts'!$G9*'Saving Accounts'!$H9/12+'Saving Accounts'!$F9," ")</calculatedColumnFormula>
    </tableColumn>
    <tableColumn id="21" name="Column20" dataDxfId="333" dataCellStyle="Comma 2">
      <calculatedColumnFormula>IF(AND(MONTH('Saving Accounts'!$E9)=MONTH(W$7),YEAR('Saving Accounts'!$E9)=YEAR(W$7)),('Saving Accounts'!$B9+'Saving Accounts'!$F9)*'Saving Accounts'!$G9*'Saving Accounts'!$H9/12+'Saving Accounts'!$F9," ")</calculatedColumnFormula>
    </tableColumn>
    <tableColumn id="22" name="Column21" dataDxfId="332" dataCellStyle="Comma 2">
      <calculatedColumnFormula>IF(AND(MONTH('Saving Accounts'!$E9)=MONTH(X$7),YEAR('Saving Accounts'!$E9)=YEAR(X$7)),('Saving Accounts'!$B9+'Saving Accounts'!$F9)*'Saving Accounts'!$G9*'Saving Accounts'!$H9/12+'Saving Accounts'!$F9," ")</calculatedColumnFormula>
    </tableColumn>
    <tableColumn id="23" name="Column22" dataDxfId="331" dataCellStyle="Comma 2">
      <calculatedColumnFormula>IF(AND(MONTH('Saving Accounts'!$E9)=MONTH(Y$7),YEAR('Saving Accounts'!$E9)=YEAR(Y$7)),('Saving Accounts'!$B9+'Saving Accounts'!$F9)*'Saving Accounts'!$G9*'Saving Accounts'!$H9/12+'Saving Accounts'!$F9," ")</calculatedColumnFormula>
    </tableColumn>
    <tableColumn id="24" name="Column23" dataDxfId="330" dataCellStyle="Comma 2">
      <calculatedColumnFormula>IF(AND(MONTH('Saving Accounts'!$E9)=MONTH(Z$7),YEAR('Saving Accounts'!$E9)=YEAR(Z$7)),('Saving Accounts'!$B9+'Saving Accounts'!$F9)*'Saving Accounts'!$G9*'Saving Accounts'!$H9/12+'Saving Accounts'!$F9," ")</calculatedColumnFormula>
    </tableColumn>
    <tableColumn id="25" name="Column24" dataDxfId="329" dataCellStyle="Comma 2">
      <calculatedColumnFormula>IF(AND(MONTH('Saving Accounts'!$E9)=MONTH(AA$7),YEAR('Saving Accounts'!$E9)=YEAR(AA$7)),('Saving Accounts'!$B9+'Saving Accounts'!$F9)*'Saving Accounts'!$G9*'Saving Accounts'!$H9/12+'Saving Accounts'!$F9," ")</calculatedColumnFormula>
    </tableColumn>
    <tableColumn id="26" name="Column25" dataDxfId="328" dataCellStyle="Comma 2">
      <calculatedColumnFormula>IF(AND(MONTH('Saving Accounts'!$E9)=MONTH(AB$7),YEAR('Saving Accounts'!$E9)=YEAR(AB$7)),('Saving Accounts'!$B9+'Saving Accounts'!$F9)*'Saving Accounts'!$G9*'Saving Accounts'!$H9/12+'Saving Accounts'!$F9," ")</calculatedColumnFormula>
    </tableColumn>
    <tableColumn id="27" name="Column26" dataDxfId="327" dataCellStyle="Comma 2">
      <calculatedColumnFormula>IF(AND(MONTH('Saving Accounts'!$E9)=MONTH(AC$7),YEAR('Saving Accounts'!$E9)=YEAR(AC$7)),('Saving Accounts'!$B9+'Saving Accounts'!$F9)*'Saving Accounts'!$G9*'Saving Accounts'!$H9/12+'Saving Accounts'!$F9," ")</calculatedColumnFormula>
    </tableColumn>
    <tableColumn id="28" name="Column27" dataDxfId="326" dataCellStyle="Comma 2">
      <calculatedColumnFormula>IF(AND(MONTH('Saving Accounts'!$E9)=MONTH(AD$7),YEAR('Saving Accounts'!$E9)=YEAR(AD$7)),('Saving Accounts'!$B9+'Saving Accounts'!$F9)*'Saving Accounts'!$G9*'Saving Accounts'!$H9/12+'Saving Accounts'!$F9," ")</calculatedColumnFormula>
    </tableColumn>
    <tableColumn id="29" name="Column28" dataDxfId="325" dataCellStyle="Comma 2">
      <calculatedColumnFormula>IF(AND(MONTH('Saving Accounts'!$E9)=MONTH(AE$7),YEAR('Saving Accounts'!$E9)=YEAR(AE$7)),('Saving Accounts'!$B9+'Saving Accounts'!$F9)*'Saving Accounts'!$G9*'Saving Accounts'!$H9/12+'Saving Accounts'!$F9," ")</calculatedColumnFormula>
    </tableColumn>
    <tableColumn id="30" name="Column29" dataDxfId="324" dataCellStyle="Comma 2">
      <calculatedColumnFormula>IF(AND(MONTH('Saving Accounts'!$E9)=MONTH(AF$7),YEAR('Saving Accounts'!$E9)=YEAR(AF$7)),('Saving Accounts'!$B9+'Saving Accounts'!$F9)*'Saving Accounts'!$G9*'Saving Accounts'!$H9/12+'Saving Accounts'!$F9," ")</calculatedColumnFormula>
    </tableColumn>
    <tableColumn id="31" name="Column30" dataDxfId="323" dataCellStyle="Comma 2">
      <calculatedColumnFormula>IF(AND(MONTH('Saving Accounts'!$E9)=MONTH(AG$7),YEAR('Saving Accounts'!$E9)=YEAR(AG$7)),('Saving Accounts'!$B9+'Saving Accounts'!$F9)*'Saving Accounts'!$G9*'Saving Accounts'!$H9/12+'Saving Accounts'!$F9,"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8" totalsRowShown="0" headerRowDxfId="314" dataDxfId="313" tableBorderDxfId="312" headerRowCellStyle="Comma 2" dataCellStyle="Comma 2">
  <autoFilter ref="B8:U18"/>
  <tableColumns count="20">
    <tableColumn id="1" name="Column1" dataDxfId="311" dataCellStyle="Normal 2"/>
    <tableColumn id="2" name="Column2" dataDxfId="310" dataCellStyle="Comma 2"/>
    <tableColumn id="3" name="Column3" dataDxfId="309" dataCellStyle="Comma 2"/>
    <tableColumn id="4" name="Column4" dataDxfId="308" dataCellStyle="Comma 2"/>
    <tableColumn id="5" name="Column5" dataDxfId="307" dataCellStyle="Comma 2"/>
    <tableColumn id="6" name="Column6" dataDxfId="306" dataCellStyle="Comma 2">
      <calculatedColumnFormula>ROUND((Investment!$F9-Investment!$E9)/365*12,0)</calculatedColumnFormula>
    </tableColumn>
    <tableColumn id="7" name="Column7" dataDxfId="305" dataCellStyle="Percent"/>
    <tableColumn id="8" name="Column8" dataDxfId="304" dataCellStyle="Comma 2">
      <calculatedColumnFormula>SUM(J9:AG9)</calculatedColumnFormula>
    </tableColumn>
    <tableColumn id="9" name="Column9" dataDxfId="303" dataCellStyle="Comma 2">
      <calculatedColumnFormula>IF(AND(MONTH(Investment!$F9)=MONTH(J$7),YEAR(Investment!$F9)=YEAR(J$7)),Investment!$C9*Investment!$G9*Investment!$H9/12," ")</calculatedColumnFormula>
    </tableColumn>
    <tableColumn id="10" name="Column10" dataDxfId="302" dataCellStyle="Comma 2">
      <calculatedColumnFormula>IF(AND(MONTH(Investment!$F9)=MONTH(K$7),YEAR(Investment!$F9)=YEAR(K$7)),Investment!$C9*Investment!$G9*Investment!$H9/12," ")</calculatedColumnFormula>
    </tableColumn>
    <tableColumn id="11" name="Column11" dataDxfId="301" dataCellStyle="Comma 2">
      <calculatedColumnFormula>IF(AND(MONTH(Investment!$F9)=MONTH(L$7),YEAR(Investment!$F9)=YEAR(L$7)),Investment!$C9*Investment!$G9*Investment!$H9/12," ")</calculatedColumnFormula>
    </tableColumn>
    <tableColumn id="12" name="Column12" dataDxfId="300" dataCellStyle="Comma 2">
      <calculatedColumnFormula>IF(AND(MONTH(Investment!$F9)=MONTH(M$7),YEAR(Investment!$F9)=YEAR(M$7)),Investment!$C9*Investment!$G9*Investment!$H9/12," ")</calculatedColumnFormula>
    </tableColumn>
    <tableColumn id="13" name="Column13" dataDxfId="299" dataCellStyle="Comma 2">
      <calculatedColumnFormula>IF(AND(MONTH(Investment!$F9)=MONTH(N$7),YEAR(Investment!$F9)=YEAR(N$7)),Investment!$C9*Investment!$G9*Investment!$H9/12," ")</calculatedColumnFormula>
    </tableColumn>
    <tableColumn id="14" name="Column14" dataDxfId="298" dataCellStyle="Comma 2">
      <calculatedColumnFormula>IF(AND(MONTH(Investment!$F9)=MONTH(O$7),YEAR(Investment!$F9)=YEAR(O$7)),Investment!$C9*Investment!$G9*Investment!$H9/12," ")</calculatedColumnFormula>
    </tableColumn>
    <tableColumn id="15" name="Column15" dataDxfId="297" dataCellStyle="Comma 2">
      <calculatedColumnFormula>IF(AND(MONTH(Investment!$F9)=MONTH(P$7),YEAR(Investment!$F9)=YEAR(P$7)),Investment!$C9*Investment!$G9*Investment!$H9/12," ")</calculatedColumnFormula>
    </tableColumn>
    <tableColumn id="16" name="Column16" dataDxfId="296" dataCellStyle="Comma 2">
      <calculatedColumnFormula>IF(AND(MONTH(Investment!$F9)=MONTH(Q$7),YEAR(Investment!$F9)=YEAR(Q$7)),Investment!$C9*Investment!$G9*Investment!$H9/12," ")</calculatedColumnFormula>
    </tableColumn>
    <tableColumn id="17" name="Column17" dataDxfId="295" dataCellStyle="Comma 2">
      <calculatedColumnFormula>IF(AND(MONTH(Investment!$F9)=MONTH(R$7),YEAR(Investment!$F9)=YEAR(R$7)),Investment!$C9*Investment!$G9*Investment!$H9/12," ")</calculatedColumnFormula>
    </tableColumn>
    <tableColumn id="18" name="Column18" dataDxfId="294" dataCellStyle="Comma 2">
      <calculatedColumnFormula>IF(AND(MONTH(Investment!$F9)=MONTH(S$7),YEAR(Investment!$F9)=YEAR(S$7)),Investment!$C9*Investment!$G9*Investment!$H9/12," ")</calculatedColumnFormula>
    </tableColumn>
    <tableColumn id="19" name="Column19" dataDxfId="293" dataCellStyle="Comma 2">
      <calculatedColumnFormula>IF(AND(MONTH(Investment!$F9)=MONTH(T$7),YEAR(Investment!$F9)=YEAR(T$7)),Investment!$C9*Investment!$G9*Investment!$H9/12," ")</calculatedColumnFormula>
    </tableColumn>
    <tableColumn id="20" name="Column20" dataDxfId="292"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2" totalsRowShown="0" dataDxfId="283" tableBorderDxfId="282">
  <autoFilter ref="B7:D12"/>
  <tableColumns count="3">
    <tableColumn id="1" name="Amount" dataDxfId="281" dataCellStyle="Comma 2"/>
    <tableColumn id="2" name="Transaction date" dataDxfId="280" dataCellStyle="Comma 2"/>
    <tableColumn id="3" name="Note" dataDxfId="279"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3:D30" totalsRowShown="0" headerRowDxfId="250" dataDxfId="249">
  <tableColumns count="3">
    <tableColumn id="1" name="Type 1" dataDxfId="248"/>
    <tableColumn id="2" name="Type/Category" dataDxfId="247"/>
    <tableColumn id="3" name="Original value" dataDxfId="246">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231" dataDxfId="230">
  <autoFilter ref="B9:P40"/>
  <tableColumns count="15">
    <tableColumn id="1" name="Type" dataDxfId="229"/>
    <tableColumn id="2" name="Category" dataDxfId="228"/>
    <tableColumn id="3" name="Jan-21" dataDxfId="227"/>
    <tableColumn id="4" name="Feb-21" dataDxfId="226"/>
    <tableColumn id="5" name="Mar-21" dataDxfId="225"/>
    <tableColumn id="6" name="Apr-21" dataDxfId="224"/>
    <tableColumn id="7" name="May-21" dataDxfId="223"/>
    <tableColumn id="8" name="Jun-21" dataDxfId="222"/>
    <tableColumn id="9" name="Jul-21" dataDxfId="221"/>
    <tableColumn id="10" name="Aug-21" dataDxfId="220"/>
    <tableColumn id="11" name="Sep-21" dataDxfId="219"/>
    <tableColumn id="12" name="Oct-21" dataDxfId="218"/>
    <tableColumn id="13" name="Nov-21" dataDxfId="217"/>
    <tableColumn id="14" name="Dec-21" dataDxfId="216"/>
    <tableColumn id="15" name="Total" dataDxfId="215">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200" dataDxfId="199" tableBorderDxfId="198">
  <autoFilter ref="B9:P40"/>
  <tableColumns count="15">
    <tableColumn id="1" name="Type" dataDxfId="197"/>
    <tableColumn id="2" name="Category" dataDxfId="196"/>
    <tableColumn id="3" name="Column3" dataDxfId="195"/>
    <tableColumn id="4" name="Column4" dataDxfId="194"/>
    <tableColumn id="5" name="Column5" dataDxfId="193"/>
    <tableColumn id="6" name="Column6" dataDxfId="192"/>
    <tableColumn id="7" name="Column7" dataDxfId="191"/>
    <tableColumn id="8" name="Column8" dataDxfId="190"/>
    <tableColumn id="9" name="Column9" dataDxfId="189"/>
    <tableColumn id="10" name="Column10" dataDxfId="188"/>
    <tableColumn id="11" name="Column11" dataDxfId="187"/>
    <tableColumn id="12" name="Column12" dataDxfId="186"/>
    <tableColumn id="13" name="Column13" dataDxfId="185"/>
    <tableColumn id="14" name="Column14" dataDxfId="184"/>
    <tableColumn id="15" name="Column15" dataDxfId="183">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164" dataDxfId="163" tableBorderDxfId="162">
  <tableColumns count="8">
    <tableColumn id="1" name="Type" dataDxfId="161"/>
    <tableColumn id="2" name="Category" dataDxfId="160"/>
    <tableColumn id="3" name="MTD Forecast" dataDxfId="159">
      <calculatedColumnFormula>SUMPRODUCT((Monthly_Forecast[[Jan-21]:[Dec-21]])*(Monthly_Forecast[Category]=Summary!$C18)*('Monthly Forecast'!$D$6:$O$6=Summary!D$15))</calculatedColumnFormula>
    </tableColumn>
    <tableColumn id="4" name="MTD Actual" dataDxfId="158">
      <calculatedColumnFormula>SUMPRODUCT((Monthly_Actual[[Column3]:[Column14]])*(Monthly_Actual[Category]=Summary!$C18)*('Monthly Actual'!$D$6:$O$6=Summary!E$15))</calculatedColumnFormula>
    </tableColumn>
    <tableColumn id="5" name="MTD Diff." dataDxfId="157">
      <calculatedColumnFormula>D18-E18</calculatedColumnFormula>
    </tableColumn>
    <tableColumn id="6" name="YTD Forecast" dataDxfId="156">
      <calculatedColumnFormula>SUMPRODUCT((Monthly_Forecast[[Jan-21]:[Dec-21]])*(Monthly_Forecast[Category]=Summary!$C18)*('Monthly Forecast'!$D$5:$O$5=Summary!G$15))</calculatedColumnFormula>
    </tableColumn>
    <tableColumn id="7" name="YTD Actual" dataDxfId="155">
      <calculatedColumnFormula>SUMPRODUCT((Monthly_Actual[[Column3]:[Column14]])*(Monthly_Actual[Category]=Summary!$C18)*('Monthly Actual'!$D$5:$O$5=Summary!H$15))</calculatedColumnFormula>
    </tableColumn>
    <tableColumn id="8" name="YTD Diff." dataDxfId="154">
      <calculatedColumnFormula>G18-H18</calculatedColumnFormula>
    </tableColumn>
  </tableColumns>
  <tableStyleInfo name="Personal Cash Flow Statement" showFirstColumn="0" showLastColumn="0" showRowStripes="1" showColumnStripes="0"/>
</table>
</file>

<file path=xl/tables/table11.xml><?xml version="1.0" encoding="utf-8"?>
<table xmlns="http://schemas.openxmlformats.org/spreadsheetml/2006/main" id="10" name="Net_Worth11" displayName="Net_Worth11" ref="B12:G27" totalsRowShown="0" headerRowDxfId="145" dataDxfId="144">
  <tableColumns count="6">
    <tableColumn id="1" name="Type 1" dataDxfId="143"/>
    <tableColumn id="2" name="Type/Category" dataDxfId="142"/>
    <tableColumn id="3" name="My target" dataDxfId="141">
      <calculatedColumnFormula>'Real Estate'!B8</calculatedColumnFormula>
    </tableColumn>
    <tableColumn id="4" name="Actual" dataDxfId="140">
      <calculatedColumnFormula>IFERROR(H13/$H$13,"")</calculatedColumnFormula>
    </tableColumn>
    <tableColumn id="5" name="Difference" dataDxfId="139">
      <calculatedColumnFormula>Net_Worth11[[#This Row],[Actual]]-Net_Worth11[[#This Row],[My target]]</calculatedColumnFormula>
    </tableColumn>
    <tableColumn id="6" name="Threshold" dataDxfId="138">
      <calculatedColumnFormula>MIN(5%,Net_Worth11[[#This Row],[My target]]*25%)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table" Target="../tables/table7.xml"/><Relationship Id="rId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6.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8.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11.x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2.xml"/><Relationship Id="rId5" Type="http://schemas.openxmlformats.org/officeDocument/2006/relationships/printerSettings" Target="../printerSettings/printerSettings10.bin"/><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13.xml"/><Relationship Id="rId5" Type="http://schemas.openxmlformats.org/officeDocument/2006/relationships/printerSettings" Target="../printerSettings/printerSettings11.bin"/><Relationship Id="rId4"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4.xml"/><Relationship Id="rId5" Type="http://schemas.openxmlformats.org/officeDocument/2006/relationships/printerSettings" Target="../printerSettings/printerSettings12.bin"/><Relationship Id="rId4"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1"/>
  <sheetViews>
    <sheetView tabSelected="1" zoomScale="90" zoomScaleNormal="90" workbookViewId="0">
      <selection activeCell="B7" sqref="B7:E7"/>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98" t="s">
        <v>136</v>
      </c>
      <c r="C1" s="12"/>
      <c r="D1" s="12"/>
      <c r="E1" s="12"/>
      <c r="F1" s="12"/>
      <c r="G1" s="12"/>
      <c r="H1" s="13"/>
    </row>
    <row r="2" spans="1:8" ht="15" thickBot="1">
      <c r="C2" s="15"/>
      <c r="F2" s="16"/>
    </row>
    <row r="3" spans="1:8" ht="20.25" thickBot="1">
      <c r="B3" s="275" t="s">
        <v>223</v>
      </c>
      <c r="C3" s="276"/>
      <c r="E3" s="349" t="s">
        <v>201</v>
      </c>
      <c r="F3" s="350"/>
    </row>
    <row r="4" spans="1:8" ht="19.5">
      <c r="B4" s="275" t="s">
        <v>203</v>
      </c>
      <c r="C4" s="276"/>
      <c r="E4" s="274"/>
      <c r="F4" s="274"/>
    </row>
    <row r="5" spans="1:8" ht="19.5">
      <c r="B5" s="275"/>
      <c r="C5" s="276"/>
      <c r="E5" s="274"/>
      <c r="F5" s="274"/>
    </row>
    <row r="6" spans="1:8" ht="96.75" customHeight="1">
      <c r="B6" s="351" t="s">
        <v>250</v>
      </c>
      <c r="C6" s="351"/>
      <c r="D6" s="351"/>
      <c r="E6" s="351"/>
      <c r="F6" s="273"/>
      <c r="G6" s="273"/>
      <c r="H6" s="273"/>
    </row>
    <row r="7" spans="1:8" ht="28.5" customHeight="1">
      <c r="B7" s="385" t="s">
        <v>251</v>
      </c>
      <c r="C7" s="385"/>
      <c r="D7" s="385"/>
      <c r="E7" s="385"/>
      <c r="F7" s="273"/>
      <c r="G7" s="273"/>
      <c r="H7" s="273"/>
    </row>
    <row r="8" spans="1:8">
      <c r="B8" s="127"/>
      <c r="C8" s="127"/>
      <c r="D8" s="127"/>
      <c r="E8" s="127"/>
      <c r="F8" s="127"/>
      <c r="G8" s="127"/>
      <c r="H8" s="127"/>
    </row>
    <row r="9" spans="1:8" ht="38.25">
      <c r="B9" s="159" t="s">
        <v>141</v>
      </c>
      <c r="C9" s="296" t="s">
        <v>199</v>
      </c>
      <c r="D9" s="128"/>
      <c r="E9" s="128"/>
      <c r="F9" s="128"/>
      <c r="G9" s="128"/>
      <c r="H9" s="128"/>
    </row>
    <row r="10" spans="1:8">
      <c r="B10" s="129"/>
      <c r="C10" s="297"/>
      <c r="D10" s="27"/>
      <c r="E10" s="128"/>
      <c r="F10" s="128"/>
      <c r="G10" s="128"/>
      <c r="H10" s="128"/>
    </row>
    <row r="11" spans="1:8" ht="51">
      <c r="B11" s="159" t="s">
        <v>202</v>
      </c>
      <c r="C11" s="296" t="s">
        <v>208</v>
      </c>
      <c r="D11" s="27"/>
      <c r="E11" s="128"/>
      <c r="F11" s="128"/>
      <c r="G11" s="128"/>
      <c r="H11" s="128"/>
    </row>
    <row r="12" spans="1:8">
      <c r="B12" s="294"/>
      <c r="C12" s="298"/>
      <c r="D12" s="27"/>
      <c r="E12" s="128"/>
      <c r="F12" s="128"/>
      <c r="G12" s="128"/>
      <c r="H12" s="128"/>
    </row>
    <row r="13" spans="1:8" ht="51">
      <c r="B13" s="159" t="s">
        <v>209</v>
      </c>
      <c r="C13" s="296" t="s">
        <v>242</v>
      </c>
      <c r="D13" s="27"/>
      <c r="E13" s="128"/>
      <c r="F13" s="128"/>
      <c r="G13" s="128"/>
      <c r="H13" s="128"/>
    </row>
    <row r="14" spans="1:8">
      <c r="B14" s="294"/>
      <c r="C14" s="295"/>
      <c r="D14" s="27"/>
      <c r="E14" s="128"/>
      <c r="F14" s="128"/>
      <c r="G14" s="128"/>
      <c r="H14" s="128"/>
    </row>
    <row r="15" spans="1:8" ht="15">
      <c r="B15" s="299" t="s">
        <v>204</v>
      </c>
      <c r="C15" s="27"/>
      <c r="D15" s="27"/>
      <c r="E15" s="128"/>
      <c r="F15" s="128"/>
      <c r="G15" s="128"/>
      <c r="H15" s="128"/>
    </row>
    <row r="16" spans="1:8">
      <c r="B16" s="5"/>
      <c r="C16" s="15"/>
      <c r="D16" s="15"/>
    </row>
    <row r="39" spans="2:3">
      <c r="B39" s="130"/>
      <c r="C39" s="27" t="s">
        <v>205</v>
      </c>
    </row>
    <row r="40" spans="2:3">
      <c r="B40" s="131"/>
      <c r="C40" s="128" t="s">
        <v>206</v>
      </c>
    </row>
    <row r="41" spans="2:3">
      <c r="B41" s="132"/>
      <c r="C41" s="27" t="s">
        <v>207</v>
      </c>
    </row>
  </sheetData>
  <sheetProtection algorithmName="SHA-512" hashValue="cteSztJtV3rxsq3cIBfa7xxvh+omiqWwHkHXT0jc8zLKT1x64Rq6ZeKGBiKDvYtt73V0ogu97f/cl7U2zYzO4Q==" saltValue="lrIuLXKLWYJwcBikqrBZQg==" spinCount="100000" sheet="1" pivotTables="0"/>
  <mergeCells count="3">
    <mergeCell ref="E3:F3"/>
    <mergeCell ref="B6:E6"/>
    <mergeCell ref="B7:E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20"/>
  <sheetViews>
    <sheetView showGridLines="0" zoomScale="90" zoomScaleNormal="90" workbookViewId="0">
      <pane xSplit="1" ySplit="8" topLeftCell="B18" activePane="bottomRight" state="frozen"/>
      <selection activeCell="D25" sqref="D25"/>
      <selection pane="topRight" activeCell="D25" sqref="D25"/>
      <selection pane="bottomLeft" activeCell="D25" sqref="D25"/>
      <selection pane="bottomRight" activeCell="E22" sqref="E22"/>
    </sheetView>
  </sheetViews>
  <sheetFormatPr defaultColWidth="14.42578125" defaultRowHeight="15.75" customHeight="1"/>
  <cols>
    <col min="1" max="1" width="2.42578125" style="347" customWidth="1"/>
    <col min="2" max="2" width="11.28515625" style="347" customWidth="1"/>
    <col min="3" max="3" width="10.140625" style="347" bestFit="1" customWidth="1"/>
    <col min="4" max="4" width="14.7109375" style="348" customWidth="1"/>
    <col min="5" max="5" width="23.85546875" style="347" customWidth="1"/>
    <col min="6" max="6" width="26.42578125" style="347" bestFit="1" customWidth="1"/>
    <col min="7" max="7" width="3.28515625" style="347" customWidth="1"/>
    <col min="8" max="8" width="11.42578125" style="347" customWidth="1"/>
    <col min="9" max="9" width="12" style="347" customWidth="1"/>
    <col min="10" max="10" width="16.28515625" style="348" customWidth="1"/>
    <col min="11" max="11" width="22.85546875" style="347" customWidth="1"/>
    <col min="12" max="12" width="23.140625" style="347" customWidth="1"/>
    <col min="13" max="13" width="3" style="347" customWidth="1"/>
    <col min="14" max="15" width="12" style="347" customWidth="1"/>
    <col min="16" max="16" width="17.28515625" style="347" bestFit="1" customWidth="1"/>
    <col min="17" max="17" width="29.140625" style="347" customWidth="1"/>
    <col min="18" max="18" width="17.85546875" style="347" customWidth="1"/>
    <col min="19" max="19" width="5.85546875" style="347" customWidth="1"/>
    <col min="20" max="16384" width="14.42578125" style="347"/>
  </cols>
  <sheetData>
    <row r="1" spans="1:19" s="14" customFormat="1" ht="43.5" customHeight="1">
      <c r="A1" s="11"/>
      <c r="B1" s="98" t="s">
        <v>132</v>
      </c>
      <c r="C1" s="12"/>
      <c r="D1" s="12"/>
      <c r="E1" s="12"/>
      <c r="F1" s="12"/>
      <c r="G1" s="12"/>
      <c r="H1" s="13"/>
    </row>
    <row r="2" spans="1:19" s="19" customFormat="1" ht="15" customHeight="1">
      <c r="A2" s="5"/>
      <c r="B2" s="272" t="str">
        <f ca="1">"last updated " &amp; TEXT(NOW(),"dd-mmm-yy  |  h:mm AM/PM")</f>
        <v>last updated 07-Nov-21  |  2:15 PM</v>
      </c>
      <c r="C2" s="207"/>
      <c r="D2" s="99"/>
      <c r="F2" s="100"/>
      <c r="G2" s="99"/>
      <c r="H2" s="99"/>
      <c r="I2" s="99"/>
      <c r="J2" s="99"/>
      <c r="K2" s="99"/>
      <c r="L2" s="99"/>
      <c r="M2" s="99"/>
      <c r="N2" s="99"/>
      <c r="O2" s="99"/>
      <c r="P2" s="99"/>
      <c r="Q2" s="99"/>
      <c r="R2" s="99"/>
      <c r="S2" s="17"/>
    </row>
    <row r="3" spans="1:19" s="19" customFormat="1" ht="15" customHeight="1">
      <c r="A3" s="5"/>
      <c r="B3" s="54" t="s">
        <v>33</v>
      </c>
      <c r="C3" s="207">
        <v>44197</v>
      </c>
      <c r="D3" s="18"/>
      <c r="E3" s="353" t="s">
        <v>183</v>
      </c>
      <c r="F3" s="353"/>
      <c r="G3" s="353"/>
      <c r="H3" s="353"/>
      <c r="I3" s="353"/>
      <c r="J3" s="353"/>
      <c r="K3" s="353"/>
      <c r="L3" s="353"/>
      <c r="M3" s="353"/>
      <c r="N3" s="353"/>
      <c r="O3" s="353"/>
      <c r="P3" s="18"/>
      <c r="Q3" s="18"/>
      <c r="R3" s="18"/>
      <c r="S3" s="17"/>
    </row>
    <row r="4" spans="1:19" s="19" customFormat="1" ht="65.25" customHeight="1">
      <c r="A4" s="17"/>
      <c r="B4" s="54" t="s">
        <v>68</v>
      </c>
      <c r="C4" s="144">
        <v>2021</v>
      </c>
      <c r="D4" s="139"/>
      <c r="E4" s="353"/>
      <c r="F4" s="353"/>
      <c r="G4" s="353"/>
      <c r="H4" s="353"/>
      <c r="I4" s="353"/>
      <c r="J4" s="353"/>
      <c r="K4" s="353"/>
      <c r="L4" s="353"/>
      <c r="M4" s="353"/>
      <c r="N4" s="353"/>
      <c r="O4" s="353"/>
      <c r="P4" s="99"/>
      <c r="Q4" s="99"/>
      <c r="R4" s="99"/>
      <c r="S4" s="17"/>
    </row>
    <row r="5" spans="1:19" s="19" customFormat="1" ht="18">
      <c r="A5" s="17"/>
      <c r="B5" s="352" t="s">
        <v>197</v>
      </c>
      <c r="C5" s="352"/>
      <c r="D5" s="257" t="s">
        <v>189</v>
      </c>
      <c r="E5" s="103"/>
      <c r="F5" s="103"/>
      <c r="G5" s="103"/>
      <c r="H5" s="103"/>
      <c r="I5" s="100"/>
      <c r="J5" s="100"/>
      <c r="K5" s="100"/>
      <c r="L5" s="100"/>
      <c r="M5" s="100"/>
      <c r="N5" s="100"/>
      <c r="O5" s="100"/>
      <c r="P5" s="99"/>
      <c r="Q5" s="99"/>
      <c r="R5" s="99"/>
      <c r="S5" s="17"/>
    </row>
    <row r="6" spans="1:19" s="19" customFormat="1" ht="8.25" customHeight="1">
      <c r="A6" s="17"/>
      <c r="B6" s="269"/>
      <c r="C6" s="269"/>
      <c r="D6" s="268"/>
      <c r="E6" s="268"/>
      <c r="F6" s="268"/>
      <c r="G6" s="268"/>
      <c r="H6" s="268"/>
      <c r="I6" s="100"/>
      <c r="J6" s="100"/>
      <c r="K6" s="100"/>
      <c r="L6" s="100"/>
      <c r="M6" s="100"/>
      <c r="N6" s="100"/>
      <c r="O6" s="100"/>
      <c r="P6" s="99"/>
      <c r="Q6" s="99"/>
      <c r="R6" s="99"/>
      <c r="S6" s="17"/>
    </row>
    <row r="7" spans="1:19" s="259" customFormat="1" ht="23.25">
      <c r="A7" s="20"/>
      <c r="B7" s="258" t="s">
        <v>0</v>
      </c>
      <c r="C7" s="258"/>
      <c r="D7" s="20"/>
      <c r="E7" s="20"/>
      <c r="F7" s="20"/>
      <c r="G7" s="20"/>
      <c r="H7" s="258" t="s">
        <v>27</v>
      </c>
      <c r="I7" s="258"/>
      <c r="J7" s="20"/>
      <c r="K7" s="20"/>
      <c r="L7" s="20"/>
      <c r="M7" s="20"/>
      <c r="N7" s="258" t="s">
        <v>1</v>
      </c>
      <c r="O7" s="258"/>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3" customFormat="1" ht="30" customHeight="1" thickBot="1">
      <c r="A9" s="300"/>
      <c r="B9" s="301" t="s">
        <v>2</v>
      </c>
      <c r="C9" s="302" t="s">
        <v>200</v>
      </c>
      <c r="D9" s="301" t="s">
        <v>3</v>
      </c>
      <c r="E9" s="301" t="s">
        <v>4</v>
      </c>
      <c r="F9" s="301" t="s">
        <v>5</v>
      </c>
      <c r="G9" s="300"/>
      <c r="H9" s="301" t="s">
        <v>2</v>
      </c>
      <c r="I9" s="302" t="s">
        <v>200</v>
      </c>
      <c r="J9" s="301" t="s">
        <v>3</v>
      </c>
      <c r="K9" s="301" t="s">
        <v>4</v>
      </c>
      <c r="L9" s="301" t="s">
        <v>5</v>
      </c>
      <c r="M9" s="300"/>
      <c r="N9" s="301" t="s">
        <v>2</v>
      </c>
      <c r="O9" s="302" t="s">
        <v>200</v>
      </c>
      <c r="P9" s="301" t="s">
        <v>3</v>
      </c>
      <c r="Q9" s="301" t="s">
        <v>4</v>
      </c>
      <c r="R9" s="301" t="s">
        <v>5</v>
      </c>
      <c r="S9" s="300"/>
    </row>
    <row r="10" spans="1:19" s="138" customFormat="1" ht="19.5" customHeight="1">
      <c r="A10" s="137"/>
      <c r="B10" s="162">
        <v>44197</v>
      </c>
      <c r="C10" s="205">
        <f>IF(ISBLANK(Transactions!$B10),"",MONTH(Transactions!$B10))</f>
        <v>1</v>
      </c>
      <c r="D10" s="255">
        <v>4500000</v>
      </c>
      <c r="E10" s="163" t="s">
        <v>6</v>
      </c>
      <c r="F10" s="164" t="s">
        <v>169</v>
      </c>
      <c r="G10" s="137"/>
      <c r="H10" s="162">
        <v>44207</v>
      </c>
      <c r="I10" s="205">
        <f>IF(ISBLANK(Transactions!$H10),"",MONTH(Transactions!$H10))</f>
        <v>1</v>
      </c>
      <c r="J10" s="255">
        <v>200000</v>
      </c>
      <c r="K10" s="163" t="s">
        <v>246</v>
      </c>
      <c r="L10" s="164" t="s">
        <v>7</v>
      </c>
      <c r="M10" s="137"/>
      <c r="N10" s="162">
        <v>44221</v>
      </c>
      <c r="O10" s="205">
        <f>IF(ISBLANK(Transactions!$N10),"",MONTH(Transactions!$N10))</f>
        <v>1</v>
      </c>
      <c r="P10" s="255">
        <v>20000000</v>
      </c>
      <c r="Q10" s="168" t="s">
        <v>11</v>
      </c>
      <c r="R10" s="164" t="s">
        <v>11</v>
      </c>
      <c r="S10" s="137"/>
    </row>
    <row r="11" spans="1:19" s="138" customFormat="1" ht="19.5" customHeight="1">
      <c r="A11" s="137"/>
      <c r="B11" s="165">
        <v>44197</v>
      </c>
      <c r="C11" s="206">
        <f>IF(ISBLANK(Transactions!$B11),"",MONTH(Transactions!$B11))</f>
        <v>1</v>
      </c>
      <c r="D11" s="256">
        <v>200000</v>
      </c>
      <c r="E11" s="166" t="s">
        <v>17</v>
      </c>
      <c r="F11" s="167" t="s">
        <v>14</v>
      </c>
      <c r="G11" s="137"/>
      <c r="H11" s="165">
        <v>44216</v>
      </c>
      <c r="I11" s="206">
        <f>IF(ISBLANK(Transactions!$H11),"",MONTH(Transactions!$H11))</f>
        <v>1</v>
      </c>
      <c r="J11" s="256">
        <v>500000</v>
      </c>
      <c r="K11" s="166" t="s">
        <v>247</v>
      </c>
      <c r="L11" s="167" t="s">
        <v>16</v>
      </c>
      <c r="M11" s="137"/>
      <c r="N11" s="165">
        <v>44227</v>
      </c>
      <c r="O11" s="206">
        <f>IF(ISBLANK(Transactions!$N11),"",MONTH(Transactions!$N11))</f>
        <v>1</v>
      </c>
      <c r="P11" s="256">
        <v>18000000</v>
      </c>
      <c r="Q11" s="169" t="s">
        <v>10</v>
      </c>
      <c r="R11" s="167" t="s">
        <v>10</v>
      </c>
      <c r="S11" s="137"/>
    </row>
    <row r="12" spans="1:19" s="138" customFormat="1" ht="19.5" customHeight="1">
      <c r="A12" s="137"/>
      <c r="B12" s="165">
        <v>44197</v>
      </c>
      <c r="C12" s="206">
        <f>IF(ISBLANK(Transactions!$B12),"",MONTH(Transactions!$B12))</f>
        <v>1</v>
      </c>
      <c r="D12" s="256">
        <v>500000</v>
      </c>
      <c r="E12" s="166" t="s">
        <v>22</v>
      </c>
      <c r="F12" s="167" t="s">
        <v>13</v>
      </c>
      <c r="G12" s="137"/>
      <c r="H12" s="165"/>
      <c r="I12" s="206" t="str">
        <f>IF(ISBLANK(Transactions!$H12),"",MONTH(Transactions!$H12))</f>
        <v/>
      </c>
      <c r="J12" s="256"/>
      <c r="K12" s="166"/>
      <c r="L12" s="167"/>
      <c r="M12" s="137"/>
      <c r="N12" s="165"/>
      <c r="O12" s="206" t="str">
        <f>IF(ISBLANK(Transactions!$N12),"",MONTH(Transactions!$N12))</f>
        <v/>
      </c>
      <c r="P12" s="256"/>
      <c r="Q12" s="169"/>
      <c r="R12" s="167"/>
      <c r="S12" s="137"/>
    </row>
    <row r="13" spans="1:19" s="138" customFormat="1" ht="19.5" customHeight="1">
      <c r="A13" s="137"/>
      <c r="B13" s="165">
        <v>44197</v>
      </c>
      <c r="C13" s="206">
        <f>IF(ISBLANK(Transactions!$B13),"",MONTH(Transactions!$B13))</f>
        <v>1</v>
      </c>
      <c r="D13" s="256">
        <v>100000</v>
      </c>
      <c r="E13" s="166" t="s">
        <v>12</v>
      </c>
      <c r="F13" s="167" t="s">
        <v>13</v>
      </c>
      <c r="G13" s="137"/>
      <c r="H13" s="165"/>
      <c r="I13" s="206" t="str">
        <f>IF(ISBLANK(Transactions!$H13),"",MONTH(Transactions!$H13))</f>
        <v/>
      </c>
      <c r="J13" s="256"/>
      <c r="K13" s="166"/>
      <c r="L13" s="167"/>
      <c r="M13" s="137"/>
      <c r="N13" s="165"/>
      <c r="O13" s="206" t="str">
        <f>IF(ISBLANK(Transactions!$N13),"",MONTH(Transactions!$N13))</f>
        <v/>
      </c>
      <c r="P13" s="256"/>
      <c r="Q13" s="169"/>
      <c r="R13" s="167"/>
      <c r="S13" s="137"/>
    </row>
    <row r="14" spans="1:19" s="138" customFormat="1" ht="19.5" customHeight="1">
      <c r="A14" s="137"/>
      <c r="B14" s="165">
        <v>44197</v>
      </c>
      <c r="C14" s="206">
        <f>IF(ISBLANK(Transactions!$B14),"",MONTH(Transactions!$B14))</f>
        <v>1</v>
      </c>
      <c r="D14" s="256">
        <v>200000</v>
      </c>
      <c r="E14" s="166" t="s">
        <v>21</v>
      </c>
      <c r="F14" s="167" t="s">
        <v>13</v>
      </c>
      <c r="G14" s="137"/>
      <c r="H14" s="165"/>
      <c r="I14" s="206" t="str">
        <f>IF(ISBLANK(Transactions!$H14),"",MONTH(Transactions!$H14))</f>
        <v/>
      </c>
      <c r="J14" s="256"/>
      <c r="K14" s="166"/>
      <c r="L14" s="167"/>
      <c r="M14" s="137"/>
      <c r="N14" s="165"/>
      <c r="O14" s="206" t="str">
        <f>IF(ISBLANK(Transactions!$N14),"",MONTH(Transactions!$N14))</f>
        <v/>
      </c>
      <c r="P14" s="256"/>
      <c r="Q14" s="169"/>
      <c r="R14" s="167"/>
      <c r="S14" s="137"/>
    </row>
    <row r="15" spans="1:19" s="138" customFormat="1" ht="19.5" customHeight="1">
      <c r="A15" s="137"/>
      <c r="B15" s="165">
        <v>44201</v>
      </c>
      <c r="C15" s="206">
        <f>IF(ISBLANK(Transactions!$B15),"",MONTH(Transactions!$B15))</f>
        <v>1</v>
      </c>
      <c r="D15" s="256">
        <v>1000000</v>
      </c>
      <c r="E15" s="166" t="s">
        <v>18</v>
      </c>
      <c r="F15" s="167" t="s">
        <v>173</v>
      </c>
      <c r="G15" s="137"/>
      <c r="H15" s="165"/>
      <c r="I15" s="206" t="str">
        <f>IF(ISBLANK(Transactions!$H15),"",MONTH(Transactions!$H15))</f>
        <v/>
      </c>
      <c r="J15" s="256"/>
      <c r="K15" s="166"/>
      <c r="L15" s="167"/>
      <c r="M15" s="137"/>
      <c r="N15" s="165"/>
      <c r="O15" s="206" t="str">
        <f>IF(ISBLANK(Transactions!$N15),"",MONTH(Transactions!$N15))</f>
        <v/>
      </c>
      <c r="P15" s="256"/>
      <c r="Q15" s="169"/>
      <c r="R15" s="167"/>
      <c r="S15" s="137"/>
    </row>
    <row r="16" spans="1:19" s="138" customFormat="1" ht="19.5" customHeight="1">
      <c r="A16" s="137"/>
      <c r="B16" s="165">
        <v>44206</v>
      </c>
      <c r="C16" s="206">
        <f>IF(ISBLANK(Transactions!$B16),"",MONTH(Transactions!$B16))</f>
        <v>1</v>
      </c>
      <c r="D16" s="256">
        <v>400000</v>
      </c>
      <c r="E16" s="166" t="s">
        <v>19</v>
      </c>
      <c r="F16" s="167" t="s">
        <v>20</v>
      </c>
      <c r="G16" s="137"/>
      <c r="H16" s="165"/>
      <c r="I16" s="206" t="str">
        <f>IF(ISBLANK(Transactions!$H16),"",MONTH(Transactions!$H16))</f>
        <v/>
      </c>
      <c r="J16" s="256"/>
      <c r="K16" s="166"/>
      <c r="L16" s="167"/>
      <c r="M16" s="137"/>
      <c r="N16" s="165"/>
      <c r="O16" s="206" t="str">
        <f>IF(ISBLANK(Transactions!$N16),"",MONTH(Transactions!$N16))</f>
        <v/>
      </c>
      <c r="P16" s="256"/>
      <c r="Q16" s="169"/>
      <c r="R16" s="167"/>
      <c r="S16" s="137"/>
    </row>
    <row r="17" spans="1:19" s="138" customFormat="1" ht="19.5" customHeight="1">
      <c r="A17" s="137"/>
      <c r="B17" s="165">
        <v>44211</v>
      </c>
      <c r="C17" s="206">
        <f>IF(ISBLANK(Transactions!$B17),"",MONTH(Transactions!$B17))</f>
        <v>1</v>
      </c>
      <c r="D17" s="256">
        <v>100000</v>
      </c>
      <c r="E17" s="166" t="s">
        <v>210</v>
      </c>
      <c r="F17" s="167" t="s">
        <v>169</v>
      </c>
      <c r="G17" s="137"/>
      <c r="H17" s="165"/>
      <c r="I17" s="206" t="str">
        <f>IF(ISBLANK(Transactions!$H17),"",MONTH(Transactions!$H17))</f>
        <v/>
      </c>
      <c r="J17" s="256"/>
      <c r="K17" s="166"/>
      <c r="L17" s="167"/>
      <c r="M17" s="137"/>
      <c r="N17" s="165"/>
      <c r="O17" s="206" t="str">
        <f>IF(ISBLANK(Transactions!$N17),"",MONTH(Transactions!$N17))</f>
        <v/>
      </c>
      <c r="P17" s="256"/>
      <c r="Q17" s="169"/>
      <c r="R17" s="167"/>
      <c r="S17" s="137"/>
    </row>
    <row r="18" spans="1:19" s="138" customFormat="1" ht="19.5" customHeight="1">
      <c r="A18" s="137"/>
      <c r="B18" s="165">
        <v>44218</v>
      </c>
      <c r="C18" s="206">
        <f>IF(ISBLANK(Transactions!$B18),"",MONTH(Transactions!$B18))</f>
        <v>1</v>
      </c>
      <c r="D18" s="256">
        <v>200000</v>
      </c>
      <c r="E18" s="166" t="s">
        <v>245</v>
      </c>
      <c r="F18" s="167" t="s">
        <v>23</v>
      </c>
      <c r="G18" s="137"/>
      <c r="H18" s="165"/>
      <c r="I18" s="206" t="str">
        <f>IF(ISBLANK(Transactions!$H18),"",MONTH(Transactions!$H18))</f>
        <v/>
      </c>
      <c r="J18" s="256"/>
      <c r="K18" s="166"/>
      <c r="L18" s="167"/>
      <c r="M18" s="137"/>
      <c r="N18" s="165"/>
      <c r="O18" s="206" t="str">
        <f>IF(ISBLANK(Transactions!$N18),"",MONTH(Transactions!$N18))</f>
        <v/>
      </c>
      <c r="P18" s="256"/>
      <c r="Q18" s="169"/>
      <c r="R18" s="167"/>
      <c r="S18" s="137"/>
    </row>
    <row r="19" spans="1:19" s="138" customFormat="1" ht="19.5" customHeight="1">
      <c r="A19" s="137"/>
      <c r="B19" s="165"/>
      <c r="C19" s="206" t="str">
        <f>IF(ISBLANK(Transactions!$B19),"",MONTH(Transactions!$B19))</f>
        <v/>
      </c>
      <c r="D19" s="256"/>
      <c r="E19" s="166"/>
      <c r="F19" s="167"/>
      <c r="G19" s="137"/>
      <c r="H19" s="165"/>
      <c r="I19" s="206" t="str">
        <f>IF(ISBLANK(Transactions!$H19),"",MONTH(Transactions!$H19))</f>
        <v/>
      </c>
      <c r="J19" s="256"/>
      <c r="K19" s="166"/>
      <c r="L19" s="167"/>
      <c r="M19" s="137"/>
      <c r="N19" s="165"/>
      <c r="O19" s="206" t="str">
        <f>IF(ISBLANK(Transactions!$N19),"",MONTH(Transactions!$N19))</f>
        <v/>
      </c>
      <c r="P19" s="256"/>
      <c r="Q19" s="169"/>
      <c r="R19" s="167"/>
      <c r="S19" s="137"/>
    </row>
    <row r="20" spans="1:19" s="138" customFormat="1" ht="19.5" customHeight="1">
      <c r="A20" s="137"/>
      <c r="B20" s="165"/>
      <c r="C20" s="206" t="str">
        <f>IF(ISBLANK(Transactions!$B20),"",MONTH(Transactions!$B20))</f>
        <v/>
      </c>
      <c r="D20" s="256"/>
      <c r="E20" s="166"/>
      <c r="F20" s="167"/>
      <c r="G20" s="137"/>
      <c r="H20" s="165"/>
      <c r="I20" s="206" t="str">
        <f>IF(ISBLANK(Transactions!$H20),"",MONTH(Transactions!$H20))</f>
        <v/>
      </c>
      <c r="J20" s="256"/>
      <c r="K20" s="166"/>
      <c r="L20" s="167"/>
      <c r="M20" s="137"/>
      <c r="N20" s="165"/>
      <c r="O20" s="206" t="str">
        <f>IF(ISBLANK(Transactions!$N20),"",MONTH(Transactions!$N20))</f>
        <v/>
      </c>
      <c r="P20" s="256"/>
      <c r="Q20" s="169"/>
      <c r="R20" s="167"/>
      <c r="S20" s="137"/>
    </row>
  </sheetData>
  <sheetProtection algorithmName="SHA-512" hashValue="LZ08P5L2tMqmyBnf3eszPxIUdZKMQaMsgkQcP7Tf41ffBzAHXQzDVBxJx04UHLzPf7njcPvIYvA2a7WHExZndQ==" saltValue="42BrlMjOkYvSJScKa8mFkg==" spinCount="100000" sheet="1" autoFilter="0" pivotTables="0"/>
  <mergeCells count="2">
    <mergeCell ref="B5:C5"/>
    <mergeCell ref="E3:O4"/>
  </mergeCells>
  <dataValidations count="2">
    <dataValidation type="list" allowBlank="1" sqref="F4003:F1048576 R4003:R1048576 L4003:L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51" id="{0EE26858-BF02-48A1-9F08-663F81AA1000}">
            <xm:f>$D$5=Currency!$A$8</xm:f>
            <x14:dxf>
              <numFmt numFmtId="179" formatCode="[$$-C09]#,##0.00"/>
            </x14:dxf>
          </x14:cfRule>
          <x14:cfRule type="expression" priority="52" id="{E12CA619-704E-4B4C-A0EE-A163D3F68FD5}">
            <xm:f>$D$5=Currency!$A$7</xm:f>
            <x14:dxf>
              <numFmt numFmtId="178" formatCode="[$¥-411]#,##0.00"/>
            </x14:dxf>
          </x14:cfRule>
          <x14:cfRule type="expression" priority="53" id="{1E6F2E9B-6ECE-4A53-A984-94000036A0E9}">
            <xm:f>$D$5=Currency!$A$6</xm:f>
            <x14:dxf>
              <numFmt numFmtId="181" formatCode="[$$-1004]#,##0.00"/>
            </x14:dxf>
          </x14:cfRule>
          <x14:cfRule type="expression" priority="54" id="{D5B90EC1-8468-42A8-8E67-9BC0E8DEC61A}">
            <xm:f>$D$5=Currency!$A$5</xm:f>
            <x14:dxf>
              <numFmt numFmtId="176" formatCode="[$¥-804]#,##0.00"/>
            </x14:dxf>
          </x14:cfRule>
          <x14:cfRule type="expression" priority="55" id="{1940D714-E1D4-4C44-9527-5F2A10091B2F}">
            <xm:f>$D$5=Currency!$A$4</xm:f>
            <x14:dxf>
              <numFmt numFmtId="175" formatCode="[$£-809]#,##0.00"/>
            </x14:dxf>
          </x14:cfRule>
          <x14:cfRule type="expression" priority="56" id="{ACF76637-1D43-4D2A-9F42-15C8B900D2D3}">
            <xm:f>$D$5=Currency!$A$3</xm:f>
            <x14:dxf>
              <numFmt numFmtId="174" formatCode="[$€-2]\ #,##0.00"/>
            </x14:dxf>
          </x14:cfRule>
          <x14:cfRule type="expression" priority="57" id="{6D64D6F9-7E4E-41FB-A181-74A2B95B799C}">
            <xm:f>$D$5=Currency!$A$2</xm:f>
            <x14:dxf>
              <numFmt numFmtId="169" formatCode="&quot;$&quot;#,##0.00"/>
            </x14:dxf>
          </x14:cfRule>
          <x14:cfRule type="expression" priority="58" id="{CF613448-BC04-49D5-A278-7ADCB4D52AD0}">
            <xm:f>$D$5=Currency!$A$1</xm:f>
            <x14:dxf>
              <numFmt numFmtId="173" formatCode="#,##0\ [$₫-42A]"/>
            </x14:dxf>
          </x14:cfRule>
          <xm:sqref>J10:J20 P10:P20 D19:D20</xm:sqref>
        </x14:conditionalFormatting>
        <x14:conditionalFormatting xmlns:xm="http://schemas.microsoft.com/office/excel/2006/main">
          <x14:cfRule type="expression" priority="1" id="{5B7E84F2-F1A3-41EB-A60B-0073CEFF7393}">
            <xm:f>$D$5=Currency!#REF!</xm:f>
            <x14:dxf>
              <numFmt numFmtId="179" formatCode="[$$-C09]#,##0.00"/>
            </x14:dxf>
          </x14:cfRule>
          <x14:cfRule type="expression" priority="2" id="{E937B50E-191B-4845-89BC-8B449A1BA793}">
            <xm:f>$D$5=Currency!#REF!</xm:f>
            <x14:dxf>
              <numFmt numFmtId="178" formatCode="[$¥-411]#,##0.00"/>
            </x14:dxf>
          </x14:cfRule>
          <x14:cfRule type="expression" priority="3" id="{EEA988B9-BADF-4AEE-A3A2-C4FFC42410F9}">
            <xm:f>$D$5=Currency!#REF!</xm:f>
            <x14:dxf>
              <numFmt numFmtId="181" formatCode="[$$-1004]#,##0.00"/>
            </x14:dxf>
          </x14:cfRule>
          <x14:cfRule type="expression" priority="4" id="{F9E91B1B-B574-41B1-88DD-94E29D04AAC8}">
            <xm:f>$D$5=Currency!#REF!</xm:f>
            <x14:dxf>
              <numFmt numFmtId="176" formatCode="[$¥-804]#,##0.00"/>
            </x14:dxf>
          </x14:cfRule>
          <x14:cfRule type="expression" priority="5" id="{F8782540-473F-4F6D-9523-B0294D4EE722}">
            <xm:f>$D$5=Currency!#REF!</xm:f>
            <x14:dxf>
              <numFmt numFmtId="175" formatCode="[$£-809]#,##0.00"/>
            </x14:dxf>
          </x14:cfRule>
          <x14:cfRule type="expression" priority="6" id="{B84AB231-C609-467C-95CF-F60A7F045527}">
            <xm:f>$D$5=Currency!#REF!</xm:f>
            <x14:dxf>
              <numFmt numFmtId="174" formatCode="[$€-2]\ #,##0.00"/>
            </x14:dxf>
          </x14:cfRule>
          <x14:cfRule type="expression" priority="7" id="{E3E3F540-3B15-4D66-A496-3580AE4297D1}">
            <xm:f>$D$5=Currency!#REF!</xm:f>
            <x14:dxf>
              <numFmt numFmtId="169" formatCode="&quot;$&quot;#,##0.00"/>
            </x14:dxf>
          </x14:cfRule>
          <x14:cfRule type="expression" priority="8" id="{34D4B3B1-B366-4EF4-8753-F44E366D53F1}">
            <xm:f>$D$5=Currency!#REF!</xm:f>
            <x14:dxf>
              <numFmt numFmtId="173" formatCode="#,##0\ [$₫-42A]"/>
            </x14:dxf>
          </x14:cfRule>
          <xm:sqref>D10:D18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'Monthly Forecast'!$D$8:$O$8</xm:f>
          </x14:formula1>
          <xm:sqref>C3</xm:sqref>
        </x14:dataValidation>
        <x14:dataValidation type="list" allowBlank="1">
          <x14:formula1>
            <xm:f>Summary!$C$27:$C$41</xm:f>
          </x14:formula1>
          <xm:sqref>F19:F20</xm:sqref>
        </x14:dataValidation>
        <x14:dataValidation type="list" allowBlank="1">
          <x14:formula1>
            <xm:f>Summary!$C$42:$C$47</xm:f>
          </x14:formula1>
          <xm:sqref>L10:L20</xm:sqref>
        </x14:dataValidation>
        <x14:dataValidation type="list" allowBlank="1">
          <x14:formula1>
            <xm:f>Summary!$C$18:$C$26</xm:f>
          </x14:formula1>
          <xm:sqref>R10:R20</xm:sqref>
        </x14:dataValidation>
        <x14:dataValidation type="list" allowBlank="1" showInputMessage="1" showErrorMessage="1">
          <x14:formula1>
            <xm:f>Currency!$A$1:$A$8</xm:f>
          </x14:formula1>
          <xm:sqref>D5</xm:sqref>
        </x14:dataValidation>
        <x14:dataValidation type="list" allowBlank="1">
          <x14:formula1>
            <xm:f>Summary!#REF!</xm:f>
          </x14:formula1>
          <xm:sqref>F10:F18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189</v>
      </c>
    </row>
    <row r="2" spans="1:1">
      <c r="A2" t="s">
        <v>190</v>
      </c>
    </row>
    <row r="3" spans="1:1">
      <c r="A3" t="s">
        <v>191</v>
      </c>
    </row>
    <row r="4" spans="1:1">
      <c r="A4" t="s">
        <v>192</v>
      </c>
    </row>
    <row r="5" spans="1:1">
      <c r="A5" t="s">
        <v>196</v>
      </c>
    </row>
    <row r="6" spans="1:1">
      <c r="A6" t="s">
        <v>193</v>
      </c>
    </row>
    <row r="7" spans="1:1">
      <c r="A7" t="s">
        <v>194</v>
      </c>
    </row>
    <row r="8" spans="1:1">
      <c r="A8" t="s">
        <v>195</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G15"/>
  <sheetViews>
    <sheetView showGridLines="0" zoomScale="90" zoomScaleNormal="90" workbookViewId="0">
      <pane xSplit="9" ySplit="8" topLeftCell="J9" activePane="bottomRight" state="frozen"/>
      <selection pane="topRight" activeCell="H1" sqref="H1"/>
      <selection pane="bottomLeft" activeCell="A9" sqref="A9"/>
      <selection pane="bottomRight" activeCell="G16" sqref="G16"/>
    </sheetView>
  </sheetViews>
  <sheetFormatPr defaultRowHeight="14.25"/>
  <cols>
    <col min="1" max="1" width="2.28515625" style="5" customWidth="1"/>
    <col min="2" max="2" width="22.140625" style="5" customWidth="1"/>
    <col min="3" max="4" width="18.28515625" style="5" customWidth="1"/>
    <col min="5" max="5" width="14.140625" style="329" customWidth="1"/>
    <col min="6" max="6" width="19.140625" style="5" customWidth="1"/>
    <col min="7" max="7" width="17" style="5" customWidth="1"/>
    <col min="8" max="8" width="14.140625" style="5" customWidth="1"/>
    <col min="9" max="9" width="23" style="5" bestFit="1" customWidth="1"/>
    <col min="10" max="10" width="13.42578125" style="5" bestFit="1" customWidth="1"/>
    <col min="11" max="11" width="13.7109375" style="5" bestFit="1" customWidth="1"/>
    <col min="12" max="12" width="14" style="5" bestFit="1" customWidth="1"/>
    <col min="13" max="13" width="13.7109375" style="5" bestFit="1" customWidth="1"/>
    <col min="14" max="14" width="14.42578125" style="5" bestFit="1" customWidth="1"/>
    <col min="15" max="15" width="13.7109375" style="5" bestFit="1" customWidth="1"/>
    <col min="16" max="16" width="16.85546875" style="5" bestFit="1" customWidth="1"/>
    <col min="17" max="17" width="14.140625" style="5" bestFit="1" customWidth="1"/>
    <col min="18" max="18" width="16.85546875" style="5" bestFit="1" customWidth="1"/>
    <col min="19" max="19" width="13.85546875" style="5" bestFit="1" customWidth="1"/>
    <col min="20" max="21" width="14.140625" style="5" bestFit="1" customWidth="1"/>
    <col min="22" max="24" width="11.85546875" style="5" bestFit="1" customWidth="1"/>
    <col min="25" max="16384" width="9.140625" style="5"/>
  </cols>
  <sheetData>
    <row r="1" spans="1:33" s="14" customFormat="1" ht="44.1" customHeight="1">
      <c r="A1" s="12"/>
      <c r="B1" s="12" t="s">
        <v>85</v>
      </c>
      <c r="C1" s="12"/>
      <c r="D1" s="328"/>
      <c r="E1" s="328"/>
      <c r="F1" s="12"/>
      <c r="G1" s="12"/>
      <c r="H1" s="12"/>
      <c r="I1" s="12"/>
    </row>
    <row r="2" spans="1:33" ht="18">
      <c r="B2" s="54" t="s">
        <v>33</v>
      </c>
      <c r="C2" s="230">
        <f>Transactions!C3</f>
        <v>44197</v>
      </c>
      <c r="D2" s="230"/>
    </row>
    <row r="3" spans="1:33" ht="63" customHeight="1">
      <c r="B3" s="54" t="s">
        <v>68</v>
      </c>
      <c r="C3" s="231">
        <f>Transactions!C4</f>
        <v>2021</v>
      </c>
      <c r="D3" s="231"/>
      <c r="E3" s="353" t="s">
        <v>184</v>
      </c>
      <c r="F3" s="353"/>
      <c r="G3" s="353"/>
      <c r="H3" s="353"/>
      <c r="I3" s="353"/>
      <c r="J3" s="158"/>
      <c r="K3" s="100"/>
      <c r="L3" s="100"/>
      <c r="M3" s="100"/>
      <c r="N3" s="100"/>
      <c r="O3" s="100"/>
      <c r="P3" s="100"/>
      <c r="Q3" s="100"/>
    </row>
    <row r="4" spans="1:33" ht="18">
      <c r="B4" s="54"/>
      <c r="C4" s="231"/>
      <c r="D4" s="231"/>
      <c r="E4" s="327"/>
      <c r="F4" s="319"/>
      <c r="G4" s="135"/>
      <c r="H4" s="135"/>
      <c r="I4" s="135"/>
      <c r="J4" s="135"/>
      <c r="K4" s="100"/>
      <c r="L4" s="100"/>
      <c r="M4" s="100"/>
      <c r="N4" s="100"/>
      <c r="O4" s="100"/>
      <c r="P4" s="100"/>
      <c r="Q4" s="100"/>
    </row>
    <row r="5" spans="1:33">
      <c r="B5" s="320"/>
    </row>
    <row r="6" spans="1:33">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321" customFormat="1" ht="30.75" thickBot="1">
      <c r="B7" s="145" t="s">
        <v>198</v>
      </c>
      <c r="C7" s="146" t="s">
        <v>87</v>
      </c>
      <c r="D7" s="146" t="s">
        <v>225</v>
      </c>
      <c r="E7" s="146" t="s">
        <v>88</v>
      </c>
      <c r="F7" s="146" t="s">
        <v>222</v>
      </c>
      <c r="G7" s="146" t="s">
        <v>89</v>
      </c>
      <c r="H7" s="146" t="s">
        <v>90</v>
      </c>
      <c r="I7" s="146" t="s">
        <v>156</v>
      </c>
      <c r="J7" s="241">
        <f t="shared" ref="J7:U7" si="0">DATE($C$3,J6,1)</f>
        <v>44197</v>
      </c>
      <c r="K7" s="241">
        <f t="shared" si="0"/>
        <v>44228</v>
      </c>
      <c r="L7" s="241">
        <f t="shared" si="0"/>
        <v>44256</v>
      </c>
      <c r="M7" s="241">
        <f t="shared" si="0"/>
        <v>44287</v>
      </c>
      <c r="N7" s="241">
        <f t="shared" si="0"/>
        <v>44317</v>
      </c>
      <c r="O7" s="241">
        <f t="shared" si="0"/>
        <v>44348</v>
      </c>
      <c r="P7" s="241">
        <f t="shared" si="0"/>
        <v>44378</v>
      </c>
      <c r="Q7" s="241">
        <f t="shared" si="0"/>
        <v>44409</v>
      </c>
      <c r="R7" s="241">
        <f t="shared" si="0"/>
        <v>44440</v>
      </c>
      <c r="S7" s="241">
        <f t="shared" si="0"/>
        <v>44470</v>
      </c>
      <c r="T7" s="241">
        <f t="shared" si="0"/>
        <v>44501</v>
      </c>
      <c r="U7" s="322">
        <f t="shared" si="0"/>
        <v>44531</v>
      </c>
      <c r="V7" s="241">
        <f>DATE($C$3+1,V6,1)</f>
        <v>44562</v>
      </c>
      <c r="W7" s="241">
        <f t="shared" ref="W7:AG7" si="1">DATE($C$3+1,W6,1)</f>
        <v>44593</v>
      </c>
      <c r="X7" s="241">
        <f t="shared" si="1"/>
        <v>44621</v>
      </c>
      <c r="Y7" s="241">
        <f t="shared" si="1"/>
        <v>44652</v>
      </c>
      <c r="Z7" s="241">
        <f t="shared" si="1"/>
        <v>44682</v>
      </c>
      <c r="AA7" s="241">
        <f t="shared" si="1"/>
        <v>44713</v>
      </c>
      <c r="AB7" s="241">
        <f t="shared" si="1"/>
        <v>44743</v>
      </c>
      <c r="AC7" s="241">
        <f t="shared" si="1"/>
        <v>44774</v>
      </c>
      <c r="AD7" s="241">
        <f t="shared" si="1"/>
        <v>44805</v>
      </c>
      <c r="AE7" s="241">
        <f t="shared" si="1"/>
        <v>44835</v>
      </c>
      <c r="AF7" s="241">
        <f t="shared" si="1"/>
        <v>44866</v>
      </c>
      <c r="AG7" s="242">
        <f t="shared" si="1"/>
        <v>44896</v>
      </c>
    </row>
    <row r="8" spans="1:33" ht="43.5" hidden="1" thickBot="1">
      <c r="B8" s="173" t="s">
        <v>69</v>
      </c>
      <c r="C8" s="170" t="s">
        <v>70</v>
      </c>
      <c r="D8" s="170" t="s">
        <v>224</v>
      </c>
      <c r="E8" s="170" t="s">
        <v>71</v>
      </c>
      <c r="F8" s="170" t="s">
        <v>211</v>
      </c>
      <c r="G8" s="171" t="s">
        <v>72</v>
      </c>
      <c r="H8" s="172" t="s">
        <v>73</v>
      </c>
      <c r="I8" s="173" t="s">
        <v>74</v>
      </c>
      <c r="J8" s="243" t="s">
        <v>75</v>
      </c>
      <c r="K8" s="243" t="s">
        <v>76</v>
      </c>
      <c r="L8" s="243" t="s">
        <v>77</v>
      </c>
      <c r="M8" s="243" t="s">
        <v>78</v>
      </c>
      <c r="N8" s="243" t="s">
        <v>79</v>
      </c>
      <c r="O8" s="243" t="s">
        <v>80</v>
      </c>
      <c r="P8" s="243" t="s">
        <v>81</v>
      </c>
      <c r="Q8" s="243" t="s">
        <v>82</v>
      </c>
      <c r="R8" s="243" t="s">
        <v>83</v>
      </c>
      <c r="S8" s="243" t="s">
        <v>176</v>
      </c>
      <c r="T8" s="243" t="s">
        <v>177</v>
      </c>
      <c r="U8" s="323" t="s">
        <v>178</v>
      </c>
      <c r="V8" s="243" t="s">
        <v>179</v>
      </c>
      <c r="W8" s="243" t="s">
        <v>180</v>
      </c>
      <c r="X8" s="243" t="s">
        <v>212</v>
      </c>
      <c r="Y8" s="243" t="s">
        <v>213</v>
      </c>
      <c r="Z8" s="243" t="s">
        <v>214</v>
      </c>
      <c r="AA8" s="243" t="s">
        <v>215</v>
      </c>
      <c r="AB8" s="243" t="s">
        <v>216</v>
      </c>
      <c r="AC8" s="243" t="s">
        <v>217</v>
      </c>
      <c r="AD8" s="243" t="s">
        <v>218</v>
      </c>
      <c r="AE8" s="243" t="s">
        <v>219</v>
      </c>
      <c r="AF8" s="243" t="s">
        <v>220</v>
      </c>
      <c r="AG8" s="243" t="s">
        <v>221</v>
      </c>
    </row>
    <row r="9" spans="1:33">
      <c r="B9" s="208">
        <v>80000000</v>
      </c>
      <c r="C9" s="209">
        <v>44082</v>
      </c>
      <c r="D9" s="208"/>
      <c r="E9" s="212">
        <v>44447</v>
      </c>
      <c r="F9" s="208">
        <v>3200000</v>
      </c>
      <c r="G9" s="210">
        <v>6</v>
      </c>
      <c r="H9" s="214">
        <v>6.4000000000000001E-2</v>
      </c>
      <c r="I9" s="247">
        <f t="shared" ref="I9:I10" si="2">SUM(J9:U9)</f>
        <v>5862400</v>
      </c>
      <c r="J9" s="245" t="str">
        <f>IF(AND(MONTH('Saving Accounts'!$E9)=MONTH(J$7),YEAR('Saving Accounts'!$E9)=YEAR(J$7)),('Saving Accounts'!$B9+'Saving Accounts'!$F9)*'Saving Accounts'!$G9*'Saving Accounts'!$H9/12+'Saving Accounts'!$F9," ")</f>
        <v xml:space="preserve"> </v>
      </c>
      <c r="K9" s="245" t="str">
        <f>IF(AND(MONTH('Saving Accounts'!$E9)=MONTH(K$7),YEAR('Saving Accounts'!$E9)=YEAR(K$7)),('Saving Accounts'!$B9+'Saving Accounts'!$F9)*'Saving Accounts'!$G9*'Saving Accounts'!$H9/12+'Saving Accounts'!$F9," ")</f>
        <v xml:space="preserve"> </v>
      </c>
      <c r="L9" s="245" t="str">
        <f>IF(AND(MONTH('Saving Accounts'!$E9)=MONTH(L$7),YEAR('Saving Accounts'!$E9)=YEAR(L$7)),('Saving Accounts'!$B9+'Saving Accounts'!$F9)*'Saving Accounts'!$G9*'Saving Accounts'!$H9/12+'Saving Accounts'!$F9," ")</f>
        <v xml:space="preserve"> </v>
      </c>
      <c r="M9" s="245" t="str">
        <f>IF(AND(MONTH('Saving Accounts'!$E9)=MONTH(M$7),YEAR('Saving Accounts'!$E9)=YEAR(M$7)),('Saving Accounts'!$B9+'Saving Accounts'!$F9)*'Saving Accounts'!$G9*'Saving Accounts'!$H9/12+'Saving Accounts'!$F9," ")</f>
        <v xml:space="preserve"> </v>
      </c>
      <c r="N9" s="245" t="str">
        <f>IF(AND(MONTH('Saving Accounts'!$E9)=MONTH(N$7),YEAR('Saving Accounts'!$E9)=YEAR(N$7)),('Saving Accounts'!$B9+'Saving Accounts'!$F9)*'Saving Accounts'!$G9*'Saving Accounts'!$H9/12+'Saving Accounts'!$F9," ")</f>
        <v xml:space="preserve"> </v>
      </c>
      <c r="O9" s="245" t="str">
        <f>IF(AND(MONTH('Saving Accounts'!$E9)=MONTH(O$7),YEAR('Saving Accounts'!$E9)=YEAR(O$7)),('Saving Accounts'!$B9+'Saving Accounts'!$F9)*'Saving Accounts'!$G9*'Saving Accounts'!$H9/12+'Saving Accounts'!$F9," ")</f>
        <v xml:space="preserve"> </v>
      </c>
      <c r="P9" s="245" t="str">
        <f>IF(AND(MONTH('Saving Accounts'!$E9)=MONTH(P$7),YEAR('Saving Accounts'!$E9)=YEAR(P$7)),('Saving Accounts'!$B9+'Saving Accounts'!$F9)*'Saving Accounts'!$G9*'Saving Accounts'!$H9/12+'Saving Accounts'!$F9," ")</f>
        <v xml:space="preserve"> </v>
      </c>
      <c r="Q9" s="245" t="str">
        <f>IF(AND(MONTH('Saving Accounts'!$E9)=MONTH(Q$7),YEAR('Saving Accounts'!$E9)=YEAR(Q$7)),('Saving Accounts'!$B9+'Saving Accounts'!$F9)*'Saving Accounts'!$G9*'Saving Accounts'!$H9/12+'Saving Accounts'!$F9," ")</f>
        <v xml:space="preserve"> </v>
      </c>
      <c r="R9" s="245">
        <f>IF(AND(MONTH('Saving Accounts'!$E9)=MONTH(R$7),YEAR('Saving Accounts'!$E9)=YEAR(R$7)),('Saving Accounts'!$B9+'Saving Accounts'!$F9)*'Saving Accounts'!$G9*'Saving Accounts'!$H9/12+'Saving Accounts'!$F9," ")</f>
        <v>5862400</v>
      </c>
      <c r="S9" s="245" t="str">
        <f>IF(AND(MONTH('Saving Accounts'!$E9)=MONTH(S$7),YEAR('Saving Accounts'!$E9)=YEAR(S$7)),('Saving Accounts'!$B9+'Saving Accounts'!$F9)*'Saving Accounts'!$G9*'Saving Accounts'!$H9/12+'Saving Accounts'!$F9," ")</f>
        <v xml:space="preserve"> </v>
      </c>
      <c r="T9" s="245" t="str">
        <f>IF(AND(MONTH('Saving Accounts'!$E9)=MONTH(T$7),YEAR('Saving Accounts'!$E9)=YEAR(T$7)),('Saving Accounts'!$B9+'Saving Accounts'!$F9)*'Saving Accounts'!$G9*'Saving Accounts'!$H9/12+'Saving Accounts'!$F9," ")</f>
        <v xml:space="preserve"> </v>
      </c>
      <c r="U9" s="324" t="str">
        <f>IF(AND(MONTH('Saving Accounts'!$E9)=MONTH(U$7),YEAR('Saving Accounts'!$E9)=YEAR(U$7)),('Saving Accounts'!$B9+'Saving Accounts'!$F9)*'Saving Accounts'!$G9*'Saving Accounts'!$H9/12+'Saving Accounts'!$F9," ")</f>
        <v xml:space="preserve"> </v>
      </c>
      <c r="V9" s="245" t="str">
        <f>IF(AND(MONTH('Saving Accounts'!$E9)=MONTH(V$7),YEAR('Saving Accounts'!$E9)=YEAR(V$7)),('Saving Accounts'!$B9+'Saving Accounts'!$F9)*'Saving Accounts'!$G9*'Saving Accounts'!$H9/12+'Saving Accounts'!$F9," ")</f>
        <v xml:space="preserve"> </v>
      </c>
      <c r="W9" s="245" t="str">
        <f>IF(AND(MONTH('Saving Accounts'!$E9)=MONTH(W$7),YEAR('Saving Accounts'!$E9)=YEAR(W$7)),('Saving Accounts'!$B9+'Saving Accounts'!$F9)*'Saving Accounts'!$G9*'Saving Accounts'!$H9/12+'Saving Accounts'!$F9," ")</f>
        <v xml:space="preserve"> </v>
      </c>
      <c r="X9" s="245" t="str">
        <f>IF(AND(MONTH('Saving Accounts'!$E9)=MONTH(X$7),YEAR('Saving Accounts'!$E9)=YEAR(X$7)),('Saving Accounts'!$B9+'Saving Accounts'!$F9)*'Saving Accounts'!$G9*'Saving Accounts'!$H9/12+'Saving Accounts'!$F9," ")</f>
        <v xml:space="preserve"> </v>
      </c>
      <c r="Y9" s="245" t="str">
        <f>IF(AND(MONTH('Saving Accounts'!$E9)=MONTH(Y$7),YEAR('Saving Accounts'!$E9)=YEAR(Y$7)),('Saving Accounts'!$B9+'Saving Accounts'!$F9)*'Saving Accounts'!$G9*'Saving Accounts'!$H9/12+'Saving Accounts'!$F9," ")</f>
        <v xml:space="preserve"> </v>
      </c>
      <c r="Z9" s="245" t="str">
        <f>IF(AND(MONTH('Saving Accounts'!$E9)=MONTH(Z$7),YEAR('Saving Accounts'!$E9)=YEAR(Z$7)),('Saving Accounts'!$B9+'Saving Accounts'!$F9)*'Saving Accounts'!$G9*'Saving Accounts'!$H9/12+'Saving Accounts'!$F9," ")</f>
        <v xml:space="preserve"> </v>
      </c>
      <c r="AA9" s="245" t="str">
        <f>IF(AND(MONTH('Saving Accounts'!$E9)=MONTH(AA$7),YEAR('Saving Accounts'!$E9)=YEAR(AA$7)),('Saving Accounts'!$B9+'Saving Accounts'!$F9)*'Saving Accounts'!$G9*'Saving Accounts'!$H9/12+'Saving Accounts'!$F9," ")</f>
        <v xml:space="preserve"> </v>
      </c>
      <c r="AB9" s="245" t="str">
        <f>IF(AND(MONTH('Saving Accounts'!$E9)=MONTH(AB$7),YEAR('Saving Accounts'!$E9)=YEAR(AB$7)),('Saving Accounts'!$B9+'Saving Accounts'!$F9)*'Saving Accounts'!$G9*'Saving Accounts'!$H9/12+'Saving Accounts'!$F9," ")</f>
        <v xml:space="preserve"> </v>
      </c>
      <c r="AC9" s="245" t="str">
        <f>IF(AND(MONTH('Saving Accounts'!$E9)=MONTH(AC$7),YEAR('Saving Accounts'!$E9)=YEAR(AC$7)),('Saving Accounts'!$B9+'Saving Accounts'!$F9)*'Saving Accounts'!$G9*'Saving Accounts'!$H9/12+'Saving Accounts'!$F9," ")</f>
        <v xml:space="preserve"> </v>
      </c>
      <c r="AD9" s="245" t="str">
        <f>IF(AND(MONTH('Saving Accounts'!$E9)=MONTH(AD$7),YEAR('Saving Accounts'!$E9)=YEAR(AD$7)),('Saving Accounts'!$B9+'Saving Accounts'!$F9)*'Saving Accounts'!$G9*'Saving Accounts'!$H9/12+'Saving Accounts'!$F9," ")</f>
        <v xml:space="preserve"> </v>
      </c>
      <c r="AE9" s="245" t="str">
        <f>IF(AND(MONTH('Saving Accounts'!$E9)=MONTH(AE$7),YEAR('Saving Accounts'!$E9)=YEAR(AE$7)),('Saving Accounts'!$B9+'Saving Accounts'!$F9)*'Saving Accounts'!$G9*'Saving Accounts'!$H9/12+'Saving Accounts'!$F9," ")</f>
        <v xml:space="preserve"> </v>
      </c>
      <c r="AF9" s="245" t="str">
        <f>IF(AND(MONTH('Saving Accounts'!$E9)=MONTH(AF$7),YEAR('Saving Accounts'!$E9)=YEAR(AF$7)),('Saving Accounts'!$B9+'Saving Accounts'!$F9)*'Saving Accounts'!$G9*'Saving Accounts'!$H9/12+'Saving Accounts'!$F9," ")</f>
        <v xml:space="preserve"> </v>
      </c>
      <c r="AG9" s="245" t="str">
        <f>IF(AND(MONTH('Saving Accounts'!$E9)=MONTH(AG$7),YEAR('Saving Accounts'!$E9)=YEAR(AG$7)),('Saving Accounts'!$B9+'Saving Accounts'!$F9)*'Saving Accounts'!$G9*'Saving Accounts'!$H9/12+'Saving Accounts'!$F9," ")</f>
        <v xml:space="preserve"> </v>
      </c>
    </row>
    <row r="10" spans="1:33">
      <c r="B10" s="211">
        <v>20000000</v>
      </c>
      <c r="C10" s="212">
        <v>44028</v>
      </c>
      <c r="D10" s="211">
        <f>Saving_account[[#This Row],[Column1]]</f>
        <v>20000000</v>
      </c>
      <c r="E10" s="212">
        <v>44212</v>
      </c>
      <c r="F10" s="211">
        <v>1760000</v>
      </c>
      <c r="G10" s="213">
        <v>6</v>
      </c>
      <c r="H10" s="214">
        <v>6.4000000000000001E-2</v>
      </c>
      <c r="I10" s="248">
        <f t="shared" si="2"/>
        <v>2456320</v>
      </c>
      <c r="J10" s="246">
        <f>IF(AND(MONTH('Saving Accounts'!$E10)=MONTH(J$7),YEAR('Saving Accounts'!$E10)=YEAR(J$7)),('Saving Accounts'!$B10+'Saving Accounts'!$F10)*'Saving Accounts'!$G10*'Saving Accounts'!$H10/12+'Saving Accounts'!$F10," ")</f>
        <v>2456320</v>
      </c>
      <c r="K10" s="246" t="str">
        <f>IF(AND(MONTH('Saving Accounts'!$E10)=MONTH(K$7),YEAR('Saving Accounts'!$E10)=YEAR(K$7)),('Saving Accounts'!$B10+'Saving Accounts'!$F10)*'Saving Accounts'!$G10*'Saving Accounts'!$H10/12+'Saving Accounts'!$F10," ")</f>
        <v xml:space="preserve"> </v>
      </c>
      <c r="L10" s="246" t="str">
        <f>IF(AND(MONTH('Saving Accounts'!$E10)=MONTH(L$7),YEAR('Saving Accounts'!$E10)=YEAR(L$7)),('Saving Accounts'!$B10+'Saving Accounts'!$F10)*'Saving Accounts'!$G10*'Saving Accounts'!$H10/12+'Saving Accounts'!$F10," ")</f>
        <v xml:space="preserve"> </v>
      </c>
      <c r="M10" s="246" t="str">
        <f>IF(AND(MONTH('Saving Accounts'!$E10)=MONTH(M$7),YEAR('Saving Accounts'!$E10)=YEAR(M$7)),('Saving Accounts'!$B10+'Saving Accounts'!$F10)*'Saving Accounts'!$G10*'Saving Accounts'!$H10/12+'Saving Accounts'!$F10," ")</f>
        <v xml:space="preserve"> </v>
      </c>
      <c r="N10" s="246" t="str">
        <f>IF(AND(MONTH('Saving Accounts'!$E10)=MONTH(N$7),YEAR('Saving Accounts'!$E10)=YEAR(N$7)),('Saving Accounts'!$B10+'Saving Accounts'!$F10)*'Saving Accounts'!$G10*'Saving Accounts'!$H10/12+'Saving Accounts'!$F10," ")</f>
        <v xml:space="preserve"> </v>
      </c>
      <c r="O10" s="246" t="str">
        <f>IF(AND(MONTH('Saving Accounts'!$E10)=MONTH(O$7),YEAR('Saving Accounts'!$E10)=YEAR(O$7)),('Saving Accounts'!$B10+'Saving Accounts'!$F10)*'Saving Accounts'!$G10*'Saving Accounts'!$H10/12+'Saving Accounts'!$F10," ")</f>
        <v xml:space="preserve"> </v>
      </c>
      <c r="P10" s="246" t="str">
        <f>IF(AND(MONTH('Saving Accounts'!$E10)=MONTH(P$7),YEAR('Saving Accounts'!$E10)=YEAR(P$7)),('Saving Accounts'!$B10+'Saving Accounts'!$F10)*'Saving Accounts'!$G10*'Saving Accounts'!$H10/12+'Saving Accounts'!$F10," ")</f>
        <v xml:space="preserve"> </v>
      </c>
      <c r="Q10" s="246" t="str">
        <f>IF(AND(MONTH('Saving Accounts'!$E10)=MONTH(Q$7),YEAR('Saving Accounts'!$E10)=YEAR(Q$7)),('Saving Accounts'!$B10+'Saving Accounts'!$F10)*'Saving Accounts'!$G10*'Saving Accounts'!$H10/12+'Saving Accounts'!$F10," ")</f>
        <v xml:space="preserve"> </v>
      </c>
      <c r="R10" s="246" t="str">
        <f>IF(AND(MONTH('Saving Accounts'!$E10)=MONTH(R$7),YEAR('Saving Accounts'!$E10)=YEAR(R$7)),('Saving Accounts'!$B10+'Saving Accounts'!$F10)*'Saving Accounts'!$G10*'Saving Accounts'!$H10/12+'Saving Accounts'!$F10," ")</f>
        <v xml:space="preserve"> </v>
      </c>
      <c r="S10" s="246" t="str">
        <f>IF(AND(MONTH('Saving Accounts'!$E10)=MONTH(S$7),YEAR('Saving Accounts'!$E10)=YEAR(S$7)),('Saving Accounts'!$B10+'Saving Accounts'!$F10)*'Saving Accounts'!$G10*'Saving Accounts'!$H10/12+'Saving Accounts'!$F10," ")</f>
        <v xml:space="preserve"> </v>
      </c>
      <c r="T10" s="246" t="str">
        <f>IF(AND(MONTH('Saving Accounts'!$E10)=MONTH(T$7),YEAR('Saving Accounts'!$E10)=YEAR(T$7)),('Saving Accounts'!$B10+'Saving Accounts'!$F10)*'Saving Accounts'!$G10*'Saving Accounts'!$H10/12+'Saving Accounts'!$F10," ")</f>
        <v xml:space="preserve"> </v>
      </c>
      <c r="U10" s="325" t="str">
        <f>IF(AND(MONTH('Saving Accounts'!$E10)=MONTH(U$7),YEAR('Saving Accounts'!$E10)=YEAR(U$7)),('Saving Accounts'!$B10+'Saving Accounts'!$F10)*'Saving Accounts'!$G10*'Saving Accounts'!$H10/12+'Saving Accounts'!$F10," ")</f>
        <v xml:space="preserve"> </v>
      </c>
      <c r="V10" s="246" t="str">
        <f>IF(AND(MONTH('Saving Accounts'!$E10)=MONTH(V$7),YEAR('Saving Accounts'!$E10)=YEAR(V$7)),('Saving Accounts'!$B10+'Saving Accounts'!$F10)*'Saving Accounts'!$G10*'Saving Accounts'!$H10/12+'Saving Accounts'!$F10," ")</f>
        <v xml:space="preserve"> </v>
      </c>
      <c r="W10" s="246" t="str">
        <f>IF(AND(MONTH('Saving Accounts'!$E10)=MONTH(W$7),YEAR('Saving Accounts'!$E10)=YEAR(W$7)),('Saving Accounts'!$B10+'Saving Accounts'!$F10)*'Saving Accounts'!$G10*'Saving Accounts'!$H10/12+'Saving Accounts'!$F10," ")</f>
        <v xml:space="preserve"> </v>
      </c>
      <c r="X10" s="246" t="str">
        <f>IF(AND(MONTH('Saving Accounts'!$E10)=MONTH(X$7),YEAR('Saving Accounts'!$E10)=YEAR(X$7)),('Saving Accounts'!$B10+'Saving Accounts'!$F10)*'Saving Accounts'!$G10*'Saving Accounts'!$H10/12+'Saving Accounts'!$F10," ")</f>
        <v xml:space="preserve"> </v>
      </c>
      <c r="Y10" s="246" t="str">
        <f>IF(AND(MONTH('Saving Accounts'!$E10)=MONTH(Y$7),YEAR('Saving Accounts'!$E10)=YEAR(Y$7)),('Saving Accounts'!$B10+'Saving Accounts'!$F10)*'Saving Accounts'!$G10*'Saving Accounts'!$H10/12+'Saving Accounts'!$F10," ")</f>
        <v xml:space="preserve"> </v>
      </c>
      <c r="Z10" s="246" t="str">
        <f>IF(AND(MONTH('Saving Accounts'!$E10)=MONTH(Z$7),YEAR('Saving Accounts'!$E10)=YEAR(Z$7)),('Saving Accounts'!$B10+'Saving Accounts'!$F10)*'Saving Accounts'!$G10*'Saving Accounts'!$H10/12+'Saving Accounts'!$F10," ")</f>
        <v xml:space="preserve"> </v>
      </c>
      <c r="AA10" s="246" t="str">
        <f>IF(AND(MONTH('Saving Accounts'!$E10)=MONTH(AA$7),YEAR('Saving Accounts'!$E10)=YEAR(AA$7)),('Saving Accounts'!$B10+'Saving Accounts'!$F10)*'Saving Accounts'!$G10*'Saving Accounts'!$H10/12+'Saving Accounts'!$F10," ")</f>
        <v xml:space="preserve"> </v>
      </c>
      <c r="AB10" s="246" t="str">
        <f>IF(AND(MONTH('Saving Accounts'!$E10)=MONTH(AB$7),YEAR('Saving Accounts'!$E10)=YEAR(AB$7)),('Saving Accounts'!$B10+'Saving Accounts'!$F10)*'Saving Accounts'!$G10*'Saving Accounts'!$H10/12+'Saving Accounts'!$F10," ")</f>
        <v xml:space="preserve"> </v>
      </c>
      <c r="AC10" s="246" t="str">
        <f>IF(AND(MONTH('Saving Accounts'!$E10)=MONTH(AC$7),YEAR('Saving Accounts'!$E10)=YEAR(AC$7)),('Saving Accounts'!$B10+'Saving Accounts'!$F10)*'Saving Accounts'!$G10*'Saving Accounts'!$H10/12+'Saving Accounts'!$F10," ")</f>
        <v xml:space="preserve"> </v>
      </c>
      <c r="AD10" s="246" t="str">
        <f>IF(AND(MONTH('Saving Accounts'!$E10)=MONTH(AD$7),YEAR('Saving Accounts'!$E10)=YEAR(AD$7)),('Saving Accounts'!$B10+'Saving Accounts'!$F10)*'Saving Accounts'!$G10*'Saving Accounts'!$H10/12+'Saving Accounts'!$F10," ")</f>
        <v xml:space="preserve"> </v>
      </c>
      <c r="AE10" s="246" t="str">
        <f>IF(AND(MONTH('Saving Accounts'!$E10)=MONTH(AE$7),YEAR('Saving Accounts'!$E10)=YEAR(AE$7)),('Saving Accounts'!$B10+'Saving Accounts'!$F10)*'Saving Accounts'!$G10*'Saving Accounts'!$H10/12+'Saving Accounts'!$F10," ")</f>
        <v xml:space="preserve"> </v>
      </c>
      <c r="AF10" s="246" t="str">
        <f>IF(AND(MONTH('Saving Accounts'!$E10)=MONTH(AF$7),YEAR('Saving Accounts'!$E10)=YEAR(AF$7)),('Saving Accounts'!$B10+'Saving Accounts'!$F10)*'Saving Accounts'!$G10*'Saving Accounts'!$H10/12+'Saving Accounts'!$F10," ")</f>
        <v xml:space="preserve"> </v>
      </c>
      <c r="AG10" s="246" t="str">
        <f>IF(AND(MONTH('Saving Accounts'!$E10)=MONTH(AG$7),YEAR('Saving Accounts'!$E10)=YEAR(AG$7)),('Saving Accounts'!$B10+'Saving Accounts'!$F10)*'Saving Accounts'!$G10*'Saving Accounts'!$H10/12+'Saving Accounts'!$F10," ")</f>
        <v xml:space="preserve"> </v>
      </c>
    </row>
    <row r="11" spans="1:33">
      <c r="B11" s="211"/>
      <c r="C11" s="212"/>
      <c r="D11" s="211"/>
      <c r="E11" s="212"/>
      <c r="F11" s="211"/>
      <c r="G11" s="213"/>
      <c r="H11" s="214"/>
      <c r="I11" s="248">
        <f t="shared" ref="I11:I12" si="3">SUM(J11:U11)</f>
        <v>0</v>
      </c>
      <c r="J11" s="246" t="str">
        <f>IF(AND(MONTH('Saving Accounts'!$E11)=MONTH(J$7),YEAR('Saving Accounts'!$E11)=YEAR(J$7)),('Saving Accounts'!$B11+'Saving Accounts'!$F11)*'Saving Accounts'!$G11*'Saving Accounts'!$H11/12+'Saving Accounts'!$F11," ")</f>
        <v xml:space="preserve"> </v>
      </c>
      <c r="K11" s="246" t="str">
        <f>IF(AND(MONTH('Saving Accounts'!$E11)=MONTH(K$7),YEAR('Saving Accounts'!$E11)=YEAR(K$7)),('Saving Accounts'!$B11+'Saving Accounts'!$F11)*'Saving Accounts'!$G11*'Saving Accounts'!$H11/12+'Saving Accounts'!$F11," ")</f>
        <v xml:space="preserve"> </v>
      </c>
      <c r="L11" s="246" t="str">
        <f>IF(AND(MONTH('Saving Accounts'!$E11)=MONTH(L$7),YEAR('Saving Accounts'!$E11)=YEAR(L$7)),('Saving Accounts'!$B11+'Saving Accounts'!$F11)*'Saving Accounts'!$G11*'Saving Accounts'!$H11/12+'Saving Accounts'!$F11," ")</f>
        <v xml:space="preserve"> </v>
      </c>
      <c r="M11" s="246" t="str">
        <f>IF(AND(MONTH('Saving Accounts'!$E11)=MONTH(M$7),YEAR('Saving Accounts'!$E11)=YEAR(M$7)),('Saving Accounts'!$B11+'Saving Accounts'!$F11)*'Saving Accounts'!$G11*'Saving Accounts'!$H11/12+'Saving Accounts'!$F11," ")</f>
        <v xml:space="preserve"> </v>
      </c>
      <c r="N11" s="246" t="str">
        <f>IF(AND(MONTH('Saving Accounts'!$E11)=MONTH(N$7),YEAR('Saving Accounts'!$E11)=YEAR(N$7)),('Saving Accounts'!$B11+'Saving Accounts'!$F11)*'Saving Accounts'!$G11*'Saving Accounts'!$H11/12+'Saving Accounts'!$F11," ")</f>
        <v xml:space="preserve"> </v>
      </c>
      <c r="O11" s="246" t="str">
        <f>IF(AND(MONTH('Saving Accounts'!$E11)=MONTH(O$7),YEAR('Saving Accounts'!$E11)=YEAR(O$7)),('Saving Accounts'!$B11+'Saving Accounts'!$F11)*'Saving Accounts'!$G11*'Saving Accounts'!$H11/12+'Saving Accounts'!$F11," ")</f>
        <v xml:space="preserve"> </v>
      </c>
      <c r="P11" s="246" t="str">
        <f>IF(AND(MONTH('Saving Accounts'!$E11)=MONTH(P$7),YEAR('Saving Accounts'!$E11)=YEAR(P$7)),('Saving Accounts'!$B11+'Saving Accounts'!$F11)*'Saving Accounts'!$G11*'Saving Accounts'!$H11/12+'Saving Accounts'!$F11," ")</f>
        <v xml:space="preserve"> </v>
      </c>
      <c r="Q11" s="246" t="str">
        <f>IF(AND(MONTH('Saving Accounts'!$E11)=MONTH(Q$7),YEAR('Saving Accounts'!$E11)=YEAR(Q$7)),('Saving Accounts'!$B11+'Saving Accounts'!$F11)*'Saving Accounts'!$G11*'Saving Accounts'!$H11/12+'Saving Accounts'!$F11," ")</f>
        <v xml:space="preserve"> </v>
      </c>
      <c r="R11" s="246" t="str">
        <f>IF(AND(MONTH('Saving Accounts'!$E11)=MONTH(R$7),YEAR('Saving Accounts'!$E11)=YEAR(R$7)),('Saving Accounts'!$B11+'Saving Accounts'!$F11)*'Saving Accounts'!$G11*'Saving Accounts'!$H11/12+'Saving Accounts'!$F11," ")</f>
        <v xml:space="preserve"> </v>
      </c>
      <c r="S11" s="246" t="str">
        <f>IF(AND(MONTH('Saving Accounts'!$E11)=MONTH(S$7),YEAR('Saving Accounts'!$E11)=YEAR(S$7)),('Saving Accounts'!$B11+'Saving Accounts'!$F11)*'Saving Accounts'!$G11*'Saving Accounts'!$H11/12+'Saving Accounts'!$F11," ")</f>
        <v xml:space="preserve"> </v>
      </c>
      <c r="T11" s="246" t="str">
        <f>IF(AND(MONTH('Saving Accounts'!$E11)=MONTH(T$7),YEAR('Saving Accounts'!$E11)=YEAR(T$7)),('Saving Accounts'!$B11+'Saving Accounts'!$F11)*'Saving Accounts'!$G11*'Saving Accounts'!$H11/12+'Saving Accounts'!$F11," ")</f>
        <v xml:space="preserve"> </v>
      </c>
      <c r="U11" s="325" t="str">
        <f>IF(AND(MONTH('Saving Accounts'!$E11)=MONTH(U$7),YEAR('Saving Accounts'!$E11)=YEAR(U$7)),('Saving Accounts'!$B11+'Saving Accounts'!$F11)*'Saving Accounts'!$G11*'Saving Accounts'!$H11/12+'Saving Accounts'!$F11," ")</f>
        <v xml:space="preserve"> </v>
      </c>
      <c r="V11" s="246" t="str">
        <f>IF(AND(MONTH('Saving Accounts'!$E11)=MONTH(V$7),YEAR('Saving Accounts'!$E11)=YEAR(V$7)),('Saving Accounts'!$B11+'Saving Accounts'!$F11)*'Saving Accounts'!$G11*'Saving Accounts'!$H11/12+'Saving Accounts'!$F11," ")</f>
        <v xml:space="preserve"> </v>
      </c>
      <c r="W11" s="246" t="str">
        <f>IF(AND(MONTH('Saving Accounts'!$E11)=MONTH(W$7),YEAR('Saving Accounts'!$E11)=YEAR(W$7)),('Saving Accounts'!$B11+'Saving Accounts'!$F11)*'Saving Accounts'!$G11*'Saving Accounts'!$H11/12+'Saving Accounts'!$F11," ")</f>
        <v xml:space="preserve"> </v>
      </c>
      <c r="X11" s="246" t="str">
        <f>IF(AND(MONTH('Saving Accounts'!$E11)=MONTH(X$7),YEAR('Saving Accounts'!$E11)=YEAR(X$7)),('Saving Accounts'!$B11+'Saving Accounts'!$F11)*'Saving Accounts'!$G11*'Saving Accounts'!$H11/12+'Saving Accounts'!$F11," ")</f>
        <v xml:space="preserve"> </v>
      </c>
      <c r="Y11" s="246" t="str">
        <f>IF(AND(MONTH('Saving Accounts'!$E11)=MONTH(Y$7),YEAR('Saving Accounts'!$E11)=YEAR(Y$7)),('Saving Accounts'!$B11+'Saving Accounts'!$F11)*'Saving Accounts'!$G11*'Saving Accounts'!$H11/12+'Saving Accounts'!$F11," ")</f>
        <v xml:space="preserve"> </v>
      </c>
      <c r="Z11" s="246" t="str">
        <f>IF(AND(MONTH('Saving Accounts'!$E11)=MONTH(Z$7),YEAR('Saving Accounts'!$E11)=YEAR(Z$7)),('Saving Accounts'!$B11+'Saving Accounts'!$F11)*'Saving Accounts'!$G11*'Saving Accounts'!$H11/12+'Saving Accounts'!$F11," ")</f>
        <v xml:space="preserve"> </v>
      </c>
      <c r="AA11" s="246" t="str">
        <f>IF(AND(MONTH('Saving Accounts'!$E11)=MONTH(AA$7),YEAR('Saving Accounts'!$E11)=YEAR(AA$7)),('Saving Accounts'!$B11+'Saving Accounts'!$F11)*'Saving Accounts'!$G11*'Saving Accounts'!$H11/12+'Saving Accounts'!$F11," ")</f>
        <v xml:space="preserve"> </v>
      </c>
      <c r="AB11" s="246" t="str">
        <f>IF(AND(MONTH('Saving Accounts'!$E11)=MONTH(AB$7),YEAR('Saving Accounts'!$E11)=YEAR(AB$7)),('Saving Accounts'!$B11+'Saving Accounts'!$F11)*'Saving Accounts'!$G11*'Saving Accounts'!$H11/12+'Saving Accounts'!$F11," ")</f>
        <v xml:space="preserve"> </v>
      </c>
      <c r="AC11" s="246" t="str">
        <f>IF(AND(MONTH('Saving Accounts'!$E11)=MONTH(AC$7),YEAR('Saving Accounts'!$E11)=YEAR(AC$7)),('Saving Accounts'!$B11+'Saving Accounts'!$F11)*'Saving Accounts'!$G11*'Saving Accounts'!$H11/12+'Saving Accounts'!$F11," ")</f>
        <v xml:space="preserve"> </v>
      </c>
      <c r="AD11" s="246" t="str">
        <f>IF(AND(MONTH('Saving Accounts'!$E11)=MONTH(AD$7),YEAR('Saving Accounts'!$E11)=YEAR(AD$7)),('Saving Accounts'!$B11+'Saving Accounts'!$F11)*'Saving Accounts'!$G11*'Saving Accounts'!$H11/12+'Saving Accounts'!$F11," ")</f>
        <v xml:space="preserve"> </v>
      </c>
      <c r="AE11" s="246" t="str">
        <f>IF(AND(MONTH('Saving Accounts'!$E11)=MONTH(AE$7),YEAR('Saving Accounts'!$E11)=YEAR(AE$7)),('Saving Accounts'!$B11+'Saving Accounts'!$F11)*'Saving Accounts'!$G11*'Saving Accounts'!$H11/12+'Saving Accounts'!$F11," ")</f>
        <v xml:space="preserve"> </v>
      </c>
      <c r="AF11" s="246" t="str">
        <f>IF(AND(MONTH('Saving Accounts'!$E11)=MONTH(AF$7),YEAR('Saving Accounts'!$E11)=YEAR(AF$7)),('Saving Accounts'!$B11+'Saving Accounts'!$F11)*'Saving Accounts'!$G11*'Saving Accounts'!$H11/12+'Saving Accounts'!$F11," ")</f>
        <v xml:space="preserve"> </v>
      </c>
      <c r="AG11" s="246" t="str">
        <f>IF(AND(MONTH('Saving Accounts'!$E11)=MONTH(AG$7),YEAR('Saving Accounts'!$E11)=YEAR(AG$7)),('Saving Accounts'!$B11+'Saving Accounts'!$F11)*'Saving Accounts'!$G11*'Saving Accounts'!$H11/12+'Saving Accounts'!$F11," ")</f>
        <v xml:space="preserve"> </v>
      </c>
    </row>
    <row r="12" spans="1:33" ht="15" thickBot="1">
      <c r="B12" s="211"/>
      <c r="C12" s="212"/>
      <c r="D12" s="211"/>
      <c r="E12" s="212"/>
      <c r="F12" s="211"/>
      <c r="G12" s="213"/>
      <c r="H12" s="214"/>
      <c r="I12" s="248">
        <f t="shared" si="3"/>
        <v>0</v>
      </c>
      <c r="J12" s="246" t="str">
        <f>IF(AND(MONTH('Saving Accounts'!$E12)=MONTH(J$7),YEAR('Saving Accounts'!$E12)=YEAR(J$7)),('Saving Accounts'!$B12+'Saving Accounts'!$F12)*'Saving Accounts'!$G12*'Saving Accounts'!$H12/12+'Saving Accounts'!$F12," ")</f>
        <v xml:space="preserve"> </v>
      </c>
      <c r="K12" s="246" t="str">
        <f>IF(AND(MONTH('Saving Accounts'!$E12)=MONTH(K$7),YEAR('Saving Accounts'!$E12)=YEAR(K$7)),('Saving Accounts'!$B12+'Saving Accounts'!$F12)*'Saving Accounts'!$G12*'Saving Accounts'!$H12/12+'Saving Accounts'!$F12," ")</f>
        <v xml:space="preserve"> </v>
      </c>
      <c r="L12" s="246" t="str">
        <f>IF(AND(MONTH('Saving Accounts'!$E12)=MONTH(L$7),YEAR('Saving Accounts'!$E12)=YEAR(L$7)),('Saving Accounts'!$B12+'Saving Accounts'!$F12)*'Saving Accounts'!$G12*'Saving Accounts'!$H12/12+'Saving Accounts'!$F12," ")</f>
        <v xml:space="preserve"> </v>
      </c>
      <c r="M12" s="246" t="str">
        <f>IF(AND(MONTH('Saving Accounts'!$E12)=MONTH(M$7),YEAR('Saving Accounts'!$E12)=YEAR(M$7)),('Saving Accounts'!$B12+'Saving Accounts'!$F12)*'Saving Accounts'!$G12*'Saving Accounts'!$H12/12+'Saving Accounts'!$F12," ")</f>
        <v xml:space="preserve"> </v>
      </c>
      <c r="N12" s="246" t="str">
        <f>IF(AND(MONTH('Saving Accounts'!$E12)=MONTH(N$7),YEAR('Saving Accounts'!$E12)=YEAR(N$7)),('Saving Accounts'!$B12+'Saving Accounts'!$F12)*'Saving Accounts'!$G12*'Saving Accounts'!$H12/12+'Saving Accounts'!$F12," ")</f>
        <v xml:space="preserve"> </v>
      </c>
      <c r="O12" s="246" t="str">
        <f>IF(AND(MONTH('Saving Accounts'!$E12)=MONTH(O$7),YEAR('Saving Accounts'!$E12)=YEAR(O$7)),('Saving Accounts'!$B12+'Saving Accounts'!$F12)*'Saving Accounts'!$G12*'Saving Accounts'!$H12/12+'Saving Accounts'!$F12," ")</f>
        <v xml:space="preserve"> </v>
      </c>
      <c r="P12" s="246" t="str">
        <f>IF(AND(MONTH('Saving Accounts'!$E12)=MONTH(P$7),YEAR('Saving Accounts'!$E12)=YEAR(P$7)),('Saving Accounts'!$B12+'Saving Accounts'!$F12)*'Saving Accounts'!$G12*'Saving Accounts'!$H12/12+'Saving Accounts'!$F12," ")</f>
        <v xml:space="preserve"> </v>
      </c>
      <c r="Q12" s="246" t="str">
        <f>IF(AND(MONTH('Saving Accounts'!$E12)=MONTH(Q$7),YEAR('Saving Accounts'!$E12)=YEAR(Q$7)),('Saving Accounts'!$B12+'Saving Accounts'!$F12)*'Saving Accounts'!$G12*'Saving Accounts'!$H12/12+'Saving Accounts'!$F12," ")</f>
        <v xml:space="preserve"> </v>
      </c>
      <c r="R12" s="246" t="str">
        <f>IF(AND(MONTH('Saving Accounts'!$E12)=MONTH(R$7),YEAR('Saving Accounts'!$E12)=YEAR(R$7)),('Saving Accounts'!$B12+'Saving Accounts'!$F12)*'Saving Accounts'!$G12*'Saving Accounts'!$H12/12+'Saving Accounts'!$F12," ")</f>
        <v xml:space="preserve"> </v>
      </c>
      <c r="S12" s="246" t="str">
        <f>IF(AND(MONTH('Saving Accounts'!$E12)=MONTH(S$7),YEAR('Saving Accounts'!$E12)=YEAR(S$7)),('Saving Accounts'!$B12+'Saving Accounts'!$F12)*'Saving Accounts'!$G12*'Saving Accounts'!$H12/12+'Saving Accounts'!$F12," ")</f>
        <v xml:space="preserve"> </v>
      </c>
      <c r="T12" s="246" t="str">
        <f>IF(AND(MONTH('Saving Accounts'!$E12)=MONTH(T$7),YEAR('Saving Accounts'!$E12)=YEAR(T$7)),('Saving Accounts'!$B12+'Saving Accounts'!$F12)*'Saving Accounts'!$G12*'Saving Accounts'!$H12/12+'Saving Accounts'!$F12," ")</f>
        <v xml:space="preserve"> </v>
      </c>
      <c r="U12" s="325" t="str">
        <f>IF(AND(MONTH('Saving Accounts'!$E12)=MONTH(U$7),YEAR('Saving Accounts'!$E12)=YEAR(U$7)),('Saving Accounts'!$B12+'Saving Accounts'!$F12)*'Saving Accounts'!$G12*'Saving Accounts'!$H12/12+'Saving Accounts'!$F12," ")</f>
        <v xml:space="preserve"> </v>
      </c>
      <c r="V12" s="246" t="str">
        <f>IF(AND(MONTH('Saving Accounts'!$E12)=MONTH(V$7),YEAR('Saving Accounts'!$E12)=YEAR(V$7)),('Saving Accounts'!$B12+'Saving Accounts'!$F12)*'Saving Accounts'!$G12*'Saving Accounts'!$H12/12+'Saving Accounts'!$F12," ")</f>
        <v xml:space="preserve"> </v>
      </c>
      <c r="W12" s="246" t="str">
        <f>IF(AND(MONTH('Saving Accounts'!$E12)=MONTH(W$7),YEAR('Saving Accounts'!$E12)=YEAR(W$7)),('Saving Accounts'!$B12+'Saving Accounts'!$F12)*'Saving Accounts'!$G12*'Saving Accounts'!$H12/12+'Saving Accounts'!$F12," ")</f>
        <v xml:space="preserve"> </v>
      </c>
      <c r="X12" s="246" t="str">
        <f>IF(AND(MONTH('Saving Accounts'!$E12)=MONTH(X$7),YEAR('Saving Accounts'!$E12)=YEAR(X$7)),('Saving Accounts'!$B12+'Saving Accounts'!$F12)*'Saving Accounts'!$G12*'Saving Accounts'!$H12/12+'Saving Accounts'!$F12," ")</f>
        <v xml:space="preserve"> </v>
      </c>
      <c r="Y12" s="246" t="str">
        <f>IF(AND(MONTH('Saving Accounts'!$E12)=MONTH(Y$7),YEAR('Saving Accounts'!$E12)=YEAR(Y$7)),('Saving Accounts'!$B12+'Saving Accounts'!$F12)*'Saving Accounts'!$G12*'Saving Accounts'!$H12/12+'Saving Accounts'!$F12," ")</f>
        <v xml:space="preserve"> </v>
      </c>
      <c r="Z12" s="246" t="str">
        <f>IF(AND(MONTH('Saving Accounts'!$E12)=MONTH(Z$7),YEAR('Saving Accounts'!$E12)=YEAR(Z$7)),('Saving Accounts'!$B12+'Saving Accounts'!$F12)*'Saving Accounts'!$G12*'Saving Accounts'!$H12/12+'Saving Accounts'!$F12," ")</f>
        <v xml:space="preserve"> </v>
      </c>
      <c r="AA12" s="246" t="str">
        <f>IF(AND(MONTH('Saving Accounts'!$E12)=MONTH(AA$7),YEAR('Saving Accounts'!$E12)=YEAR(AA$7)),('Saving Accounts'!$B12+'Saving Accounts'!$F12)*'Saving Accounts'!$G12*'Saving Accounts'!$H12/12+'Saving Accounts'!$F12," ")</f>
        <v xml:space="preserve"> </v>
      </c>
      <c r="AB12" s="246" t="str">
        <f>IF(AND(MONTH('Saving Accounts'!$E12)=MONTH(AB$7),YEAR('Saving Accounts'!$E12)=YEAR(AB$7)),('Saving Accounts'!$B12+'Saving Accounts'!$F12)*'Saving Accounts'!$G12*'Saving Accounts'!$H12/12+'Saving Accounts'!$F12," ")</f>
        <v xml:space="preserve"> </v>
      </c>
      <c r="AC12" s="246" t="str">
        <f>IF(AND(MONTH('Saving Accounts'!$E12)=MONTH(AC$7),YEAR('Saving Accounts'!$E12)=YEAR(AC$7)),('Saving Accounts'!$B12+'Saving Accounts'!$F12)*'Saving Accounts'!$G12*'Saving Accounts'!$H12/12+'Saving Accounts'!$F12," ")</f>
        <v xml:space="preserve"> </v>
      </c>
      <c r="AD12" s="246" t="str">
        <f>IF(AND(MONTH('Saving Accounts'!$E12)=MONTH(AD$7),YEAR('Saving Accounts'!$E12)=YEAR(AD$7)),('Saving Accounts'!$B12+'Saving Accounts'!$F12)*'Saving Accounts'!$G12*'Saving Accounts'!$H12/12+'Saving Accounts'!$F12," ")</f>
        <v xml:space="preserve"> </v>
      </c>
      <c r="AE12" s="246" t="str">
        <f>IF(AND(MONTH('Saving Accounts'!$E12)=MONTH(AE$7),YEAR('Saving Accounts'!$E12)=YEAR(AE$7)),('Saving Accounts'!$B12+'Saving Accounts'!$F12)*'Saving Accounts'!$G12*'Saving Accounts'!$H12/12+'Saving Accounts'!$F12," ")</f>
        <v xml:space="preserve"> </v>
      </c>
      <c r="AF12" s="246" t="str">
        <f>IF(AND(MONTH('Saving Accounts'!$E12)=MONTH(AF$7),YEAR('Saving Accounts'!$E12)=YEAR(AF$7)),('Saving Accounts'!$B12+'Saving Accounts'!$F12)*'Saving Accounts'!$G12*'Saving Accounts'!$H12/12+'Saving Accounts'!$F12," ")</f>
        <v xml:space="preserve"> </v>
      </c>
      <c r="AG12" s="246" t="str">
        <f>IF(AND(MONTH('Saving Accounts'!$E12)=MONTH(AG$7),YEAR('Saving Accounts'!$E12)=YEAR(AG$7)),('Saving Accounts'!$B12+'Saving Accounts'!$F12)*'Saving Accounts'!$G12*'Saving Accounts'!$H12/12+'Saving Accounts'!$F12," ")</f>
        <v xml:space="preserve"> </v>
      </c>
    </row>
    <row r="13" spans="1:33" ht="15">
      <c r="B13" s="249">
        <f>SUM(B9:B12)</f>
        <v>100000000</v>
      </c>
      <c r="C13" s="330"/>
      <c r="D13" s="249">
        <f>SUM(D9:D12)</f>
        <v>20000000</v>
      </c>
      <c r="E13" s="330"/>
      <c r="F13" s="330"/>
      <c r="G13" s="250"/>
      <c r="H13" s="250"/>
      <c r="I13" s="250">
        <f t="shared" ref="I13:AG13" si="4">SUM(I9:I12)</f>
        <v>8318720</v>
      </c>
      <c r="J13" s="317">
        <f t="shared" si="4"/>
        <v>2456320</v>
      </c>
      <c r="K13" s="317">
        <f t="shared" si="4"/>
        <v>0</v>
      </c>
      <c r="L13" s="317">
        <f t="shared" si="4"/>
        <v>0</v>
      </c>
      <c r="M13" s="317">
        <f t="shared" si="4"/>
        <v>0</v>
      </c>
      <c r="N13" s="317">
        <f t="shared" si="4"/>
        <v>0</v>
      </c>
      <c r="O13" s="317">
        <f t="shared" si="4"/>
        <v>0</v>
      </c>
      <c r="P13" s="317">
        <f t="shared" si="4"/>
        <v>0</v>
      </c>
      <c r="Q13" s="317">
        <f t="shared" si="4"/>
        <v>0</v>
      </c>
      <c r="R13" s="317">
        <f t="shared" si="4"/>
        <v>5862400</v>
      </c>
      <c r="S13" s="317">
        <f t="shared" si="4"/>
        <v>0</v>
      </c>
      <c r="T13" s="317">
        <f t="shared" si="4"/>
        <v>0</v>
      </c>
      <c r="U13" s="326">
        <f t="shared" si="4"/>
        <v>0</v>
      </c>
      <c r="V13" s="317">
        <f t="shared" si="4"/>
        <v>0</v>
      </c>
      <c r="W13" s="317">
        <f t="shared" si="4"/>
        <v>0</v>
      </c>
      <c r="X13" s="317">
        <f t="shared" si="4"/>
        <v>0</v>
      </c>
      <c r="Y13" s="317">
        <f t="shared" si="4"/>
        <v>0</v>
      </c>
      <c r="Z13" s="317">
        <f t="shared" si="4"/>
        <v>0</v>
      </c>
      <c r="AA13" s="317">
        <f t="shared" si="4"/>
        <v>0</v>
      </c>
      <c r="AB13" s="317">
        <f t="shared" si="4"/>
        <v>0</v>
      </c>
      <c r="AC13" s="317">
        <f t="shared" si="4"/>
        <v>0</v>
      </c>
      <c r="AD13" s="317">
        <f t="shared" si="4"/>
        <v>0</v>
      </c>
      <c r="AE13" s="317">
        <f t="shared" si="4"/>
        <v>0</v>
      </c>
      <c r="AF13" s="317">
        <f t="shared" si="4"/>
        <v>0</v>
      </c>
      <c r="AG13" s="318">
        <f t="shared" si="4"/>
        <v>0</v>
      </c>
    </row>
    <row r="14" spans="1:33">
      <c r="B14" s="9"/>
    </row>
    <row r="15" spans="1:33">
      <c r="H15" s="10"/>
    </row>
  </sheetData>
  <sheetProtection algorithmName="SHA-512" hashValue="YrA/KinpINtW8XHaxCjLqb2yC9NLcw1bMuHb2Aqsu4ws4CaMQtHFv8FrC/7zRpDd0l/ImcVJozE1L+w1FZPx8g==" saltValue="2qvo29QzZZwkksw2l0qiXw==" spinCount="100000" sheet="1" autoFilter="0" pivotTables="0"/>
  <mergeCells count="1">
    <mergeCell ref="E3:I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97" id="{D54190DF-7E46-4CEA-8790-D51DF1F189E4}">
            <xm:f>Transactions!$D$5=Currency!$A$8</xm:f>
            <x14:dxf>
              <numFmt numFmtId="179" formatCode="[$$-C09]#,##0.00"/>
            </x14:dxf>
          </x14:cfRule>
          <x14:cfRule type="expression" priority="98" id="{7B939B8E-E4F1-425D-9348-1BC77519C704}">
            <xm:f>Transactions!$D$5=Currency!$A$7</xm:f>
            <x14:dxf>
              <numFmt numFmtId="178" formatCode="[$¥-411]#,##0.00"/>
            </x14:dxf>
          </x14:cfRule>
          <x14:cfRule type="expression" priority="99" id="{B5A6A0E7-9BD1-455A-9D22-156857EAF1D5}">
            <xm:f>Transactions!$D$5=Currency!$A$6</xm:f>
            <x14:dxf>
              <numFmt numFmtId="177" formatCode="[$$-4809]#,##0.00"/>
            </x14:dxf>
          </x14:cfRule>
          <x14:cfRule type="expression" priority="100" id="{991F47B3-0DF8-44EC-AD5E-98B74003A795}">
            <xm:f>Transactions!$D$5=Currency!$A$5</xm:f>
            <x14:dxf>
              <numFmt numFmtId="180" formatCode="[$¥-804]#,##0.00;[Red][$¥-804]\-#,##0.00"/>
            </x14:dxf>
          </x14:cfRule>
          <x14:cfRule type="expression" priority="101" id="{618E1FC2-694C-4562-9FE3-3BBCF2D0CAEB}">
            <xm:f>Transactions!$D$5=Currency!$A$4</xm:f>
            <x14:dxf>
              <numFmt numFmtId="175" formatCode="[$£-809]#,##0.00"/>
            </x14:dxf>
          </x14:cfRule>
          <x14:cfRule type="expression" priority="102" id="{2C6FF13A-A8F2-4059-BBB6-2739AE3A7C17}">
            <xm:f>Transactions!$D$5=Currency!$A$3</xm:f>
            <x14:dxf>
              <numFmt numFmtId="174" formatCode="[$€-2]\ #,##0.00"/>
            </x14:dxf>
          </x14:cfRule>
          <x14:cfRule type="expression" priority="103" id="{950714D3-1522-4909-95B2-39401BCAB2BD}">
            <xm:f>Transactions!$D$5=Currency!$A$2</xm:f>
            <x14:dxf>
              <numFmt numFmtId="169" formatCode="&quot;$&quot;#,##0.00"/>
            </x14:dxf>
          </x14:cfRule>
          <x14:cfRule type="expression" priority="104" id="{E07E3DF2-1275-465D-89ED-2016F69FAE72}">
            <xm:f>Transactions!$D$5=Currency!$A$1</xm:f>
            <x14:dxf>
              <numFmt numFmtId="173" formatCode="#,##0\ [$₫-42A]"/>
            </x14:dxf>
          </x14:cfRule>
          <xm:sqref>F11:F12 B13:I13 B9:B12 I9:I12 D9:D13</xm:sqref>
        </x14:conditionalFormatting>
        <x14:conditionalFormatting xmlns:xm="http://schemas.microsoft.com/office/excel/2006/main">
          <x14:cfRule type="expression" priority="81" id="{93E91E03-D859-4E1F-9142-9391C91334D1}">
            <xm:f>Transactions!$D$5=Currency!$A$8</xm:f>
            <x14:dxf>
              <numFmt numFmtId="179" formatCode="[$$-C09]#,##0.00"/>
            </x14:dxf>
          </x14:cfRule>
          <x14:cfRule type="expression" priority="82" id="{D1E6A405-B8F2-4C81-BFE9-019229D197F8}">
            <xm:f>Transactions!$D$5=Currency!$A$7</xm:f>
            <x14:dxf>
              <numFmt numFmtId="178" formatCode="[$¥-411]#,##0.00"/>
            </x14:dxf>
          </x14:cfRule>
          <x14:cfRule type="expression" priority="83" id="{6962C5D3-7F87-4C96-8A6E-AB843DE5BF58}">
            <xm:f>Transactions!$D$5=Currency!$A$6</xm:f>
            <x14:dxf>
              <numFmt numFmtId="177" formatCode="[$$-4809]#,##0.00"/>
            </x14:dxf>
          </x14:cfRule>
          <x14:cfRule type="expression" priority="84" id="{60A17802-FB69-442F-B08A-938C6DAE60D6}">
            <xm:f>Transactions!$D$5=Currency!$A$5</xm:f>
            <x14:dxf>
              <numFmt numFmtId="180" formatCode="[$¥-804]#,##0.00;[Red][$¥-804]\-#,##0.00"/>
            </x14:dxf>
          </x14:cfRule>
          <x14:cfRule type="expression" priority="85" id="{58F8367F-8E7A-4423-B614-9E91D9D1F045}">
            <xm:f>Transactions!$D$5=Currency!$A$4</xm:f>
            <x14:dxf>
              <numFmt numFmtId="175" formatCode="[$£-809]#,##0.00"/>
            </x14:dxf>
          </x14:cfRule>
          <x14:cfRule type="expression" priority="86" id="{4A2DBD43-2FC9-4BA5-8B84-A8CB6D007EB3}">
            <xm:f>Transactions!$D$5=Currency!$A$3</xm:f>
            <x14:dxf>
              <numFmt numFmtId="174" formatCode="[$€-2]\ #,##0.00"/>
            </x14:dxf>
          </x14:cfRule>
          <x14:cfRule type="expression" priority="87" id="{924EF34F-793A-48FF-8E0F-5F981E24731E}">
            <xm:f>Transactions!$D$5=Currency!$A$2</xm:f>
            <x14:dxf>
              <numFmt numFmtId="169" formatCode="&quot;$&quot;#,##0.00"/>
            </x14:dxf>
          </x14:cfRule>
          <x14:cfRule type="expression" priority="88" id="{CE24F2C7-A386-4187-BE95-719788EAD942}">
            <xm:f>Transactions!$D$5=Currency!$A$1</xm:f>
            <x14:dxf>
              <numFmt numFmtId="173" formatCode="#,##0\ [$₫-42A]"/>
            </x14:dxf>
          </x14:cfRule>
          <xm:sqref>F9:F10</xm:sqref>
        </x14:conditionalFormatting>
        <x14:conditionalFormatting xmlns:xm="http://schemas.microsoft.com/office/excel/2006/main">
          <x14:cfRule type="expression" priority="80" id="{EF618236-186D-4B56-8099-70577A794B3C}">
            <xm:f>Transactions!$D$5=Currency!$A$1</xm:f>
            <x14:dxf>
              <numFmt numFmtId="173" formatCode="#,##0\ [$₫-42A]"/>
            </x14:dxf>
          </x14:cfRule>
          <xm:sqref>J9:U10 J11:AG12</xm:sqref>
        </x14:conditionalFormatting>
        <x14:conditionalFormatting xmlns:xm="http://schemas.microsoft.com/office/excel/2006/main">
          <x14:cfRule type="expression" priority="73" id="{B10B6E8B-728C-4750-8862-1A8580D50E24}">
            <xm:f>Transactions!$D$5=Currency!$A$8</xm:f>
            <x14:dxf>
              <numFmt numFmtId="179" formatCode="[$$-C09]#,##0.00"/>
            </x14:dxf>
          </x14:cfRule>
          <xm:sqref>J9:U10 J11:AG12</xm:sqref>
        </x14:conditionalFormatting>
        <x14:conditionalFormatting xmlns:xm="http://schemas.microsoft.com/office/excel/2006/main">
          <x14:cfRule type="expression" priority="74" id="{0A601BBC-FCC2-41B8-BA80-11E784E07145}">
            <xm:f>Transactions!$D$5=Currency!$A$7</xm:f>
            <x14:dxf>
              <numFmt numFmtId="178" formatCode="[$¥-411]#,##0.00"/>
            </x14:dxf>
          </x14:cfRule>
          <xm:sqref>J9:U10 J11:AG12</xm:sqref>
        </x14:conditionalFormatting>
        <x14:conditionalFormatting xmlns:xm="http://schemas.microsoft.com/office/excel/2006/main">
          <x14:cfRule type="expression" priority="75" id="{E244F0EA-9010-478F-A003-320938BC8CB5}">
            <xm:f>Transactions!$D$5=Currency!$A$6</xm:f>
            <x14:dxf>
              <numFmt numFmtId="177" formatCode="[$$-4809]#,##0.00"/>
            </x14:dxf>
          </x14:cfRule>
          <xm:sqref>J9:U10 J11:AG12</xm:sqref>
        </x14:conditionalFormatting>
        <x14:conditionalFormatting xmlns:xm="http://schemas.microsoft.com/office/excel/2006/main">
          <x14:cfRule type="expression" priority="76" id="{353F159A-5CF9-427D-AD98-2837B7BCAB9F}">
            <xm:f>Transactions!$D$5=Currency!$A$5</xm:f>
            <x14:dxf>
              <numFmt numFmtId="176" formatCode="[$¥-804]#,##0.00"/>
            </x14:dxf>
          </x14:cfRule>
          <xm:sqref>J9:U10 J11:AG12</xm:sqref>
        </x14:conditionalFormatting>
        <x14:conditionalFormatting xmlns:xm="http://schemas.microsoft.com/office/excel/2006/main">
          <x14:cfRule type="expression" priority="77" id="{BF95A1F6-4A7C-4A13-BC52-BEFBD1970194}">
            <xm:f>Transactions!$D$5=Currency!$A$4</xm:f>
            <x14:dxf>
              <numFmt numFmtId="175" formatCode="[$£-809]#,##0.00"/>
            </x14:dxf>
          </x14:cfRule>
          <xm:sqref>J9:U10 J11:AG12</xm:sqref>
        </x14:conditionalFormatting>
        <x14:conditionalFormatting xmlns:xm="http://schemas.microsoft.com/office/excel/2006/main">
          <x14:cfRule type="expression" priority="78" id="{996C811D-F462-4F3A-854F-BA32E259DF74}">
            <xm:f>Transactions!$D$5=Currency!$A$3</xm:f>
            <x14:dxf>
              <numFmt numFmtId="174" formatCode="[$€-2]\ #,##0.00"/>
            </x14:dxf>
          </x14:cfRule>
          <xm:sqref>J9:U10 J11:AG12</xm:sqref>
        </x14:conditionalFormatting>
        <x14:conditionalFormatting xmlns:xm="http://schemas.microsoft.com/office/excel/2006/main">
          <x14:cfRule type="expression" priority="79" id="{F090AF07-B898-41A8-9576-3611455CD69F}">
            <xm:f>Transactions!$D$5=Currency!$A$2</xm:f>
            <x14:dxf>
              <numFmt numFmtId="169" formatCode="&quot;$&quot;#,##0.00"/>
            </x14:dxf>
          </x14:cfRule>
          <xm:sqref>J9:U10 J11:AG12</xm:sqref>
        </x14:conditionalFormatting>
        <x14:conditionalFormatting xmlns:xm="http://schemas.microsoft.com/office/excel/2006/main">
          <x14:cfRule type="expression" priority="72" id="{08A37EB8-0C1D-4F89-BA5B-77B0B451A756}">
            <xm:f>Transactions!$D$5=Currency!$A$1</xm:f>
            <x14:dxf>
              <numFmt numFmtId="173" formatCode="#,##0\ [$₫-42A]"/>
            </x14:dxf>
          </x14:cfRule>
          <xm:sqref>V9:AG10</xm:sqref>
        </x14:conditionalFormatting>
        <x14:conditionalFormatting xmlns:xm="http://schemas.microsoft.com/office/excel/2006/main">
          <x14:cfRule type="expression" priority="65" id="{B6A58814-88D4-4F3F-A9A2-1E1A7A461B05}">
            <xm:f>Transactions!$D$5=Currency!$A$8</xm:f>
            <x14:dxf>
              <numFmt numFmtId="179" formatCode="[$$-C09]#,##0.00"/>
            </x14:dxf>
          </x14:cfRule>
          <xm:sqref>V9:AG10</xm:sqref>
        </x14:conditionalFormatting>
        <x14:conditionalFormatting xmlns:xm="http://schemas.microsoft.com/office/excel/2006/main">
          <x14:cfRule type="expression" priority="66" id="{064FB233-29BE-4479-AA35-1ECFB15510FA}">
            <xm:f>Transactions!$D$5=Currency!$A$7</xm:f>
            <x14:dxf>
              <numFmt numFmtId="178" formatCode="[$¥-411]#,##0.00"/>
            </x14:dxf>
          </x14:cfRule>
          <xm:sqref>V9:AG10</xm:sqref>
        </x14:conditionalFormatting>
        <x14:conditionalFormatting xmlns:xm="http://schemas.microsoft.com/office/excel/2006/main">
          <x14:cfRule type="expression" priority="67" id="{CA426001-016D-4353-BFDD-75E09914FB00}">
            <xm:f>Transactions!$D$5=Currency!$A$6</xm:f>
            <x14:dxf>
              <numFmt numFmtId="177" formatCode="[$$-4809]#,##0.00"/>
            </x14:dxf>
          </x14:cfRule>
          <xm:sqref>V9:AG10</xm:sqref>
        </x14:conditionalFormatting>
        <x14:conditionalFormatting xmlns:xm="http://schemas.microsoft.com/office/excel/2006/main">
          <x14:cfRule type="expression" priority="68" id="{A8FB6811-47CA-45D2-903A-86A79D3646DB}">
            <xm:f>Transactions!$D$5=Currency!$A$5</xm:f>
            <x14:dxf>
              <numFmt numFmtId="176" formatCode="[$¥-804]#,##0.00"/>
            </x14:dxf>
          </x14:cfRule>
          <xm:sqref>V9:AG10</xm:sqref>
        </x14:conditionalFormatting>
        <x14:conditionalFormatting xmlns:xm="http://schemas.microsoft.com/office/excel/2006/main">
          <x14:cfRule type="expression" priority="69" id="{945D8D8A-5BF8-49E5-A38D-BE5A2A3B0E29}">
            <xm:f>Transactions!$D$5=Currency!$A$4</xm:f>
            <x14:dxf>
              <numFmt numFmtId="175" formatCode="[$£-809]#,##0.00"/>
            </x14:dxf>
          </x14:cfRule>
          <xm:sqref>V9:AG10</xm:sqref>
        </x14:conditionalFormatting>
        <x14:conditionalFormatting xmlns:xm="http://schemas.microsoft.com/office/excel/2006/main">
          <x14:cfRule type="expression" priority="70" id="{7D011D9F-BC09-4E1C-BF83-E13EF4A82AC9}">
            <xm:f>Transactions!$D$5=Currency!$A$3</xm:f>
            <x14:dxf>
              <numFmt numFmtId="174" formatCode="[$€-2]\ #,##0.00"/>
            </x14:dxf>
          </x14:cfRule>
          <xm:sqref>V9:AG10</xm:sqref>
        </x14:conditionalFormatting>
        <x14:conditionalFormatting xmlns:xm="http://schemas.microsoft.com/office/excel/2006/main">
          <x14:cfRule type="expression" priority="71" id="{5FD5C43E-2A46-4E7B-8207-A04D3C32DE37}">
            <xm:f>Transactions!$D$5=Currency!$A$2</xm:f>
            <x14:dxf>
              <numFmt numFmtId="169" formatCode="&quot;$&quot;#,##0.00"/>
            </x14:dxf>
          </x14:cfRule>
          <xm:sqref>V9:AG10</xm:sqref>
        </x14:conditionalFormatting>
        <x14:conditionalFormatting xmlns:xm="http://schemas.microsoft.com/office/excel/2006/main">
          <x14:cfRule type="expression" priority="56" id="{6B240CE1-A181-4BFE-9410-1CFFE02A65AB}">
            <xm:f>Transactions!$D$5=Currency!$A$1</xm:f>
            <x14:dxf>
              <numFmt numFmtId="173" formatCode="#,##0\ [$₫-42A]"/>
            </x14:dxf>
          </x14:cfRule>
          <xm:sqref>AF13:AG13</xm:sqref>
        </x14:conditionalFormatting>
        <x14:conditionalFormatting xmlns:xm="http://schemas.microsoft.com/office/excel/2006/main">
          <x14:cfRule type="expression" priority="49" id="{5F48EBF2-267E-4E14-A6AA-8E24F2763082}">
            <xm:f>Transactions!$D$5=Currency!$A$8</xm:f>
            <x14:dxf>
              <numFmt numFmtId="179" formatCode="[$$-C09]#,##0.00"/>
            </x14:dxf>
          </x14:cfRule>
          <xm:sqref>AF13:AG13</xm:sqref>
        </x14:conditionalFormatting>
        <x14:conditionalFormatting xmlns:xm="http://schemas.microsoft.com/office/excel/2006/main">
          <x14:cfRule type="expression" priority="50" id="{862F4404-B2D2-4AC8-A485-3E85004B3435}">
            <xm:f>Transactions!$D$5=Currency!$A$7</xm:f>
            <x14:dxf>
              <numFmt numFmtId="178" formatCode="[$¥-411]#,##0.00"/>
            </x14:dxf>
          </x14:cfRule>
          <xm:sqref>AF13:AG13</xm:sqref>
        </x14:conditionalFormatting>
        <x14:conditionalFormatting xmlns:xm="http://schemas.microsoft.com/office/excel/2006/main">
          <x14:cfRule type="expression" priority="51" id="{33321536-77DE-41DC-B57B-6958DDC9F455}">
            <xm:f>Transactions!$D$5=Currency!$A$6</xm:f>
            <x14:dxf>
              <numFmt numFmtId="177" formatCode="[$$-4809]#,##0.00"/>
            </x14:dxf>
          </x14:cfRule>
          <xm:sqref>AF13:AG13</xm:sqref>
        </x14:conditionalFormatting>
        <x14:conditionalFormatting xmlns:xm="http://schemas.microsoft.com/office/excel/2006/main">
          <x14:cfRule type="expression" priority="52" id="{FE2398E0-FE5F-46E1-9D41-30044B449B8A}">
            <xm:f>Transactions!$D$5=Currency!$A$5</xm:f>
            <x14:dxf>
              <numFmt numFmtId="176" formatCode="[$¥-804]#,##0.00"/>
            </x14:dxf>
          </x14:cfRule>
          <xm:sqref>AF13:AG13</xm:sqref>
        </x14:conditionalFormatting>
        <x14:conditionalFormatting xmlns:xm="http://schemas.microsoft.com/office/excel/2006/main">
          <x14:cfRule type="expression" priority="53" id="{E7DCC019-81FA-44B2-A01B-969E240F3394}">
            <xm:f>Transactions!$D$5=Currency!$A$4</xm:f>
            <x14:dxf>
              <numFmt numFmtId="175" formatCode="[$£-809]#,##0.00"/>
            </x14:dxf>
          </x14:cfRule>
          <xm:sqref>AF13:AG13</xm:sqref>
        </x14:conditionalFormatting>
        <x14:conditionalFormatting xmlns:xm="http://schemas.microsoft.com/office/excel/2006/main">
          <x14:cfRule type="expression" priority="54" id="{F645A9C4-9A36-47E2-BB53-A6FF8FAF4AE5}">
            <xm:f>Transactions!$D$5=Currency!$A$3</xm:f>
            <x14:dxf>
              <numFmt numFmtId="174" formatCode="[$€-2]\ #,##0.00"/>
            </x14:dxf>
          </x14:cfRule>
          <xm:sqref>AF13:AG13</xm:sqref>
        </x14:conditionalFormatting>
        <x14:conditionalFormatting xmlns:xm="http://schemas.microsoft.com/office/excel/2006/main">
          <x14:cfRule type="expression" priority="55" id="{5D768C27-2BFE-45BD-B7A0-E85D10E68632}">
            <xm:f>Transactions!$D$5=Currency!$A$2</xm:f>
            <x14:dxf>
              <numFmt numFmtId="169" formatCode="&quot;$&quot;#,##0.00"/>
            </x14:dxf>
          </x14:cfRule>
          <xm:sqref>AF13:AG13</xm:sqref>
        </x14:conditionalFormatting>
        <x14:conditionalFormatting xmlns:xm="http://schemas.microsoft.com/office/excel/2006/main">
          <x14:cfRule type="expression" priority="48" id="{52F63E25-B005-48B9-970C-2AF74AEE6257}">
            <xm:f>Transactions!$D$5=Currency!$A$1</xm:f>
            <x14:dxf>
              <numFmt numFmtId="173" formatCode="#,##0\ [$₫-42A]"/>
            </x14:dxf>
          </x14:cfRule>
          <xm:sqref>J13:AE13</xm:sqref>
        </x14:conditionalFormatting>
        <x14:conditionalFormatting xmlns:xm="http://schemas.microsoft.com/office/excel/2006/main">
          <x14:cfRule type="expression" priority="41" id="{CAD4F894-DB21-48D6-A821-ECEF94F89BDA}">
            <xm:f>Transactions!$D$5=Currency!$A$8</xm:f>
            <x14:dxf>
              <numFmt numFmtId="179" formatCode="[$$-C09]#,##0.00"/>
            </x14:dxf>
          </x14:cfRule>
          <xm:sqref>J13:AE13</xm:sqref>
        </x14:conditionalFormatting>
        <x14:conditionalFormatting xmlns:xm="http://schemas.microsoft.com/office/excel/2006/main">
          <x14:cfRule type="expression" priority="42" id="{D4D5C232-9A98-489A-B2D4-9DDEB578CA78}">
            <xm:f>Transactions!$D$5=Currency!$A$7</xm:f>
            <x14:dxf>
              <numFmt numFmtId="178" formatCode="[$¥-411]#,##0.00"/>
            </x14:dxf>
          </x14:cfRule>
          <xm:sqref>J13:AE13</xm:sqref>
        </x14:conditionalFormatting>
        <x14:conditionalFormatting xmlns:xm="http://schemas.microsoft.com/office/excel/2006/main">
          <x14:cfRule type="expression" priority="43" id="{5C32E140-DF04-4D7C-B39F-B0B84B57998A}">
            <xm:f>Transactions!$D$5=Currency!$A$6</xm:f>
            <x14:dxf>
              <numFmt numFmtId="177" formatCode="[$$-4809]#,##0.00"/>
            </x14:dxf>
          </x14:cfRule>
          <xm:sqref>J13:AE13</xm:sqref>
        </x14:conditionalFormatting>
        <x14:conditionalFormatting xmlns:xm="http://schemas.microsoft.com/office/excel/2006/main">
          <x14:cfRule type="expression" priority="44" id="{88D33C68-1883-4934-9689-97B9A5F59F86}">
            <xm:f>Transactions!$D$5=Currency!$A$5</xm:f>
            <x14:dxf>
              <numFmt numFmtId="176" formatCode="[$¥-804]#,##0.00"/>
            </x14:dxf>
          </x14:cfRule>
          <xm:sqref>J13:AE13</xm:sqref>
        </x14:conditionalFormatting>
        <x14:conditionalFormatting xmlns:xm="http://schemas.microsoft.com/office/excel/2006/main">
          <x14:cfRule type="expression" priority="45" id="{5DF34F69-6A7C-4F33-822F-8DC16179DD23}">
            <xm:f>Transactions!$D$5=Currency!$A$4</xm:f>
            <x14:dxf>
              <numFmt numFmtId="175" formatCode="[$£-809]#,##0.00"/>
            </x14:dxf>
          </x14:cfRule>
          <xm:sqref>J13:AE13</xm:sqref>
        </x14:conditionalFormatting>
        <x14:conditionalFormatting xmlns:xm="http://schemas.microsoft.com/office/excel/2006/main">
          <x14:cfRule type="expression" priority="46" id="{C9AE5F85-84AC-46E7-9C59-103236E60305}">
            <xm:f>Transactions!$D$5=Currency!$A$3</xm:f>
            <x14:dxf>
              <numFmt numFmtId="174" formatCode="[$€-2]\ #,##0.00"/>
            </x14:dxf>
          </x14:cfRule>
          <xm:sqref>J13:AE13</xm:sqref>
        </x14:conditionalFormatting>
        <x14:conditionalFormatting xmlns:xm="http://schemas.microsoft.com/office/excel/2006/main">
          <x14:cfRule type="expression" priority="47" id="{91D4F5DD-4E9C-4B8F-A29A-A83E6BAAE82A}">
            <xm:f>Transactions!$D$5=Currency!$A$2</xm:f>
            <x14:dxf>
              <numFmt numFmtId="169" formatCode="&quot;$&quot;#,##0.00"/>
            </x14:dxf>
          </x14:cfRule>
          <xm:sqref>J13:AE13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21"/>
  <sheetViews>
    <sheetView showGridLines="0" zoomScale="90" zoomScaleNormal="90" workbookViewId="0">
      <pane xSplit="9" ySplit="8" topLeftCell="J13" activePane="bottomRight" state="frozen"/>
      <selection pane="topRight" activeCell="J1" sqref="J1"/>
      <selection pane="bottomLeft" activeCell="A9" sqref="A9"/>
      <selection pane="bottomRight" activeCell="B23" sqref="B23"/>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98</v>
      </c>
      <c r="C1" s="12"/>
      <c r="D1" s="12"/>
      <c r="E1" s="12"/>
      <c r="F1" s="12"/>
      <c r="G1" s="12"/>
      <c r="H1" s="13"/>
    </row>
    <row r="2" spans="1:33" ht="18">
      <c r="B2" s="54" t="s">
        <v>33</v>
      </c>
      <c r="C2" s="230">
        <f>Transactions!C3</f>
        <v>44197</v>
      </c>
    </row>
    <row r="3" spans="1:33" ht="57" customHeight="1">
      <c r="B3" s="54" t="s">
        <v>68</v>
      </c>
      <c r="C3" s="231">
        <f>Transactions!C4</f>
        <v>2021</v>
      </c>
      <c r="D3" s="353" t="s">
        <v>182</v>
      </c>
      <c r="E3" s="353"/>
      <c r="F3" s="353"/>
      <c r="G3" s="353"/>
      <c r="H3" s="353"/>
      <c r="I3" s="353"/>
      <c r="J3" s="100"/>
      <c r="K3" s="100"/>
      <c r="L3" s="100"/>
      <c r="M3" s="100"/>
      <c r="N3" s="100"/>
      <c r="O3" s="100"/>
      <c r="V3" s="100"/>
      <c r="W3" s="100"/>
      <c r="X3" s="100"/>
      <c r="Y3" s="100"/>
      <c r="Z3" s="100"/>
      <c r="AA3" s="100"/>
    </row>
    <row r="5" spans="1:33" ht="18">
      <c r="B5" s="54"/>
      <c r="C5" s="102"/>
    </row>
    <row r="6" spans="1:33" s="96" customFormat="1" ht="30" hidden="1" customHeight="1">
      <c r="B6" s="54"/>
      <c r="C6" s="102"/>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3" customFormat="1" ht="30.75" thickBot="1">
      <c r="B7" s="145" t="s">
        <v>117</v>
      </c>
      <c r="C7" s="146" t="s">
        <v>97</v>
      </c>
      <c r="D7" s="146" t="s">
        <v>96</v>
      </c>
      <c r="E7" s="146" t="s">
        <v>87</v>
      </c>
      <c r="F7" s="146" t="s">
        <v>88</v>
      </c>
      <c r="G7" s="240" t="s">
        <v>89</v>
      </c>
      <c r="H7" s="240" t="s">
        <v>90</v>
      </c>
      <c r="I7" s="240" t="s">
        <v>91</v>
      </c>
      <c r="J7" s="241">
        <f t="shared" ref="J7:U7" si="0">DATE($C$3,J6,1)</f>
        <v>44197</v>
      </c>
      <c r="K7" s="241">
        <f t="shared" si="0"/>
        <v>44228</v>
      </c>
      <c r="L7" s="241">
        <f t="shared" si="0"/>
        <v>44256</v>
      </c>
      <c r="M7" s="241">
        <f t="shared" si="0"/>
        <v>44287</v>
      </c>
      <c r="N7" s="241">
        <f t="shared" si="0"/>
        <v>44317</v>
      </c>
      <c r="O7" s="241">
        <f t="shared" si="0"/>
        <v>44348</v>
      </c>
      <c r="P7" s="241">
        <f t="shared" si="0"/>
        <v>44378</v>
      </c>
      <c r="Q7" s="241">
        <f t="shared" si="0"/>
        <v>44409</v>
      </c>
      <c r="R7" s="241">
        <f t="shared" si="0"/>
        <v>44440</v>
      </c>
      <c r="S7" s="241">
        <f t="shared" si="0"/>
        <v>44470</v>
      </c>
      <c r="T7" s="241">
        <f t="shared" si="0"/>
        <v>44501</v>
      </c>
      <c r="U7" s="242">
        <f t="shared" si="0"/>
        <v>44531</v>
      </c>
      <c r="V7" s="241">
        <f>DATE($C$3+1,V6,1)</f>
        <v>44562</v>
      </c>
      <c r="W7" s="241">
        <f t="shared" ref="W7:AG7" si="1">DATE($C$3+1,W6,1)</f>
        <v>44593</v>
      </c>
      <c r="X7" s="241">
        <f t="shared" si="1"/>
        <v>44621</v>
      </c>
      <c r="Y7" s="241">
        <f t="shared" si="1"/>
        <v>44652</v>
      </c>
      <c r="Z7" s="241">
        <f t="shared" si="1"/>
        <v>44682</v>
      </c>
      <c r="AA7" s="241">
        <f t="shared" si="1"/>
        <v>44713</v>
      </c>
      <c r="AB7" s="241">
        <f t="shared" si="1"/>
        <v>44743</v>
      </c>
      <c r="AC7" s="241">
        <f t="shared" si="1"/>
        <v>44774</v>
      </c>
      <c r="AD7" s="241">
        <f t="shared" si="1"/>
        <v>44805</v>
      </c>
      <c r="AE7" s="241">
        <f t="shared" si="1"/>
        <v>44835</v>
      </c>
      <c r="AF7" s="241">
        <f t="shared" si="1"/>
        <v>44866</v>
      </c>
      <c r="AG7" s="322">
        <f t="shared" si="1"/>
        <v>44896</v>
      </c>
    </row>
    <row r="8" spans="1:33" ht="15" hidden="1" thickBot="1">
      <c r="B8" s="174" t="s">
        <v>69</v>
      </c>
      <c r="C8" s="171" t="s">
        <v>70</v>
      </c>
      <c r="D8" s="171" t="s">
        <v>71</v>
      </c>
      <c r="E8" s="170" t="s">
        <v>72</v>
      </c>
      <c r="F8" s="170" t="s">
        <v>73</v>
      </c>
      <c r="G8" s="243" t="s">
        <v>74</v>
      </c>
      <c r="H8" s="244" t="s">
        <v>75</v>
      </c>
      <c r="I8" s="243" t="s">
        <v>76</v>
      </c>
      <c r="J8" s="243" t="s">
        <v>77</v>
      </c>
      <c r="K8" s="243" t="s">
        <v>78</v>
      </c>
      <c r="L8" s="243" t="s">
        <v>79</v>
      </c>
      <c r="M8" s="243" t="s">
        <v>80</v>
      </c>
      <c r="N8" s="243" t="s">
        <v>81</v>
      </c>
      <c r="O8" s="243" t="s">
        <v>82</v>
      </c>
      <c r="P8" s="243" t="s">
        <v>83</v>
      </c>
      <c r="Q8" s="243" t="s">
        <v>176</v>
      </c>
      <c r="R8" s="243" t="s">
        <v>177</v>
      </c>
      <c r="S8" s="243" t="s">
        <v>178</v>
      </c>
      <c r="T8" s="243" t="s">
        <v>179</v>
      </c>
      <c r="U8" s="243" t="s">
        <v>180</v>
      </c>
      <c r="V8" s="243" t="s">
        <v>77</v>
      </c>
      <c r="W8" s="243" t="s">
        <v>78</v>
      </c>
      <c r="X8" s="243" t="s">
        <v>79</v>
      </c>
      <c r="Y8" s="243" t="s">
        <v>80</v>
      </c>
      <c r="Z8" s="243" t="s">
        <v>81</v>
      </c>
      <c r="AA8" s="243" t="s">
        <v>82</v>
      </c>
      <c r="AB8" s="243" t="s">
        <v>83</v>
      </c>
      <c r="AC8" s="243" t="s">
        <v>176</v>
      </c>
      <c r="AD8" s="243" t="s">
        <v>177</v>
      </c>
      <c r="AE8" s="243" t="s">
        <v>178</v>
      </c>
      <c r="AF8" s="243" t="s">
        <v>179</v>
      </c>
      <c r="AG8" s="323" t="s">
        <v>180</v>
      </c>
    </row>
    <row r="9" spans="1:33">
      <c r="B9" s="277" t="s">
        <v>95</v>
      </c>
      <c r="C9" s="210">
        <v>100000000</v>
      </c>
      <c r="D9" s="210">
        <v>100000000</v>
      </c>
      <c r="E9" s="209">
        <v>43496</v>
      </c>
      <c r="F9" s="209">
        <v>44227</v>
      </c>
      <c r="G9" s="245">
        <f>ROUND((Investment!$F9-Investment!$E9)/365*12,0)</f>
        <v>24</v>
      </c>
      <c r="H9" s="314">
        <v>0.05</v>
      </c>
      <c r="I9" s="245">
        <f t="shared" ref="I9:I10" si="2">SUM(J9:AG9)</f>
        <v>10000000</v>
      </c>
      <c r="J9" s="245">
        <f>IF(AND(MONTH(Investment!$F9)=MONTH(J$7),YEAR(Investment!$F9)=YEAR(J$7)),Investment!$C9*Investment!$G9*Investment!$H9/12," ")</f>
        <v>10000000</v>
      </c>
      <c r="K9" s="245" t="str">
        <f>IF(AND(MONTH(Investment!$F9)=MONTH(K$7),YEAR(Investment!$F9)=YEAR(K$7)),Investment!$C9*Investment!$G9*Investment!$H9/12," ")</f>
        <v xml:space="preserve"> </v>
      </c>
      <c r="L9" s="245" t="str">
        <f>IF(AND(MONTH(Investment!$F9)=MONTH(L$7),YEAR(Investment!$F9)=YEAR(L$7)),Investment!$C9*Investment!$G9*Investment!$H9/12," ")</f>
        <v xml:space="preserve"> </v>
      </c>
      <c r="M9" s="245" t="str">
        <f>IF(AND(MONTH(Investment!$F9)=MONTH(M$7),YEAR(Investment!$F9)=YEAR(M$7)),Investment!$C9*Investment!$G9*Investment!$H9/12," ")</f>
        <v xml:space="preserve"> </v>
      </c>
      <c r="N9" s="245" t="str">
        <f>IF(AND(MONTH(Investment!$F9)=MONTH(N$7),YEAR(Investment!$F9)=YEAR(N$7)),Investment!$C9*Investment!$G9*Investment!$H9/12," ")</f>
        <v xml:space="preserve"> </v>
      </c>
      <c r="O9" s="245" t="str">
        <f>IF(AND(MONTH(Investment!$F9)=MONTH(O$7),YEAR(Investment!$F9)=YEAR(O$7)),Investment!$C9*Investment!$G9*Investment!$H9/12," ")</f>
        <v xml:space="preserve"> </v>
      </c>
      <c r="P9" s="245" t="str">
        <f>IF(AND(MONTH(Investment!$F9)=MONTH(P$7),YEAR(Investment!$F9)=YEAR(P$7)),Investment!$C9*Investment!$G9*Investment!$H9/12," ")</f>
        <v xml:space="preserve"> </v>
      </c>
      <c r="Q9" s="245" t="str">
        <f>IF(AND(MONTH(Investment!$F9)=MONTH(Q$7),YEAR(Investment!$F9)=YEAR(Q$7)),Investment!$C9*Investment!$G9*Investment!$H9/12," ")</f>
        <v xml:space="preserve"> </v>
      </c>
      <c r="R9" s="245" t="str">
        <f>IF(AND(MONTH(Investment!$F9)=MONTH(R$7),YEAR(Investment!$F9)=YEAR(R$7)),Investment!$C9*Investment!$G9*Investment!$H9/12," ")</f>
        <v xml:space="preserve"> </v>
      </c>
      <c r="S9" s="245" t="str">
        <f>IF(AND(MONTH(Investment!$F9)=MONTH(S$7),YEAR(Investment!$F9)=YEAR(S$7)),Investment!$C9*Investment!$G9*Investment!$H9/12," ")</f>
        <v xml:space="preserve"> </v>
      </c>
      <c r="T9" s="245" t="str">
        <f>IF(AND(MONTH(Investment!$F9)=MONTH(T$7),YEAR(Investment!$F9)=YEAR(T$7)),Investment!$C9*Investment!$G9*Investment!$H9/12," ")</f>
        <v xml:space="preserve"> </v>
      </c>
      <c r="U9" s="245" t="str">
        <f>IF(AND(MONTH(Investment!$F9)=MONTH(U$7),YEAR(Investment!$F9)=YEAR(U$7)),Investment!$C9*Investment!$G9*Investment!$H9/12," ")</f>
        <v xml:space="preserve"> </v>
      </c>
      <c r="V9" s="245" t="str">
        <f>IF(AND(MONTH(Investment!$F9)=MONTH(V$7),YEAR(Investment!$F9)=YEAR(V$7)),Investment!$C9*Investment!$G9*Investment!$H9/12," ")</f>
        <v xml:space="preserve"> </v>
      </c>
      <c r="W9" s="245" t="str">
        <f>IF(AND(MONTH(Investment!$F9)=MONTH(W$7),YEAR(Investment!$F9)=YEAR(W$7)),Investment!$C9*Investment!$G9*Investment!$H9/12," ")</f>
        <v xml:space="preserve"> </v>
      </c>
      <c r="X9" s="245" t="str">
        <f>IF(AND(MONTH(Investment!$F9)=MONTH(X$7),YEAR(Investment!$F9)=YEAR(X$7)),Investment!$C9*Investment!$G9*Investment!$H9/12," ")</f>
        <v xml:space="preserve"> </v>
      </c>
      <c r="Y9" s="245" t="str">
        <f>IF(AND(MONTH(Investment!$F9)=MONTH(Y$7),YEAR(Investment!$F9)=YEAR(Y$7)),Investment!$C9*Investment!$G9*Investment!$H9/12," ")</f>
        <v xml:space="preserve"> </v>
      </c>
      <c r="Z9" s="245" t="str">
        <f>IF(AND(MONTH(Investment!$F9)=MONTH(Z$7),YEAR(Investment!$F9)=YEAR(Z$7)),Investment!$C9*Investment!$G9*Investment!$H9/12," ")</f>
        <v xml:space="preserve"> </v>
      </c>
      <c r="AA9" s="245" t="str">
        <f>IF(AND(MONTH(Investment!$F9)=MONTH(AA$7),YEAR(Investment!$F9)=YEAR(AA$7)),Investment!$C9*Investment!$G9*Investment!$H9/12," ")</f>
        <v xml:space="preserve"> </v>
      </c>
      <c r="AB9" s="245" t="str">
        <f>IF(AND(MONTH(Investment!$F9)=MONTH(AB$7),YEAR(Investment!$F9)=YEAR(AB$7)),Investment!$C9*Investment!$G9*Investment!$H9/12," ")</f>
        <v xml:space="preserve"> </v>
      </c>
      <c r="AC9" s="245" t="str">
        <f>IF(AND(MONTH(Investment!$F9)=MONTH(AC$7),YEAR(Investment!$F9)=YEAR(AC$7)),Investment!$C9*Investment!$G9*Investment!$H9/12," ")</f>
        <v xml:space="preserve"> </v>
      </c>
      <c r="AD9" s="245" t="str">
        <f>IF(AND(MONTH(Investment!$F9)=MONTH(AD$7),YEAR(Investment!$F9)=YEAR(AD$7)),Investment!$C9*Investment!$G9*Investment!$H9/12," ")</f>
        <v xml:space="preserve"> </v>
      </c>
      <c r="AE9" s="245" t="str">
        <f>IF(AND(MONTH(Investment!$F9)=MONTH(AE$7),YEAR(Investment!$F9)=YEAR(AE$7)),Investment!$C9*Investment!$G9*Investment!$H9/12," ")</f>
        <v xml:space="preserve"> </v>
      </c>
      <c r="AF9" s="245" t="str">
        <f>IF(AND(MONTH(Investment!$F9)=MONTH(AF$7),YEAR(Investment!$F9)=YEAR(AF$7)),Investment!$C9*Investment!$G9*Investment!$H9/12," ")</f>
        <v xml:space="preserve"> </v>
      </c>
      <c r="AG9" s="324" t="str">
        <f>IF(AND(MONTH(Investment!$F9)=MONTH(AG$7),YEAR(Investment!$F9)=YEAR(AG$7)),Investment!$C9*Investment!$G9*Investment!$H9/12," ")</f>
        <v xml:space="preserve"> </v>
      </c>
    </row>
    <row r="10" spans="1:33">
      <c r="B10" s="278" t="s">
        <v>94</v>
      </c>
      <c r="C10" s="213">
        <v>100000000</v>
      </c>
      <c r="D10" s="213">
        <v>100000000</v>
      </c>
      <c r="E10" s="212">
        <v>43466</v>
      </c>
      <c r="F10" s="212">
        <v>45292</v>
      </c>
      <c r="G10" s="246">
        <f>ROUND((Investment!$F10-Investment!$E10)/365*12,0)</f>
        <v>60</v>
      </c>
      <c r="H10" s="315">
        <v>8.2000000000000003E-2</v>
      </c>
      <c r="I10" s="246">
        <f t="shared" si="2"/>
        <v>0</v>
      </c>
      <c r="J10" s="246" t="str">
        <f>IF(AND(MONTH(Investment!$F10)=MONTH(J$7),YEAR(Investment!$F10)=YEAR(J$7)),Investment!$C10*Investment!$G10*Investment!$H10/12," ")</f>
        <v xml:space="preserve"> </v>
      </c>
      <c r="K10" s="246" t="str">
        <f>IF(AND(MONTH(Investment!$F10)=MONTH(K$7),YEAR(Investment!$F10)=YEAR(K$7)),Investment!$C10*Investment!$G10*Investment!$H10/12," ")</f>
        <v xml:space="preserve"> </v>
      </c>
      <c r="L10" s="246" t="str">
        <f>IF(AND(MONTH(Investment!$F10)=MONTH(L$7),YEAR(Investment!$F10)=YEAR(L$7)),Investment!$C10*Investment!$G10*Investment!$H10/12," ")</f>
        <v xml:space="preserve"> </v>
      </c>
      <c r="M10" s="246" t="str">
        <f>IF(AND(MONTH(Investment!$F10)=MONTH(M$7),YEAR(Investment!$F10)=YEAR(M$7)),Investment!$C10*Investment!$G10*Investment!$H10/12," ")</f>
        <v xml:space="preserve"> </v>
      </c>
      <c r="N10" s="246" t="str">
        <f>IF(AND(MONTH(Investment!$F10)=MONTH(N$7),YEAR(Investment!$F10)=YEAR(N$7)),Investment!$C10*Investment!$G10*Investment!$H10/12," ")</f>
        <v xml:space="preserve"> </v>
      </c>
      <c r="O10" s="246" t="str">
        <f>IF(AND(MONTH(Investment!$F10)=MONTH(O$7),YEAR(Investment!$F10)=YEAR(O$7)),Investment!$C10*Investment!$G10*Investment!$H10/12," ")</f>
        <v xml:space="preserve"> </v>
      </c>
      <c r="P10" s="246" t="str">
        <f>IF(AND(MONTH(Investment!$F10)=MONTH(P$7),YEAR(Investment!$F10)=YEAR(P$7)),Investment!$C10*Investment!$G10*Investment!$H10/12," ")</f>
        <v xml:space="preserve"> </v>
      </c>
      <c r="Q10" s="246" t="str">
        <f>IF(AND(MONTH(Investment!$F10)=MONTH(Q$7),YEAR(Investment!$F10)=YEAR(Q$7)),Investment!$C10*Investment!$G10*Investment!$H10/12," ")</f>
        <v xml:space="preserve"> </v>
      </c>
      <c r="R10" s="246" t="str">
        <f>IF(AND(MONTH(Investment!$F10)=MONTH(R$7),YEAR(Investment!$F10)=YEAR(R$7)),Investment!$C10*Investment!$G10*Investment!$H10/12," ")</f>
        <v xml:space="preserve"> </v>
      </c>
      <c r="S10" s="246" t="str">
        <f>IF(AND(MONTH(Investment!$F10)=MONTH(S$7),YEAR(Investment!$F10)=YEAR(S$7)),Investment!$C10*Investment!$G10*Investment!$H10/12," ")</f>
        <v xml:space="preserve"> </v>
      </c>
      <c r="T10" s="246" t="str">
        <f>IF(AND(MONTH(Investment!$F10)=MONTH(T$7),YEAR(Investment!$F10)=YEAR(T$7)),Investment!$C10*Investment!$G10*Investment!$H10/12," ")</f>
        <v xml:space="preserve"> </v>
      </c>
      <c r="U10" s="246" t="str">
        <f>IF(AND(MONTH(Investment!$F10)=MONTH(U$7),YEAR(Investment!$F10)=YEAR(U$7)),Investment!$C10*Investment!$G10*Investment!$H10/12," ")</f>
        <v xml:space="preserve"> </v>
      </c>
      <c r="V10" s="246" t="str">
        <f>IF(AND(MONTH(Investment!$F10)=MONTH(V$7),YEAR(Investment!$F10)=YEAR(V$7)),Investment!$C10*Investment!$G10*Investment!$H10/12," ")</f>
        <v xml:space="preserve"> </v>
      </c>
      <c r="W10" s="246" t="str">
        <f>IF(AND(MONTH(Investment!$F10)=MONTH(W$7),YEAR(Investment!$F10)=YEAR(W$7)),Investment!$C10*Investment!$G10*Investment!$H10/12," ")</f>
        <v xml:space="preserve"> </v>
      </c>
      <c r="X10" s="246" t="str">
        <f>IF(AND(MONTH(Investment!$F10)=MONTH(X$7),YEAR(Investment!$F10)=YEAR(X$7)),Investment!$C10*Investment!$G10*Investment!$H10/12," ")</f>
        <v xml:space="preserve"> </v>
      </c>
      <c r="Y10" s="246" t="str">
        <f>IF(AND(MONTH(Investment!$F10)=MONTH(Y$7),YEAR(Investment!$F10)=YEAR(Y$7)),Investment!$C10*Investment!$G10*Investment!$H10/12," ")</f>
        <v xml:space="preserve"> </v>
      </c>
      <c r="Z10" s="246" t="str">
        <f>IF(AND(MONTH(Investment!$F10)=MONTH(Z$7),YEAR(Investment!$F10)=YEAR(Z$7)),Investment!$C10*Investment!$G10*Investment!$H10/12," ")</f>
        <v xml:space="preserve"> </v>
      </c>
      <c r="AA10" s="246" t="str">
        <f>IF(AND(MONTH(Investment!$F10)=MONTH(AA$7),YEAR(Investment!$F10)=YEAR(AA$7)),Investment!$C10*Investment!$G10*Investment!$H10/12," ")</f>
        <v xml:space="preserve"> </v>
      </c>
      <c r="AB10" s="246" t="str">
        <f>IF(AND(MONTH(Investment!$F10)=MONTH(AB$7),YEAR(Investment!$F10)=YEAR(AB$7)),Investment!$C10*Investment!$G10*Investment!$H10/12," ")</f>
        <v xml:space="preserve"> </v>
      </c>
      <c r="AC10" s="246" t="str">
        <f>IF(AND(MONTH(Investment!$F10)=MONTH(AC$7),YEAR(Investment!$F10)=YEAR(AC$7)),Investment!$C10*Investment!$G10*Investment!$H10/12," ")</f>
        <v xml:space="preserve"> </v>
      </c>
      <c r="AD10" s="246" t="str">
        <f>IF(AND(MONTH(Investment!$F10)=MONTH(AD$7),YEAR(Investment!$F10)=YEAR(AD$7)),Investment!$C10*Investment!$G10*Investment!$H10/12," ")</f>
        <v xml:space="preserve"> </v>
      </c>
      <c r="AE10" s="246" t="str">
        <f>IF(AND(MONTH(Investment!$F10)=MONTH(AE$7),YEAR(Investment!$F10)=YEAR(AE$7)),Investment!$C10*Investment!$G10*Investment!$H10/12," ")</f>
        <v xml:space="preserve"> </v>
      </c>
      <c r="AF10" s="246" t="str">
        <f>IF(AND(MONTH(Investment!$F10)=MONTH(AF$7),YEAR(Investment!$F10)=YEAR(AF$7)),Investment!$C10*Investment!$G10*Investment!$H10/12," ")</f>
        <v xml:space="preserve"> </v>
      </c>
      <c r="AG10" s="325" t="str">
        <f>IF(AND(MONTH(Investment!$F10)=MONTH(AG$7),YEAR(Investment!$F10)=YEAR(AG$7)),Investment!$C10*Investment!$G10*Investment!$H10/12," ")</f>
        <v xml:space="preserve"> </v>
      </c>
    </row>
    <row r="11" spans="1:33">
      <c r="B11" s="278" t="s">
        <v>93</v>
      </c>
      <c r="C11" s="213">
        <v>50000000</v>
      </c>
      <c r="D11" s="213">
        <v>58000000</v>
      </c>
      <c r="E11" s="212"/>
      <c r="F11" s="212"/>
      <c r="G11" s="246">
        <f>ROUND((Investment!$F11-Investment!$E11)/365*12,0)</f>
        <v>0</v>
      </c>
      <c r="H11" s="315"/>
      <c r="I11" s="246">
        <f t="shared" ref="I11:I17" si="3">SUM(J12:AG12)</f>
        <v>0</v>
      </c>
      <c r="J11" s="246" t="str">
        <f>IF(AND(MONTH(Investment!$F11)=MONTH(J$7),YEAR(Investment!$F11)=YEAR(J$7)),Investment!$C11*Investment!$G11*Investment!$H11/12," ")</f>
        <v xml:space="preserve"> </v>
      </c>
      <c r="K11" s="246" t="str">
        <f>IF(AND(MONTH(Investment!$F11)=MONTH(K$7),YEAR(Investment!$F11)=YEAR(K$7)),Investment!$C11*Investment!$G11*Investment!$H11/12," ")</f>
        <v xml:space="preserve"> </v>
      </c>
      <c r="L11" s="246" t="str">
        <f>IF(AND(MONTH(Investment!$F11)=MONTH(L$7),YEAR(Investment!$F11)=YEAR(L$7)),Investment!$C11*Investment!$G11*Investment!$H11/12," ")</f>
        <v xml:space="preserve"> </v>
      </c>
      <c r="M11" s="246" t="str">
        <f>IF(AND(MONTH(Investment!$F11)=MONTH(M$7),YEAR(Investment!$F11)=YEAR(M$7)),Investment!$C11*Investment!$G11*Investment!$H11/12," ")</f>
        <v xml:space="preserve"> </v>
      </c>
      <c r="N11" s="246" t="str">
        <f>IF(AND(MONTH(Investment!$F11)=MONTH(N$7),YEAR(Investment!$F11)=YEAR(N$7)),Investment!$C11*Investment!$G11*Investment!$H11/12," ")</f>
        <v xml:space="preserve"> </v>
      </c>
      <c r="O11" s="246" t="str">
        <f>IF(AND(MONTH(Investment!$F11)=MONTH(O$7),YEAR(Investment!$F11)=YEAR(O$7)),Investment!$C11*Investment!$G11*Investment!$H11/12," ")</f>
        <v xml:space="preserve"> </v>
      </c>
      <c r="P11" s="246" t="str">
        <f>IF(AND(MONTH(Investment!$F11)=MONTH(P$7),YEAR(Investment!$F11)=YEAR(P$7)),Investment!$C11*Investment!$G11*Investment!$H11/12," ")</f>
        <v xml:space="preserve"> </v>
      </c>
      <c r="Q11" s="246" t="str">
        <f>IF(AND(MONTH(Investment!$F11)=MONTH(Q$7),YEAR(Investment!$F11)=YEAR(Q$7)),Investment!$C11*Investment!$G11*Investment!$H11/12," ")</f>
        <v xml:space="preserve"> </v>
      </c>
      <c r="R11" s="246" t="str">
        <f>IF(AND(MONTH(Investment!$F11)=MONTH(R$7),YEAR(Investment!$F11)=YEAR(R$7)),Investment!$C11*Investment!$G11*Investment!$H11/12," ")</f>
        <v xml:space="preserve"> </v>
      </c>
      <c r="S11" s="246" t="str">
        <f>IF(AND(MONTH(Investment!$F11)=MONTH(S$7),YEAR(Investment!$F11)=YEAR(S$7)),Investment!$C11*Investment!$G11*Investment!$H11/12," ")</f>
        <v xml:space="preserve"> </v>
      </c>
      <c r="T11" s="246" t="str">
        <f>IF(AND(MONTH(Investment!$F11)=MONTH(T$7),YEAR(Investment!$F11)=YEAR(T$7)),Investment!$C11*Investment!$G11*Investment!$H11/12," ")</f>
        <v xml:space="preserve"> </v>
      </c>
      <c r="U11" s="246" t="str">
        <f>IF(AND(MONTH(Investment!$F11)=MONTH(U$7),YEAR(Investment!$F11)=YEAR(U$7)),Investment!$C11*Investment!$G11*Investment!$H11/12," ")</f>
        <v xml:space="preserve"> </v>
      </c>
      <c r="V11" s="246" t="str">
        <f>IF(AND(MONTH(Investment!$F11)=MONTH(V$7),YEAR(Investment!$F11)=YEAR(V$7)),Investment!$C11*Investment!$G11*Investment!$H11/12," ")</f>
        <v xml:space="preserve"> </v>
      </c>
      <c r="W11" s="246" t="str">
        <f>IF(AND(MONTH(Investment!$F11)=MONTH(W$7),YEAR(Investment!$F11)=YEAR(W$7)),Investment!$C11*Investment!$G11*Investment!$H11/12," ")</f>
        <v xml:space="preserve"> </v>
      </c>
      <c r="X11" s="246" t="str">
        <f>IF(AND(MONTH(Investment!$F11)=MONTH(X$7),YEAR(Investment!$F11)=YEAR(X$7)),Investment!$C11*Investment!$G11*Investment!$H11/12," ")</f>
        <v xml:space="preserve"> </v>
      </c>
      <c r="Y11" s="246" t="str">
        <f>IF(AND(MONTH(Investment!$F11)=MONTH(Y$7),YEAR(Investment!$F11)=YEAR(Y$7)),Investment!$C11*Investment!$G11*Investment!$H11/12," ")</f>
        <v xml:space="preserve"> </v>
      </c>
      <c r="Z11" s="246" t="str">
        <f>IF(AND(MONTH(Investment!$F11)=MONTH(Z$7),YEAR(Investment!$F11)=YEAR(Z$7)),Investment!$C11*Investment!$G11*Investment!$H11/12," ")</f>
        <v xml:space="preserve"> </v>
      </c>
      <c r="AA11" s="246" t="str">
        <f>IF(AND(MONTH(Investment!$F11)=MONTH(AA$7),YEAR(Investment!$F11)=YEAR(AA$7)),Investment!$C11*Investment!$G11*Investment!$H11/12," ")</f>
        <v xml:space="preserve"> </v>
      </c>
      <c r="AB11" s="246" t="str">
        <f>IF(AND(MONTH(Investment!$F11)=MONTH(AB$7),YEAR(Investment!$F11)=YEAR(AB$7)),Investment!$C11*Investment!$G11*Investment!$H11/12," ")</f>
        <v xml:space="preserve"> </v>
      </c>
      <c r="AC11" s="246" t="str">
        <f>IF(AND(MONTH(Investment!$F11)=MONTH(AC$7),YEAR(Investment!$F11)=YEAR(AC$7)),Investment!$C11*Investment!$G11*Investment!$H11/12," ")</f>
        <v xml:space="preserve"> </v>
      </c>
      <c r="AD11" s="246" t="str">
        <f>IF(AND(MONTH(Investment!$F11)=MONTH(AD$7),YEAR(Investment!$F11)=YEAR(AD$7)),Investment!$C11*Investment!$G11*Investment!$H11/12," ")</f>
        <v xml:space="preserve"> </v>
      </c>
      <c r="AE11" s="246" t="str">
        <f>IF(AND(MONTH(Investment!$F11)=MONTH(AE$7),YEAR(Investment!$F11)=YEAR(AE$7)),Investment!$C11*Investment!$G11*Investment!$H11/12," ")</f>
        <v xml:space="preserve"> </v>
      </c>
      <c r="AF11" s="246" t="str">
        <f>IF(AND(MONTH(Investment!$F11)=MONTH(AF$7),YEAR(Investment!$F11)=YEAR(AF$7)),Investment!$C11*Investment!$G11*Investment!$H11/12," ")</f>
        <v xml:space="preserve"> </v>
      </c>
      <c r="AG11" s="325" t="str">
        <f>IF(AND(MONTH(Investment!$F11)=MONTH(AG$7),YEAR(Investment!$F11)=YEAR(AG$7)),Investment!$C11*Investment!$G11*Investment!$H11/12," ")</f>
        <v xml:space="preserve"> </v>
      </c>
    </row>
    <row r="12" spans="1:33" s="7" customFormat="1" ht="15">
      <c r="B12" s="278" t="s">
        <v>92</v>
      </c>
      <c r="C12" s="213"/>
      <c r="D12" s="213"/>
      <c r="E12" s="212"/>
      <c r="F12" s="212"/>
      <c r="G12" s="246">
        <f>ROUND((Investment!$F12-Investment!$E12)/365*12,0)</f>
        <v>0</v>
      </c>
      <c r="H12" s="315"/>
      <c r="I12" s="246">
        <f t="shared" si="3"/>
        <v>0</v>
      </c>
      <c r="J12" s="246" t="str">
        <f>IF(AND(MONTH(Investment!$F12)=MONTH(J$7),YEAR(Investment!$F12)=YEAR(J$7)),Investment!$C12*Investment!$G12*Investment!$H12/12," ")</f>
        <v xml:space="preserve"> </v>
      </c>
      <c r="K12" s="246" t="str">
        <f>IF(AND(MONTH(Investment!$F12)=MONTH(K$7),YEAR(Investment!$F12)=YEAR(K$7)),Investment!$C12*Investment!$G12*Investment!$H12/12," ")</f>
        <v xml:space="preserve"> </v>
      </c>
      <c r="L12" s="246" t="str">
        <f>IF(AND(MONTH(Investment!$F12)=MONTH(L$7),YEAR(Investment!$F12)=YEAR(L$7)),Investment!$C12*Investment!$G12*Investment!$H12/12," ")</f>
        <v xml:space="preserve"> </v>
      </c>
      <c r="M12" s="246" t="str">
        <f>IF(AND(MONTH(Investment!$F12)=MONTH(M$7),YEAR(Investment!$F12)=YEAR(M$7)),Investment!$C12*Investment!$G12*Investment!$H12/12," ")</f>
        <v xml:space="preserve"> </v>
      </c>
      <c r="N12" s="246" t="str">
        <f>IF(AND(MONTH(Investment!$F12)=MONTH(N$7),YEAR(Investment!$F12)=YEAR(N$7)),Investment!$C12*Investment!$G12*Investment!$H12/12," ")</f>
        <v xml:space="preserve"> </v>
      </c>
      <c r="O12" s="246" t="str">
        <f>IF(AND(MONTH(Investment!$F12)=MONTH(O$7),YEAR(Investment!$F12)=YEAR(O$7)),Investment!$C12*Investment!$G12*Investment!$H12/12," ")</f>
        <v xml:space="preserve"> </v>
      </c>
      <c r="P12" s="246" t="str">
        <f>IF(AND(MONTH(Investment!$F12)=MONTH(P$7),YEAR(Investment!$F12)=YEAR(P$7)),Investment!$C12*Investment!$G12*Investment!$H12/12," ")</f>
        <v xml:space="preserve"> </v>
      </c>
      <c r="Q12" s="246" t="str">
        <f>IF(AND(MONTH(Investment!$F12)=MONTH(Q$7),YEAR(Investment!$F12)=YEAR(Q$7)),Investment!$C12*Investment!$G12*Investment!$H12/12," ")</f>
        <v xml:space="preserve"> </v>
      </c>
      <c r="R12" s="246" t="str">
        <f>IF(AND(MONTH(Investment!$F12)=MONTH(R$7),YEAR(Investment!$F12)=YEAR(R$7)),Investment!$C12*Investment!$G12*Investment!$H12/12," ")</f>
        <v xml:space="preserve"> </v>
      </c>
      <c r="S12" s="246" t="str">
        <f>IF(AND(MONTH(Investment!$F12)=MONTH(S$7),YEAR(Investment!$F12)=YEAR(S$7)),Investment!$C12*Investment!$G12*Investment!$H12/12," ")</f>
        <v xml:space="preserve"> </v>
      </c>
      <c r="T12" s="246" t="str">
        <f>IF(AND(MONTH(Investment!$F12)=MONTH(T$7),YEAR(Investment!$F12)=YEAR(T$7)),Investment!$C12*Investment!$G12*Investment!$H12/12," ")</f>
        <v xml:space="preserve"> </v>
      </c>
      <c r="U12" s="246" t="str">
        <f>IF(AND(MONTH(Investment!$F12)=MONTH(U$7),YEAR(Investment!$F12)=YEAR(U$7)),Investment!$C12*Investment!$G12*Investment!$H12/12," ")</f>
        <v xml:space="preserve"> </v>
      </c>
      <c r="V12" s="246" t="str">
        <f>IF(AND(MONTH(Investment!$F12)=MONTH(V$7),YEAR(Investment!$F12)=YEAR(V$7)),Investment!$C12*Investment!$G12*Investment!$H12/12," ")</f>
        <v xml:space="preserve"> </v>
      </c>
      <c r="W12" s="246" t="str">
        <f>IF(AND(MONTH(Investment!$F12)=MONTH(W$7),YEAR(Investment!$F12)=YEAR(W$7)),Investment!$C12*Investment!$G12*Investment!$H12/12," ")</f>
        <v xml:space="preserve"> </v>
      </c>
      <c r="X12" s="246" t="str">
        <f>IF(AND(MONTH(Investment!$F12)=MONTH(X$7),YEAR(Investment!$F12)=YEAR(X$7)),Investment!$C12*Investment!$G12*Investment!$H12/12," ")</f>
        <v xml:space="preserve"> </v>
      </c>
      <c r="Y12" s="246" t="str">
        <f>IF(AND(MONTH(Investment!$F12)=MONTH(Y$7),YEAR(Investment!$F12)=YEAR(Y$7)),Investment!$C12*Investment!$G12*Investment!$H12/12," ")</f>
        <v xml:space="preserve"> </v>
      </c>
      <c r="Z12" s="246" t="str">
        <f>IF(AND(MONTH(Investment!$F12)=MONTH(Z$7),YEAR(Investment!$F12)=YEAR(Z$7)),Investment!$C12*Investment!$G12*Investment!$H12/12," ")</f>
        <v xml:space="preserve"> </v>
      </c>
      <c r="AA12" s="246" t="str">
        <f>IF(AND(MONTH(Investment!$F12)=MONTH(AA$7),YEAR(Investment!$F12)=YEAR(AA$7)),Investment!$C12*Investment!$G12*Investment!$H12/12," ")</f>
        <v xml:space="preserve"> </v>
      </c>
      <c r="AB12" s="246" t="str">
        <f>IF(AND(MONTH(Investment!$F12)=MONTH(AB$7),YEAR(Investment!$F12)=YEAR(AB$7)),Investment!$C12*Investment!$G12*Investment!$H12/12," ")</f>
        <v xml:space="preserve"> </v>
      </c>
      <c r="AC12" s="246" t="str">
        <f>IF(AND(MONTH(Investment!$F12)=MONTH(AC$7),YEAR(Investment!$F12)=YEAR(AC$7)),Investment!$C12*Investment!$G12*Investment!$H12/12," ")</f>
        <v xml:space="preserve"> </v>
      </c>
      <c r="AD12" s="246" t="str">
        <f>IF(AND(MONTH(Investment!$F12)=MONTH(AD$7),YEAR(Investment!$F12)=YEAR(AD$7)),Investment!$C12*Investment!$G12*Investment!$H12/12," ")</f>
        <v xml:space="preserve"> </v>
      </c>
      <c r="AE12" s="246" t="str">
        <f>IF(AND(MONTH(Investment!$F12)=MONTH(AE$7),YEAR(Investment!$F12)=YEAR(AE$7)),Investment!$C12*Investment!$G12*Investment!$H12/12," ")</f>
        <v xml:space="preserve"> </v>
      </c>
      <c r="AF12" s="246" t="str">
        <f>IF(AND(MONTH(Investment!$F12)=MONTH(AF$7),YEAR(Investment!$F12)=YEAR(AF$7)),Investment!$C12*Investment!$G12*Investment!$H12/12," ")</f>
        <v xml:space="preserve"> </v>
      </c>
      <c r="AG12" s="325" t="str">
        <f>IF(AND(MONTH(Investment!$F12)=MONTH(AG$7),YEAR(Investment!$F12)=YEAR(AG$7)),Investment!$C12*Investment!$G12*Investment!$H12/12," ")</f>
        <v xml:space="preserve"> </v>
      </c>
    </row>
    <row r="13" spans="1:33">
      <c r="B13" s="278" t="s">
        <v>228</v>
      </c>
      <c r="C13" s="213"/>
      <c r="D13" s="213"/>
      <c r="E13" s="212"/>
      <c r="F13" s="212"/>
      <c r="G13" s="246">
        <f>ROUND((Investment!$F13-Investment!$E13)/365*12,0)</f>
        <v>0</v>
      </c>
      <c r="H13" s="315"/>
      <c r="I13" s="246">
        <f t="shared" si="3"/>
        <v>0</v>
      </c>
      <c r="J13" s="246" t="str">
        <f>IF(AND(MONTH(Investment!$F13)=MONTH(J$7),YEAR(Investment!$F13)=YEAR(J$7)),Investment!$C13*Investment!$G13*Investment!$H13/12," ")</f>
        <v xml:space="preserve"> </v>
      </c>
      <c r="K13" s="246" t="str">
        <f>IF(AND(MONTH(Investment!$F13)=MONTH(K$7),YEAR(Investment!$F13)=YEAR(K$7)),Investment!$C13*Investment!$G13*Investment!$H13/12," ")</f>
        <v xml:space="preserve"> </v>
      </c>
      <c r="L13" s="246" t="str">
        <f>IF(AND(MONTH(Investment!$F13)=MONTH(L$7),YEAR(Investment!$F13)=YEAR(L$7)),Investment!$C13*Investment!$G13*Investment!$H13/12," ")</f>
        <v xml:space="preserve"> </v>
      </c>
      <c r="M13" s="246" t="str">
        <f>IF(AND(MONTH(Investment!$F13)=MONTH(M$7),YEAR(Investment!$F13)=YEAR(M$7)),Investment!$C13*Investment!$G13*Investment!$H13/12," ")</f>
        <v xml:space="preserve"> </v>
      </c>
      <c r="N13" s="246" t="str">
        <f>IF(AND(MONTH(Investment!$F13)=MONTH(N$7),YEAR(Investment!$F13)=YEAR(N$7)),Investment!$C13*Investment!$G13*Investment!$H13/12," ")</f>
        <v xml:space="preserve"> </v>
      </c>
      <c r="O13" s="246" t="str">
        <f>IF(AND(MONTH(Investment!$F13)=MONTH(O$7),YEAR(Investment!$F13)=YEAR(O$7)),Investment!$C13*Investment!$G13*Investment!$H13/12," ")</f>
        <v xml:space="preserve"> </v>
      </c>
      <c r="P13" s="246" t="str">
        <f>IF(AND(MONTH(Investment!$F13)=MONTH(P$7),YEAR(Investment!$F13)=YEAR(P$7)),Investment!$C13*Investment!$G13*Investment!$H13/12," ")</f>
        <v xml:space="preserve"> </v>
      </c>
      <c r="Q13" s="246" t="str">
        <f>IF(AND(MONTH(Investment!$F13)=MONTH(Q$7),YEAR(Investment!$F13)=YEAR(Q$7)),Investment!$C13*Investment!$G13*Investment!$H13/12," ")</f>
        <v xml:space="preserve"> </v>
      </c>
      <c r="R13" s="246" t="str">
        <f>IF(AND(MONTH(Investment!$F13)=MONTH(R$7),YEAR(Investment!$F13)=YEAR(R$7)),Investment!$C13*Investment!$G13*Investment!$H13/12," ")</f>
        <v xml:space="preserve"> </v>
      </c>
      <c r="S13" s="246" t="str">
        <f>IF(AND(MONTH(Investment!$F13)=MONTH(S$7),YEAR(Investment!$F13)=YEAR(S$7)),Investment!$C13*Investment!$G13*Investment!$H13/12," ")</f>
        <v xml:space="preserve"> </v>
      </c>
      <c r="T13" s="246" t="str">
        <f>IF(AND(MONTH(Investment!$F13)=MONTH(T$7),YEAR(Investment!$F13)=YEAR(T$7)),Investment!$C13*Investment!$G13*Investment!$H13/12," ")</f>
        <v xml:space="preserve"> </v>
      </c>
      <c r="U13" s="246" t="str">
        <f>IF(AND(MONTH(Investment!$F13)=MONTH(U$7),YEAR(Investment!$F13)=YEAR(U$7)),Investment!$C13*Investment!$G13*Investment!$H13/12," ")</f>
        <v xml:space="preserve"> </v>
      </c>
      <c r="V13" s="246" t="str">
        <f>IF(AND(MONTH(Investment!$F13)=MONTH(V$7),YEAR(Investment!$F13)=YEAR(V$7)),Investment!$C13*Investment!$G13*Investment!$H13/12," ")</f>
        <v xml:space="preserve"> </v>
      </c>
      <c r="W13" s="246" t="str">
        <f>IF(AND(MONTH(Investment!$F13)=MONTH(W$7),YEAR(Investment!$F13)=YEAR(W$7)),Investment!$C13*Investment!$G13*Investment!$H13/12," ")</f>
        <v xml:space="preserve"> </v>
      </c>
      <c r="X13" s="246" t="str">
        <f>IF(AND(MONTH(Investment!$F13)=MONTH(X$7),YEAR(Investment!$F13)=YEAR(X$7)),Investment!$C13*Investment!$G13*Investment!$H13/12," ")</f>
        <v xml:space="preserve"> </v>
      </c>
      <c r="Y13" s="246" t="str">
        <f>IF(AND(MONTH(Investment!$F13)=MONTH(Y$7),YEAR(Investment!$F13)=YEAR(Y$7)),Investment!$C13*Investment!$G13*Investment!$H13/12," ")</f>
        <v xml:space="preserve"> </v>
      </c>
      <c r="Z13" s="246" t="str">
        <f>IF(AND(MONTH(Investment!$F13)=MONTH(Z$7),YEAR(Investment!$F13)=YEAR(Z$7)),Investment!$C13*Investment!$G13*Investment!$H13/12," ")</f>
        <v xml:space="preserve"> </v>
      </c>
      <c r="AA13" s="246" t="str">
        <f>IF(AND(MONTH(Investment!$F13)=MONTH(AA$7),YEAR(Investment!$F13)=YEAR(AA$7)),Investment!$C13*Investment!$G13*Investment!$H13/12," ")</f>
        <v xml:space="preserve"> </v>
      </c>
      <c r="AB13" s="246" t="str">
        <f>IF(AND(MONTH(Investment!$F13)=MONTH(AB$7),YEAR(Investment!$F13)=YEAR(AB$7)),Investment!$C13*Investment!$G13*Investment!$H13/12," ")</f>
        <v xml:space="preserve"> </v>
      </c>
      <c r="AC13" s="246" t="str">
        <f>IF(AND(MONTH(Investment!$F13)=MONTH(AC$7),YEAR(Investment!$F13)=YEAR(AC$7)),Investment!$C13*Investment!$G13*Investment!$H13/12," ")</f>
        <v xml:space="preserve"> </v>
      </c>
      <c r="AD13" s="246" t="str">
        <f>IF(AND(MONTH(Investment!$F13)=MONTH(AD$7),YEAR(Investment!$F13)=YEAR(AD$7)),Investment!$C13*Investment!$G13*Investment!$H13/12," ")</f>
        <v xml:space="preserve"> </v>
      </c>
      <c r="AE13" s="246" t="str">
        <f>IF(AND(MONTH(Investment!$F13)=MONTH(AE$7),YEAR(Investment!$F13)=YEAR(AE$7)),Investment!$C13*Investment!$G13*Investment!$H13/12," ")</f>
        <v xml:space="preserve"> </v>
      </c>
      <c r="AF13" s="246" t="str">
        <f>IF(AND(MONTH(Investment!$F13)=MONTH(AF$7),YEAR(Investment!$F13)=YEAR(AF$7)),Investment!$C13*Investment!$G13*Investment!$H13/12," ")</f>
        <v xml:space="preserve"> </v>
      </c>
      <c r="AG13" s="325" t="str">
        <f>IF(AND(MONTH(Investment!$F13)=MONTH(AG$7),YEAR(Investment!$F13)=YEAR(AG$7)),Investment!$C13*Investment!$G13*Investment!$H13/12," ")</f>
        <v xml:space="preserve"> </v>
      </c>
    </row>
    <row r="14" spans="1:33">
      <c r="B14" s="278" t="s">
        <v>229</v>
      </c>
      <c r="C14" s="213"/>
      <c r="D14" s="213"/>
      <c r="E14" s="212"/>
      <c r="F14" s="212"/>
      <c r="G14" s="246">
        <f>ROUND((Investment!$F14-Investment!$E14)/365*12,0)</f>
        <v>0</v>
      </c>
      <c r="H14" s="315"/>
      <c r="I14" s="246">
        <f t="shared" si="3"/>
        <v>0</v>
      </c>
      <c r="J14" s="246" t="str">
        <f>IF(AND(MONTH(Investment!$F14)=MONTH(J$7),YEAR(Investment!$F14)=YEAR(J$7)),Investment!$C14*Investment!$G14*Investment!$H14/12," ")</f>
        <v xml:space="preserve"> </v>
      </c>
      <c r="K14" s="246" t="str">
        <f>IF(AND(MONTH(Investment!$F14)=MONTH(K$7),YEAR(Investment!$F14)=YEAR(K$7)),Investment!$C14*Investment!$G14*Investment!$H14/12," ")</f>
        <v xml:space="preserve"> </v>
      </c>
      <c r="L14" s="246" t="str">
        <f>IF(AND(MONTH(Investment!$F14)=MONTH(L$7),YEAR(Investment!$F14)=YEAR(L$7)),Investment!$C14*Investment!$G14*Investment!$H14/12," ")</f>
        <v xml:space="preserve"> </v>
      </c>
      <c r="M14" s="246" t="str">
        <f>IF(AND(MONTH(Investment!$F14)=MONTH(M$7),YEAR(Investment!$F14)=YEAR(M$7)),Investment!$C14*Investment!$G14*Investment!$H14/12," ")</f>
        <v xml:space="preserve"> </v>
      </c>
      <c r="N14" s="246" t="str">
        <f>IF(AND(MONTH(Investment!$F14)=MONTH(N$7),YEAR(Investment!$F14)=YEAR(N$7)),Investment!$C14*Investment!$G14*Investment!$H14/12," ")</f>
        <v xml:space="preserve"> </v>
      </c>
      <c r="O14" s="246" t="str">
        <f>IF(AND(MONTH(Investment!$F14)=MONTH(O$7),YEAR(Investment!$F14)=YEAR(O$7)),Investment!$C14*Investment!$G14*Investment!$H14/12," ")</f>
        <v xml:space="preserve"> </v>
      </c>
      <c r="P14" s="246" t="str">
        <f>IF(AND(MONTH(Investment!$F14)=MONTH(P$7),YEAR(Investment!$F14)=YEAR(P$7)),Investment!$C14*Investment!$G14*Investment!$H14/12," ")</f>
        <v xml:space="preserve"> </v>
      </c>
      <c r="Q14" s="246" t="str">
        <f>IF(AND(MONTH(Investment!$F14)=MONTH(Q$7),YEAR(Investment!$F14)=YEAR(Q$7)),Investment!$C14*Investment!$G14*Investment!$H14/12," ")</f>
        <v xml:space="preserve"> </v>
      </c>
      <c r="R14" s="246" t="str">
        <f>IF(AND(MONTH(Investment!$F14)=MONTH(R$7),YEAR(Investment!$F14)=YEAR(R$7)),Investment!$C14*Investment!$G14*Investment!$H14/12," ")</f>
        <v xml:space="preserve"> </v>
      </c>
      <c r="S14" s="246" t="str">
        <f>IF(AND(MONTH(Investment!$F14)=MONTH(S$7),YEAR(Investment!$F14)=YEAR(S$7)),Investment!$C14*Investment!$G14*Investment!$H14/12," ")</f>
        <v xml:space="preserve"> </v>
      </c>
      <c r="T14" s="246" t="str">
        <f>IF(AND(MONTH(Investment!$F14)=MONTH(T$7),YEAR(Investment!$F14)=YEAR(T$7)),Investment!$C14*Investment!$G14*Investment!$H14/12," ")</f>
        <v xml:space="preserve"> </v>
      </c>
      <c r="U14" s="246" t="str">
        <f>IF(AND(MONTH(Investment!$F14)=MONTH(U$7),YEAR(Investment!$F14)=YEAR(U$7)),Investment!$C14*Investment!$G14*Investment!$H14/12," ")</f>
        <v xml:space="preserve"> </v>
      </c>
      <c r="V14" s="246" t="str">
        <f>IF(AND(MONTH(Investment!$F14)=MONTH(V$7),YEAR(Investment!$F14)=YEAR(V$7)),Investment!$C14*Investment!$G14*Investment!$H14/12," ")</f>
        <v xml:space="preserve"> </v>
      </c>
      <c r="W14" s="246" t="str">
        <f>IF(AND(MONTH(Investment!$F14)=MONTH(W$7),YEAR(Investment!$F14)=YEAR(W$7)),Investment!$C14*Investment!$G14*Investment!$H14/12," ")</f>
        <v xml:space="preserve"> </v>
      </c>
      <c r="X14" s="246" t="str">
        <f>IF(AND(MONTH(Investment!$F14)=MONTH(X$7),YEAR(Investment!$F14)=YEAR(X$7)),Investment!$C14*Investment!$G14*Investment!$H14/12," ")</f>
        <v xml:space="preserve"> </v>
      </c>
      <c r="Y14" s="246" t="str">
        <f>IF(AND(MONTH(Investment!$F14)=MONTH(Y$7),YEAR(Investment!$F14)=YEAR(Y$7)),Investment!$C14*Investment!$G14*Investment!$H14/12," ")</f>
        <v xml:space="preserve"> </v>
      </c>
      <c r="Z14" s="246" t="str">
        <f>IF(AND(MONTH(Investment!$F14)=MONTH(Z$7),YEAR(Investment!$F14)=YEAR(Z$7)),Investment!$C14*Investment!$G14*Investment!$H14/12," ")</f>
        <v xml:space="preserve"> </v>
      </c>
      <c r="AA14" s="246" t="str">
        <f>IF(AND(MONTH(Investment!$F14)=MONTH(AA$7),YEAR(Investment!$F14)=YEAR(AA$7)),Investment!$C14*Investment!$G14*Investment!$H14/12," ")</f>
        <v xml:space="preserve"> </v>
      </c>
      <c r="AB14" s="246" t="str">
        <f>IF(AND(MONTH(Investment!$F14)=MONTH(AB$7),YEAR(Investment!$F14)=YEAR(AB$7)),Investment!$C14*Investment!$G14*Investment!$H14/12," ")</f>
        <v xml:space="preserve"> </v>
      </c>
      <c r="AC14" s="246" t="str">
        <f>IF(AND(MONTH(Investment!$F14)=MONTH(AC$7),YEAR(Investment!$F14)=YEAR(AC$7)),Investment!$C14*Investment!$G14*Investment!$H14/12," ")</f>
        <v xml:space="preserve"> </v>
      </c>
      <c r="AD14" s="246" t="str">
        <f>IF(AND(MONTH(Investment!$F14)=MONTH(AD$7),YEAR(Investment!$F14)=YEAR(AD$7)),Investment!$C14*Investment!$G14*Investment!$H14/12," ")</f>
        <v xml:space="preserve"> </v>
      </c>
      <c r="AE14" s="246" t="str">
        <f>IF(AND(MONTH(Investment!$F14)=MONTH(AE$7),YEAR(Investment!$F14)=YEAR(AE$7)),Investment!$C14*Investment!$G14*Investment!$H14/12," ")</f>
        <v xml:space="preserve"> </v>
      </c>
      <c r="AF14" s="246" t="str">
        <f>IF(AND(MONTH(Investment!$F14)=MONTH(AF$7),YEAR(Investment!$F14)=YEAR(AF$7)),Investment!$C14*Investment!$G14*Investment!$H14/12," ")</f>
        <v xml:space="preserve"> </v>
      </c>
      <c r="AG14" s="325" t="str">
        <f>IF(AND(MONTH(Investment!$F14)=MONTH(AG$7),YEAR(Investment!$F14)=YEAR(AG$7)),Investment!$C14*Investment!$G14*Investment!$H14/12," ")</f>
        <v xml:space="preserve"> </v>
      </c>
    </row>
    <row r="15" spans="1:33">
      <c r="B15" s="278" t="s">
        <v>230</v>
      </c>
      <c r="C15" s="213"/>
      <c r="D15" s="213"/>
      <c r="E15" s="212"/>
      <c r="F15" s="212"/>
      <c r="G15" s="246">
        <f>ROUND((Investment!$F15-Investment!$E15)/365*12,0)</f>
        <v>0</v>
      </c>
      <c r="H15" s="315"/>
      <c r="I15" s="246">
        <f t="shared" si="3"/>
        <v>0</v>
      </c>
      <c r="J15" s="246" t="str">
        <f>IF(AND(MONTH(Investment!$F15)=MONTH(J$7),YEAR(Investment!$F15)=YEAR(J$7)),Investment!$C15*Investment!$G15*Investment!$H15/12," ")</f>
        <v xml:space="preserve"> </v>
      </c>
      <c r="K15" s="246" t="str">
        <f>IF(AND(MONTH(Investment!$F15)=MONTH(K$7),YEAR(Investment!$F15)=YEAR(K$7)),Investment!$C15*Investment!$G15*Investment!$H15/12," ")</f>
        <v xml:space="preserve"> </v>
      </c>
      <c r="L15" s="246" t="str">
        <f>IF(AND(MONTH(Investment!$F15)=MONTH(L$7),YEAR(Investment!$F15)=YEAR(L$7)),Investment!$C15*Investment!$G15*Investment!$H15/12," ")</f>
        <v xml:space="preserve"> </v>
      </c>
      <c r="M15" s="246" t="str">
        <f>IF(AND(MONTH(Investment!$F15)=MONTH(M$7),YEAR(Investment!$F15)=YEAR(M$7)),Investment!$C15*Investment!$G15*Investment!$H15/12," ")</f>
        <v xml:space="preserve"> </v>
      </c>
      <c r="N15" s="246" t="str">
        <f>IF(AND(MONTH(Investment!$F15)=MONTH(N$7),YEAR(Investment!$F15)=YEAR(N$7)),Investment!$C15*Investment!$G15*Investment!$H15/12," ")</f>
        <v xml:space="preserve"> </v>
      </c>
      <c r="O15" s="246" t="str">
        <f>IF(AND(MONTH(Investment!$F15)=MONTH(O$7),YEAR(Investment!$F15)=YEAR(O$7)),Investment!$C15*Investment!$G15*Investment!$H15/12," ")</f>
        <v xml:space="preserve"> </v>
      </c>
      <c r="P15" s="246" t="str">
        <f>IF(AND(MONTH(Investment!$F15)=MONTH(P$7),YEAR(Investment!$F15)=YEAR(P$7)),Investment!$C15*Investment!$G15*Investment!$H15/12," ")</f>
        <v xml:space="preserve"> </v>
      </c>
      <c r="Q15" s="246" t="str">
        <f>IF(AND(MONTH(Investment!$F15)=MONTH(Q$7),YEAR(Investment!$F15)=YEAR(Q$7)),Investment!$C15*Investment!$G15*Investment!$H15/12," ")</f>
        <v xml:space="preserve"> </v>
      </c>
      <c r="R15" s="246" t="str">
        <f>IF(AND(MONTH(Investment!$F15)=MONTH(R$7),YEAR(Investment!$F15)=YEAR(R$7)),Investment!$C15*Investment!$G15*Investment!$H15/12," ")</f>
        <v xml:space="preserve"> </v>
      </c>
      <c r="S15" s="246" t="str">
        <f>IF(AND(MONTH(Investment!$F15)=MONTH(S$7),YEAR(Investment!$F15)=YEAR(S$7)),Investment!$C15*Investment!$G15*Investment!$H15/12," ")</f>
        <v xml:space="preserve"> </v>
      </c>
      <c r="T15" s="246" t="str">
        <f>IF(AND(MONTH(Investment!$F15)=MONTH(T$7),YEAR(Investment!$F15)=YEAR(T$7)),Investment!$C15*Investment!$G15*Investment!$H15/12," ")</f>
        <v xml:space="preserve"> </v>
      </c>
      <c r="U15" s="246" t="str">
        <f>IF(AND(MONTH(Investment!$F15)=MONTH(U$7),YEAR(Investment!$F15)=YEAR(U$7)),Investment!$C15*Investment!$G15*Investment!$H15/12," ")</f>
        <v xml:space="preserve"> </v>
      </c>
      <c r="V15" s="246" t="str">
        <f>IF(AND(MONTH(Investment!$F15)=MONTH(V$7),YEAR(Investment!$F15)=YEAR(V$7)),Investment!$C15*Investment!$G15*Investment!$H15/12," ")</f>
        <v xml:space="preserve"> </v>
      </c>
      <c r="W15" s="246" t="str">
        <f>IF(AND(MONTH(Investment!$F15)=MONTH(W$7),YEAR(Investment!$F15)=YEAR(W$7)),Investment!$C15*Investment!$G15*Investment!$H15/12," ")</f>
        <v xml:space="preserve"> </v>
      </c>
      <c r="X15" s="246" t="str">
        <f>IF(AND(MONTH(Investment!$F15)=MONTH(X$7),YEAR(Investment!$F15)=YEAR(X$7)),Investment!$C15*Investment!$G15*Investment!$H15/12," ")</f>
        <v xml:space="preserve"> </v>
      </c>
      <c r="Y15" s="246" t="str">
        <f>IF(AND(MONTH(Investment!$F15)=MONTH(Y$7),YEAR(Investment!$F15)=YEAR(Y$7)),Investment!$C15*Investment!$G15*Investment!$H15/12," ")</f>
        <v xml:space="preserve"> </v>
      </c>
      <c r="Z15" s="246" t="str">
        <f>IF(AND(MONTH(Investment!$F15)=MONTH(Z$7),YEAR(Investment!$F15)=YEAR(Z$7)),Investment!$C15*Investment!$G15*Investment!$H15/12," ")</f>
        <v xml:space="preserve"> </v>
      </c>
      <c r="AA15" s="246" t="str">
        <f>IF(AND(MONTH(Investment!$F15)=MONTH(AA$7),YEAR(Investment!$F15)=YEAR(AA$7)),Investment!$C15*Investment!$G15*Investment!$H15/12," ")</f>
        <v xml:space="preserve"> </v>
      </c>
      <c r="AB15" s="246" t="str">
        <f>IF(AND(MONTH(Investment!$F15)=MONTH(AB$7),YEAR(Investment!$F15)=YEAR(AB$7)),Investment!$C15*Investment!$G15*Investment!$H15/12," ")</f>
        <v xml:space="preserve"> </v>
      </c>
      <c r="AC15" s="246" t="str">
        <f>IF(AND(MONTH(Investment!$F15)=MONTH(AC$7),YEAR(Investment!$F15)=YEAR(AC$7)),Investment!$C15*Investment!$G15*Investment!$H15/12," ")</f>
        <v xml:space="preserve"> </v>
      </c>
      <c r="AD15" s="246" t="str">
        <f>IF(AND(MONTH(Investment!$F15)=MONTH(AD$7),YEAR(Investment!$F15)=YEAR(AD$7)),Investment!$C15*Investment!$G15*Investment!$H15/12," ")</f>
        <v xml:space="preserve"> </v>
      </c>
      <c r="AE15" s="246" t="str">
        <f>IF(AND(MONTH(Investment!$F15)=MONTH(AE$7),YEAR(Investment!$F15)=YEAR(AE$7)),Investment!$C15*Investment!$G15*Investment!$H15/12," ")</f>
        <v xml:space="preserve"> </v>
      </c>
      <c r="AF15" s="246" t="str">
        <f>IF(AND(MONTH(Investment!$F15)=MONTH(AF$7),YEAR(Investment!$F15)=YEAR(AF$7)),Investment!$C15*Investment!$G15*Investment!$H15/12," ")</f>
        <v xml:space="preserve"> </v>
      </c>
      <c r="AG15" s="325" t="str">
        <f>IF(AND(MONTH(Investment!$F15)=MONTH(AG$7),YEAR(Investment!$F15)=YEAR(AG$7)),Investment!$C15*Investment!$G15*Investment!$H15/12," ")</f>
        <v xml:space="preserve"> </v>
      </c>
    </row>
    <row r="16" spans="1:33">
      <c r="B16" s="278"/>
      <c r="C16" s="213"/>
      <c r="D16" s="213"/>
      <c r="E16" s="212"/>
      <c r="F16" s="212"/>
      <c r="G16" s="246">
        <f>ROUND((Investment!$F16-Investment!$E16)/365*12,0)</f>
        <v>0</v>
      </c>
      <c r="H16" s="315"/>
      <c r="I16" s="246">
        <f t="shared" si="3"/>
        <v>0</v>
      </c>
      <c r="J16" s="246" t="str">
        <f>IF(AND(MONTH(Investment!$F16)=MONTH(J$7),YEAR(Investment!$F16)=YEAR(J$7)),Investment!$C16*Investment!$G16*Investment!$H16/12," ")</f>
        <v xml:space="preserve"> </v>
      </c>
      <c r="K16" s="246" t="str">
        <f>IF(AND(MONTH(Investment!$F16)=MONTH(K$7),YEAR(Investment!$F16)=YEAR(K$7)),Investment!$C16*Investment!$G16*Investment!$H16/12," ")</f>
        <v xml:space="preserve"> </v>
      </c>
      <c r="L16" s="246" t="str">
        <f>IF(AND(MONTH(Investment!$F16)=MONTH(L$7),YEAR(Investment!$F16)=YEAR(L$7)),Investment!$C16*Investment!$G16*Investment!$H16/12," ")</f>
        <v xml:space="preserve"> </v>
      </c>
      <c r="M16" s="246" t="str">
        <f>IF(AND(MONTH(Investment!$F16)=MONTH(M$7),YEAR(Investment!$F16)=YEAR(M$7)),Investment!$C16*Investment!$G16*Investment!$H16/12," ")</f>
        <v xml:space="preserve"> </v>
      </c>
      <c r="N16" s="246" t="str">
        <f>IF(AND(MONTH(Investment!$F16)=MONTH(N$7),YEAR(Investment!$F16)=YEAR(N$7)),Investment!$C16*Investment!$G16*Investment!$H16/12," ")</f>
        <v xml:space="preserve"> </v>
      </c>
      <c r="O16" s="246" t="str">
        <f>IF(AND(MONTH(Investment!$F16)=MONTH(O$7),YEAR(Investment!$F16)=YEAR(O$7)),Investment!$C16*Investment!$G16*Investment!$H16/12," ")</f>
        <v xml:space="preserve"> </v>
      </c>
      <c r="P16" s="246" t="str">
        <f>IF(AND(MONTH(Investment!$F16)=MONTH(P$7),YEAR(Investment!$F16)=YEAR(P$7)),Investment!$C16*Investment!$G16*Investment!$H16/12," ")</f>
        <v xml:space="preserve"> </v>
      </c>
      <c r="Q16" s="246" t="str">
        <f>IF(AND(MONTH(Investment!$F16)=MONTH(Q$7),YEAR(Investment!$F16)=YEAR(Q$7)),Investment!$C16*Investment!$G16*Investment!$H16/12," ")</f>
        <v xml:space="preserve"> </v>
      </c>
      <c r="R16" s="246" t="str">
        <f>IF(AND(MONTH(Investment!$F16)=MONTH(R$7),YEAR(Investment!$F16)=YEAR(R$7)),Investment!$C16*Investment!$G16*Investment!$H16/12," ")</f>
        <v xml:space="preserve"> </v>
      </c>
      <c r="S16" s="246" t="str">
        <f>IF(AND(MONTH(Investment!$F16)=MONTH(S$7),YEAR(Investment!$F16)=YEAR(S$7)),Investment!$C16*Investment!$G16*Investment!$H16/12," ")</f>
        <v xml:space="preserve"> </v>
      </c>
      <c r="T16" s="246" t="str">
        <f>IF(AND(MONTH(Investment!$F16)=MONTH(T$7),YEAR(Investment!$F16)=YEAR(T$7)),Investment!$C16*Investment!$G16*Investment!$H16/12," ")</f>
        <v xml:space="preserve"> </v>
      </c>
      <c r="U16" s="246" t="str">
        <f>IF(AND(MONTH(Investment!$F16)=MONTH(U$7),YEAR(Investment!$F16)=YEAR(U$7)),Investment!$C16*Investment!$G16*Investment!$H16/12," ")</f>
        <v xml:space="preserve"> </v>
      </c>
      <c r="V16" s="246" t="str">
        <f>IF(AND(MONTH(Investment!$F16)=MONTH(V$7),YEAR(Investment!$F16)=YEAR(V$7)),Investment!$C16*Investment!$G16*Investment!$H16/12," ")</f>
        <v xml:space="preserve"> </v>
      </c>
      <c r="W16" s="246" t="str">
        <f>IF(AND(MONTH(Investment!$F16)=MONTH(W$7),YEAR(Investment!$F16)=YEAR(W$7)),Investment!$C16*Investment!$G16*Investment!$H16/12," ")</f>
        <v xml:space="preserve"> </v>
      </c>
      <c r="X16" s="246" t="str">
        <f>IF(AND(MONTH(Investment!$F16)=MONTH(X$7),YEAR(Investment!$F16)=YEAR(X$7)),Investment!$C16*Investment!$G16*Investment!$H16/12," ")</f>
        <v xml:space="preserve"> </v>
      </c>
      <c r="Y16" s="246" t="str">
        <f>IF(AND(MONTH(Investment!$F16)=MONTH(Y$7),YEAR(Investment!$F16)=YEAR(Y$7)),Investment!$C16*Investment!$G16*Investment!$H16/12," ")</f>
        <v xml:space="preserve"> </v>
      </c>
      <c r="Z16" s="246" t="str">
        <f>IF(AND(MONTH(Investment!$F16)=MONTH(Z$7),YEAR(Investment!$F16)=YEAR(Z$7)),Investment!$C16*Investment!$G16*Investment!$H16/12," ")</f>
        <v xml:space="preserve"> </v>
      </c>
      <c r="AA16" s="246" t="str">
        <f>IF(AND(MONTH(Investment!$F16)=MONTH(AA$7),YEAR(Investment!$F16)=YEAR(AA$7)),Investment!$C16*Investment!$G16*Investment!$H16/12," ")</f>
        <v xml:space="preserve"> </v>
      </c>
      <c r="AB16" s="246" t="str">
        <f>IF(AND(MONTH(Investment!$F16)=MONTH(AB$7),YEAR(Investment!$F16)=YEAR(AB$7)),Investment!$C16*Investment!$G16*Investment!$H16/12," ")</f>
        <v xml:space="preserve"> </v>
      </c>
      <c r="AC16" s="246" t="str">
        <f>IF(AND(MONTH(Investment!$F16)=MONTH(AC$7),YEAR(Investment!$F16)=YEAR(AC$7)),Investment!$C16*Investment!$G16*Investment!$H16/12," ")</f>
        <v xml:space="preserve"> </v>
      </c>
      <c r="AD16" s="246" t="str">
        <f>IF(AND(MONTH(Investment!$F16)=MONTH(AD$7),YEAR(Investment!$F16)=YEAR(AD$7)),Investment!$C16*Investment!$G16*Investment!$H16/12," ")</f>
        <v xml:space="preserve"> </v>
      </c>
      <c r="AE16" s="246" t="str">
        <f>IF(AND(MONTH(Investment!$F16)=MONTH(AE$7),YEAR(Investment!$F16)=YEAR(AE$7)),Investment!$C16*Investment!$G16*Investment!$H16/12," ")</f>
        <v xml:space="preserve"> </v>
      </c>
      <c r="AF16" s="246" t="str">
        <f>IF(AND(MONTH(Investment!$F16)=MONTH(AF$7),YEAR(Investment!$F16)=YEAR(AF$7)),Investment!$C16*Investment!$G16*Investment!$H16/12," ")</f>
        <v xml:space="preserve"> </v>
      </c>
      <c r="AG16" s="325" t="str">
        <f>IF(AND(MONTH(Investment!$F16)=MONTH(AG$7),YEAR(Investment!$F16)=YEAR(AG$7)),Investment!$C16*Investment!$G16*Investment!$H16/12," ")</f>
        <v xml:space="preserve"> </v>
      </c>
    </row>
    <row r="17" spans="2:33">
      <c r="B17" s="278"/>
      <c r="C17" s="213"/>
      <c r="D17" s="213"/>
      <c r="E17" s="212"/>
      <c r="F17" s="212"/>
      <c r="G17" s="246">
        <f>ROUND((Investment!$F17-Investment!$E17)/365*12,0)</f>
        <v>0</v>
      </c>
      <c r="H17" s="315"/>
      <c r="I17" s="246">
        <f t="shared" si="3"/>
        <v>0</v>
      </c>
      <c r="J17" s="246" t="str">
        <f>IF(AND(MONTH(Investment!$F17)=MONTH(J$7),YEAR(Investment!$F17)=YEAR(J$7)),Investment!$C17*Investment!$G17*Investment!$H17/12," ")</f>
        <v xml:space="preserve"> </v>
      </c>
      <c r="K17" s="246" t="str">
        <f>IF(AND(MONTH(Investment!$F17)=MONTH(K$7),YEAR(Investment!$F17)=YEAR(K$7)),Investment!$C17*Investment!$G17*Investment!$H17/12," ")</f>
        <v xml:space="preserve"> </v>
      </c>
      <c r="L17" s="246" t="str">
        <f>IF(AND(MONTH(Investment!$F17)=MONTH(L$7),YEAR(Investment!$F17)=YEAR(L$7)),Investment!$C17*Investment!$G17*Investment!$H17/12," ")</f>
        <v xml:space="preserve"> </v>
      </c>
      <c r="M17" s="246" t="str">
        <f>IF(AND(MONTH(Investment!$F17)=MONTH(M$7),YEAR(Investment!$F17)=YEAR(M$7)),Investment!$C17*Investment!$G17*Investment!$H17/12," ")</f>
        <v xml:space="preserve"> </v>
      </c>
      <c r="N17" s="246" t="str">
        <f>IF(AND(MONTH(Investment!$F17)=MONTH(N$7),YEAR(Investment!$F17)=YEAR(N$7)),Investment!$C17*Investment!$G17*Investment!$H17/12," ")</f>
        <v xml:space="preserve"> </v>
      </c>
      <c r="O17" s="246" t="str">
        <f>IF(AND(MONTH(Investment!$F17)=MONTH(O$7),YEAR(Investment!$F17)=YEAR(O$7)),Investment!$C17*Investment!$G17*Investment!$H17/12," ")</f>
        <v xml:space="preserve"> </v>
      </c>
      <c r="P17" s="246" t="str">
        <f>IF(AND(MONTH(Investment!$F17)=MONTH(P$7),YEAR(Investment!$F17)=YEAR(P$7)),Investment!$C17*Investment!$G17*Investment!$H17/12," ")</f>
        <v xml:space="preserve"> </v>
      </c>
      <c r="Q17" s="246" t="str">
        <f>IF(AND(MONTH(Investment!$F17)=MONTH(Q$7),YEAR(Investment!$F17)=YEAR(Q$7)),Investment!$C17*Investment!$G17*Investment!$H17/12," ")</f>
        <v xml:space="preserve"> </v>
      </c>
      <c r="R17" s="246" t="str">
        <f>IF(AND(MONTH(Investment!$F17)=MONTH(R$7),YEAR(Investment!$F17)=YEAR(R$7)),Investment!$C17*Investment!$G17*Investment!$H17/12," ")</f>
        <v xml:space="preserve"> </v>
      </c>
      <c r="S17" s="246" t="str">
        <f>IF(AND(MONTH(Investment!$F17)=MONTH(S$7),YEAR(Investment!$F17)=YEAR(S$7)),Investment!$C17*Investment!$G17*Investment!$H17/12," ")</f>
        <v xml:space="preserve"> </v>
      </c>
      <c r="T17" s="246" t="str">
        <f>IF(AND(MONTH(Investment!$F17)=MONTH(T$7),YEAR(Investment!$F17)=YEAR(T$7)),Investment!$C17*Investment!$G17*Investment!$H17/12," ")</f>
        <v xml:space="preserve"> </v>
      </c>
      <c r="U17" s="246" t="str">
        <f>IF(AND(MONTH(Investment!$F17)=MONTH(U$7),YEAR(Investment!$F17)=YEAR(U$7)),Investment!$C17*Investment!$G17*Investment!$H17/12," ")</f>
        <v xml:space="preserve"> </v>
      </c>
      <c r="V17" s="246" t="str">
        <f>IF(AND(MONTH(Investment!$F17)=MONTH(V$7),YEAR(Investment!$F17)=YEAR(V$7)),Investment!$C17*Investment!$G17*Investment!$H17/12," ")</f>
        <v xml:space="preserve"> </v>
      </c>
      <c r="W17" s="246" t="str">
        <f>IF(AND(MONTH(Investment!$F17)=MONTH(W$7),YEAR(Investment!$F17)=YEAR(W$7)),Investment!$C17*Investment!$G17*Investment!$H17/12," ")</f>
        <v xml:space="preserve"> </v>
      </c>
      <c r="X17" s="246" t="str">
        <f>IF(AND(MONTH(Investment!$F17)=MONTH(X$7),YEAR(Investment!$F17)=YEAR(X$7)),Investment!$C17*Investment!$G17*Investment!$H17/12," ")</f>
        <v xml:space="preserve"> </v>
      </c>
      <c r="Y17" s="246" t="str">
        <f>IF(AND(MONTH(Investment!$F17)=MONTH(Y$7),YEAR(Investment!$F17)=YEAR(Y$7)),Investment!$C17*Investment!$G17*Investment!$H17/12," ")</f>
        <v xml:space="preserve"> </v>
      </c>
      <c r="Z17" s="246" t="str">
        <f>IF(AND(MONTH(Investment!$F17)=MONTH(Z$7),YEAR(Investment!$F17)=YEAR(Z$7)),Investment!$C17*Investment!$G17*Investment!$H17/12," ")</f>
        <v xml:space="preserve"> </v>
      </c>
      <c r="AA17" s="246" t="str">
        <f>IF(AND(MONTH(Investment!$F17)=MONTH(AA$7),YEAR(Investment!$F17)=YEAR(AA$7)),Investment!$C17*Investment!$G17*Investment!$H17/12," ")</f>
        <v xml:space="preserve"> </v>
      </c>
      <c r="AB17" s="246" t="str">
        <f>IF(AND(MONTH(Investment!$F17)=MONTH(AB$7),YEAR(Investment!$F17)=YEAR(AB$7)),Investment!$C17*Investment!$G17*Investment!$H17/12," ")</f>
        <v xml:space="preserve"> </v>
      </c>
      <c r="AC17" s="246" t="str">
        <f>IF(AND(MONTH(Investment!$F17)=MONTH(AC$7),YEAR(Investment!$F17)=YEAR(AC$7)),Investment!$C17*Investment!$G17*Investment!$H17/12," ")</f>
        <v xml:space="preserve"> </v>
      </c>
      <c r="AD17" s="246" t="str">
        <f>IF(AND(MONTH(Investment!$F17)=MONTH(AD$7),YEAR(Investment!$F17)=YEAR(AD$7)),Investment!$C17*Investment!$G17*Investment!$H17/12," ")</f>
        <v xml:space="preserve"> </v>
      </c>
      <c r="AE17" s="246" t="str">
        <f>IF(AND(MONTH(Investment!$F17)=MONTH(AE$7),YEAR(Investment!$F17)=YEAR(AE$7)),Investment!$C17*Investment!$G17*Investment!$H17/12," ")</f>
        <v xml:space="preserve"> </v>
      </c>
      <c r="AF17" s="246" t="str">
        <f>IF(AND(MONTH(Investment!$F17)=MONTH(AF$7),YEAR(Investment!$F17)=YEAR(AF$7)),Investment!$C17*Investment!$G17*Investment!$H17/12," ")</f>
        <v xml:space="preserve"> </v>
      </c>
      <c r="AG17" s="325" t="str">
        <f>IF(AND(MONTH(Investment!$F17)=MONTH(AG$7),YEAR(Investment!$F17)=YEAR(AG$7)),Investment!$C17*Investment!$G17*Investment!$H17/12," ")</f>
        <v xml:space="preserve"> </v>
      </c>
    </row>
    <row r="18" spans="2:33" ht="15" thickBot="1">
      <c r="B18" s="346"/>
      <c r="C18" s="213"/>
      <c r="D18" s="213"/>
      <c r="E18" s="212"/>
      <c r="F18" s="212"/>
      <c r="G18" s="246">
        <f>ROUND((Investment!$F18-Investment!$E18)/365*12,0)</f>
        <v>0</v>
      </c>
      <c r="H18" s="315"/>
      <c r="I18" s="246">
        <f>SUM(J18:AG18)</f>
        <v>0</v>
      </c>
      <c r="J18" s="246" t="str">
        <f>IF(AND(MONTH(Investment!$F18)=MONTH(J$7),YEAR(Investment!$F18)=YEAR(J$7)),Investment!$C18*Investment!$G18*Investment!$H18/12," ")</f>
        <v xml:space="preserve"> </v>
      </c>
      <c r="K18" s="246" t="str">
        <f>IF(AND(MONTH(Investment!$F18)=MONTH(K$7),YEAR(Investment!$F18)=YEAR(K$7)),Investment!$C18*Investment!$G18*Investment!$H18/12," ")</f>
        <v xml:space="preserve"> </v>
      </c>
      <c r="L18" s="246" t="str">
        <f>IF(AND(MONTH(Investment!$F18)=MONTH(L$7),YEAR(Investment!$F18)=YEAR(L$7)),Investment!$C18*Investment!$G18*Investment!$H18/12," ")</f>
        <v xml:space="preserve"> </v>
      </c>
      <c r="M18" s="246" t="str">
        <f>IF(AND(MONTH(Investment!$F18)=MONTH(M$7),YEAR(Investment!$F18)=YEAR(M$7)),Investment!$C18*Investment!$G18*Investment!$H18/12," ")</f>
        <v xml:space="preserve"> </v>
      </c>
      <c r="N18" s="246" t="str">
        <f>IF(AND(MONTH(Investment!$F18)=MONTH(N$7),YEAR(Investment!$F18)=YEAR(N$7)),Investment!$C18*Investment!$G18*Investment!$H18/12," ")</f>
        <v xml:space="preserve"> </v>
      </c>
      <c r="O18" s="246" t="str">
        <f>IF(AND(MONTH(Investment!$F18)=MONTH(O$7),YEAR(Investment!$F18)=YEAR(O$7)),Investment!$C18*Investment!$G18*Investment!$H18/12," ")</f>
        <v xml:space="preserve"> </v>
      </c>
      <c r="P18" s="246" t="str">
        <f>IF(AND(MONTH(Investment!$F18)=MONTH(P$7),YEAR(Investment!$F18)=YEAR(P$7)),Investment!$C18*Investment!$G18*Investment!$H18/12," ")</f>
        <v xml:space="preserve"> </v>
      </c>
      <c r="Q18" s="246" t="str">
        <f>IF(AND(MONTH(Investment!$F18)=MONTH(Q$7),YEAR(Investment!$F18)=YEAR(Q$7)),Investment!$C18*Investment!$G18*Investment!$H18/12," ")</f>
        <v xml:space="preserve"> </v>
      </c>
      <c r="R18" s="246" t="str">
        <f>IF(AND(MONTH(Investment!$F18)=MONTH(R$7),YEAR(Investment!$F18)=YEAR(R$7)),Investment!$C18*Investment!$G18*Investment!$H18/12," ")</f>
        <v xml:space="preserve"> </v>
      </c>
      <c r="S18" s="246" t="str">
        <f>IF(AND(MONTH(Investment!$F18)=MONTH(S$7),YEAR(Investment!$F18)=YEAR(S$7)),Investment!$C18*Investment!$G18*Investment!$H18/12," ")</f>
        <v xml:space="preserve"> </v>
      </c>
      <c r="T18" s="246" t="str">
        <f>IF(AND(MONTH(Investment!$F18)=MONTH(T$7),YEAR(Investment!$F18)=YEAR(T$7)),Investment!$C18*Investment!$G18*Investment!$H18/12," ")</f>
        <v xml:space="preserve"> </v>
      </c>
      <c r="U18" s="246" t="str">
        <f>IF(AND(MONTH(Investment!$F18)=MONTH(U$7),YEAR(Investment!$F18)=YEAR(U$7)),Investment!$C18*Investment!$G18*Investment!$H18/12," ")</f>
        <v xml:space="preserve"> </v>
      </c>
      <c r="V18" s="246" t="str">
        <f>IF(AND(MONTH(Investment!$F18)=MONTH(V$7),YEAR(Investment!$F18)=YEAR(V$7)),Investment!$C18*Investment!$G18*Investment!$H18/12," ")</f>
        <v xml:space="preserve"> </v>
      </c>
      <c r="W18" s="246" t="str">
        <f>IF(AND(MONTH(Investment!$F18)=MONTH(W$7),YEAR(Investment!$F18)=YEAR(W$7)),Investment!$C18*Investment!$G18*Investment!$H18/12," ")</f>
        <v xml:space="preserve"> </v>
      </c>
      <c r="X18" s="246" t="str">
        <f>IF(AND(MONTH(Investment!$F18)=MONTH(X$7),YEAR(Investment!$F18)=YEAR(X$7)),Investment!$C18*Investment!$G18*Investment!$H18/12," ")</f>
        <v xml:space="preserve"> </v>
      </c>
      <c r="Y18" s="246" t="str">
        <f>IF(AND(MONTH(Investment!$F18)=MONTH(Y$7),YEAR(Investment!$F18)=YEAR(Y$7)),Investment!$C18*Investment!$G18*Investment!$H18/12," ")</f>
        <v xml:space="preserve"> </v>
      </c>
      <c r="Z18" s="246" t="str">
        <f>IF(AND(MONTH(Investment!$F18)=MONTH(Z$7),YEAR(Investment!$F18)=YEAR(Z$7)),Investment!$C18*Investment!$G18*Investment!$H18/12," ")</f>
        <v xml:space="preserve"> </v>
      </c>
      <c r="AA18" s="246" t="str">
        <f>IF(AND(MONTH(Investment!$F18)=MONTH(AA$7),YEAR(Investment!$F18)=YEAR(AA$7)),Investment!$C18*Investment!$G18*Investment!$H18/12," ")</f>
        <v xml:space="preserve"> </v>
      </c>
      <c r="AB18" s="246" t="str">
        <f>IF(AND(MONTH(Investment!$F18)=MONTH(AB$7),YEAR(Investment!$F18)=YEAR(AB$7)),Investment!$C18*Investment!$G18*Investment!$H18/12," ")</f>
        <v xml:space="preserve"> </v>
      </c>
      <c r="AC18" s="246" t="str">
        <f>IF(AND(MONTH(Investment!$F18)=MONTH(AC$7),YEAR(Investment!$F18)=YEAR(AC$7)),Investment!$C18*Investment!$G18*Investment!$H18/12," ")</f>
        <v xml:space="preserve"> </v>
      </c>
      <c r="AD18" s="246" t="str">
        <f>IF(AND(MONTH(Investment!$F18)=MONTH(AD$7),YEAR(Investment!$F18)=YEAR(AD$7)),Investment!$C18*Investment!$G18*Investment!$H18/12," ")</f>
        <v xml:space="preserve"> </v>
      </c>
      <c r="AE18" s="246" t="str">
        <f>IF(AND(MONTH(Investment!$F18)=MONTH(AE$7),YEAR(Investment!$F18)=YEAR(AE$7)),Investment!$C18*Investment!$G18*Investment!$H18/12," ")</f>
        <v xml:space="preserve"> </v>
      </c>
      <c r="AF18" s="246" t="str">
        <f>IF(AND(MONTH(Investment!$F18)=MONTH(AF$7),YEAR(Investment!$F18)=YEAR(AF$7)),Investment!$C18*Investment!$G18*Investment!$H18/12," ")</f>
        <v xml:space="preserve"> </v>
      </c>
      <c r="AG18" s="325" t="str">
        <f>IF(AND(MONTH(Investment!$F18)=MONTH(AG$7),YEAR(Investment!$F18)=YEAR(AG$7)),Investment!$C18*Investment!$G18*Investment!$H18/12," ")</f>
        <v xml:space="preserve"> </v>
      </c>
    </row>
    <row r="19" spans="2:33" ht="15">
      <c r="B19" s="237"/>
      <c r="C19" s="345">
        <f>SUM(C9:C18)</f>
        <v>250000000</v>
      </c>
      <c r="D19" s="238">
        <f>SUM(D9:D17)</f>
        <v>258000000</v>
      </c>
      <c r="E19" s="238"/>
      <c r="F19" s="238"/>
      <c r="G19" s="238">
        <f>ROUND((Investment!$F19-Investment!$E19)/365*12,0)</f>
        <v>0</v>
      </c>
      <c r="H19" s="238"/>
      <c r="I19" s="238">
        <f t="shared" ref="I19:U19" si="4">SUM(I9:I17)</f>
        <v>10000000</v>
      </c>
      <c r="J19" s="238">
        <f t="shared" si="4"/>
        <v>10000000</v>
      </c>
      <c r="K19" s="238">
        <f t="shared" si="4"/>
        <v>0</v>
      </c>
      <c r="L19" s="238">
        <f t="shared" si="4"/>
        <v>0</v>
      </c>
      <c r="M19" s="238">
        <f t="shared" si="4"/>
        <v>0</v>
      </c>
      <c r="N19" s="238">
        <f t="shared" si="4"/>
        <v>0</v>
      </c>
      <c r="O19" s="238">
        <f t="shared" si="4"/>
        <v>0</v>
      </c>
      <c r="P19" s="238">
        <f t="shared" si="4"/>
        <v>0</v>
      </c>
      <c r="Q19" s="238">
        <f t="shared" si="4"/>
        <v>0</v>
      </c>
      <c r="R19" s="238">
        <f t="shared" si="4"/>
        <v>0</v>
      </c>
      <c r="S19" s="238">
        <f t="shared" si="4"/>
        <v>0</v>
      </c>
      <c r="T19" s="238">
        <f t="shared" si="4"/>
        <v>0</v>
      </c>
      <c r="U19" s="239">
        <f t="shared" si="4"/>
        <v>0</v>
      </c>
      <c r="V19" s="316">
        <f t="shared" ref="V19:AG19" si="5">SUM(V9:V18)</f>
        <v>0</v>
      </c>
      <c r="W19" s="317">
        <f t="shared" si="5"/>
        <v>0</v>
      </c>
      <c r="X19" s="317">
        <f t="shared" si="5"/>
        <v>0</v>
      </c>
      <c r="Y19" s="317">
        <f t="shared" si="5"/>
        <v>0</v>
      </c>
      <c r="Z19" s="317">
        <f t="shared" si="5"/>
        <v>0</v>
      </c>
      <c r="AA19" s="317">
        <f t="shared" si="5"/>
        <v>0</v>
      </c>
      <c r="AB19" s="317">
        <f t="shared" si="5"/>
        <v>0</v>
      </c>
      <c r="AC19" s="317">
        <f t="shared" si="5"/>
        <v>0</v>
      </c>
      <c r="AD19" s="317">
        <f t="shared" si="5"/>
        <v>0</v>
      </c>
      <c r="AE19" s="317">
        <f t="shared" si="5"/>
        <v>0</v>
      </c>
      <c r="AF19" s="317">
        <f t="shared" si="5"/>
        <v>0</v>
      </c>
      <c r="AG19" s="326">
        <f t="shared" si="5"/>
        <v>0</v>
      </c>
    </row>
    <row r="21" spans="2:33">
      <c r="B21" s="9"/>
      <c r="G21" s="10"/>
    </row>
  </sheetData>
  <sheetProtection algorithmName="SHA-512" hashValue="3c8uTvy2G6bqbgEjQuZLki6heO7z50q1EK0vURZ8M+npVIRkCP0zrhlAxBMxttYS4KqdUIQqVNgRB8IFK7x5aA==" saltValue="/itrugIvbUJFsgb1tIB/5Q==" spinCount="100000" sheet="1" autoFilter="0" pivotTables="0"/>
  <mergeCells count="1">
    <mergeCell ref="D3:I3"/>
  </mergeCells>
  <hyperlinks>
    <hyperlink ref="I1" location="'Daily Summary'!A1" tooltip="Select to navigate to Daily Summary worksheet" display="DAILY SUMMARY"/>
  </hyperlink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3" formatCode="#,##0\ [$₫-42A]"/>
            </x14:dxf>
          </x14:cfRule>
          <xm:sqref>C9:D19 I9:AG19</xm:sqref>
        </x14:conditionalFormatting>
        <x14:conditionalFormatting xmlns:xm="http://schemas.microsoft.com/office/excel/2006/main">
          <x14:cfRule type="expression" priority="17" id="{A08B8370-B5D4-4EE4-975A-49554B891D65}">
            <xm:f>Transactions!$D$5=Currency!$A$8</xm:f>
            <x14:dxf>
              <numFmt numFmtId="179" formatCode="[$$-C09]#,##0.00"/>
            </x14:dxf>
          </x14:cfRule>
          <xm:sqref>C9:D19 I9:AG19</xm:sqref>
        </x14:conditionalFormatting>
        <x14:conditionalFormatting xmlns:xm="http://schemas.microsoft.com/office/excel/2006/main">
          <x14:cfRule type="expression" priority="18" id="{8B734B93-749A-41F6-9FB2-48D843CEB420}">
            <xm:f>Transactions!$D$5=Currency!$A$7</xm:f>
            <x14:dxf>
              <numFmt numFmtId="178" formatCode="[$¥-411]#,##0.00"/>
            </x14:dxf>
          </x14:cfRule>
          <xm:sqref>C9:D19 I9:AG19</xm:sqref>
        </x14:conditionalFormatting>
        <x14:conditionalFormatting xmlns:xm="http://schemas.microsoft.com/office/excel/2006/main">
          <x14:cfRule type="expression" priority="19" id="{8A0A68EF-10BC-4B54-96D6-1652BDA5857B}">
            <xm:f>Transactions!$D$5=Currency!$A$6</xm:f>
            <x14:dxf>
              <numFmt numFmtId="177" formatCode="[$$-4809]#,##0.00"/>
            </x14:dxf>
          </x14:cfRule>
          <xm:sqref>C9:D19 I9:AG19</xm:sqref>
        </x14:conditionalFormatting>
        <x14:conditionalFormatting xmlns:xm="http://schemas.microsoft.com/office/excel/2006/main">
          <x14:cfRule type="expression" priority="20" id="{E331B45C-B606-44EB-BAD0-BF1C4D099552}">
            <xm:f>Transactions!$D$5=Currency!$A$5</xm:f>
            <x14:dxf>
              <numFmt numFmtId="176" formatCode="[$¥-804]#,##0.00"/>
            </x14:dxf>
          </x14:cfRule>
          <xm:sqref>C9:D19 I9:AG19</xm:sqref>
        </x14:conditionalFormatting>
        <x14:conditionalFormatting xmlns:xm="http://schemas.microsoft.com/office/excel/2006/main">
          <x14:cfRule type="expression" priority="21" id="{0AB7B0A6-49DB-46C3-8259-5D2DA800A9D0}">
            <xm:f>Transactions!$D$5=Currency!$A$4</xm:f>
            <x14:dxf>
              <numFmt numFmtId="175" formatCode="[$£-809]#,##0.00"/>
            </x14:dxf>
          </x14:cfRule>
          <xm:sqref>C9:D19 I9:AG19</xm:sqref>
        </x14:conditionalFormatting>
        <x14:conditionalFormatting xmlns:xm="http://schemas.microsoft.com/office/excel/2006/main">
          <x14:cfRule type="expression" priority="22" id="{D89AF76B-B2E4-458B-AC25-53D3C41F6580}">
            <xm:f>Transactions!$D$5=Currency!$A$3</xm:f>
            <x14:dxf>
              <numFmt numFmtId="174" formatCode="[$€-2]\ #,##0.00"/>
            </x14:dxf>
          </x14:cfRule>
          <xm:sqref>C9:D19 I9:AG19</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C9:D19 I9:AG19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5"/>
  <sheetViews>
    <sheetView showGridLines="0" topLeftCell="B1" zoomScale="90" zoomScaleNormal="90" workbookViewId="0">
      <pane ySplit="7" topLeftCell="A8" activePane="bottomLeft" state="frozen"/>
      <selection pane="bottomLeft" activeCell="D19" sqref="D19"/>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99</v>
      </c>
      <c r="C1" s="12"/>
      <c r="D1" s="12"/>
      <c r="E1" s="12"/>
      <c r="F1" s="12"/>
      <c r="G1" s="12"/>
      <c r="H1" s="13"/>
      <c r="Q1" s="14" t="s">
        <v>86</v>
      </c>
    </row>
    <row r="2" spans="1:17" ht="18">
      <c r="B2" s="54" t="s">
        <v>33</v>
      </c>
      <c r="C2" s="230">
        <f>Transactions!C3</f>
        <v>44197</v>
      </c>
    </row>
    <row r="3" spans="1:17" ht="43.5" customHeight="1">
      <c r="B3" s="54" t="s">
        <v>68</v>
      </c>
      <c r="C3" s="231">
        <f>Transactions!C4</f>
        <v>2021</v>
      </c>
      <c r="D3" s="353" t="s">
        <v>185</v>
      </c>
      <c r="E3" s="353"/>
      <c r="F3" s="353"/>
      <c r="H3" s="100"/>
      <c r="I3" s="100"/>
      <c r="J3" s="100"/>
      <c r="K3" s="100"/>
      <c r="L3" s="100"/>
      <c r="M3" s="100"/>
      <c r="N3" s="100"/>
      <c r="O3" s="100"/>
    </row>
    <row r="4" spans="1:17" ht="18">
      <c r="B4" s="54"/>
      <c r="C4" s="102"/>
      <c r="D4" s="271"/>
      <c r="E4" s="271"/>
      <c r="F4" s="271"/>
      <c r="H4" s="100"/>
      <c r="I4" s="100"/>
      <c r="J4" s="100"/>
      <c r="K4" s="100"/>
      <c r="L4" s="100"/>
      <c r="M4" s="100"/>
      <c r="N4" s="100"/>
      <c r="O4" s="100"/>
    </row>
    <row r="5" spans="1:17">
      <c r="D5" s="135"/>
      <c r="E5" s="100"/>
      <c r="F5" s="100"/>
      <c r="G5" s="100"/>
      <c r="H5" s="100"/>
      <c r="I5" s="100"/>
      <c r="J5" s="100"/>
      <c r="K5" s="100"/>
      <c r="L5" s="100"/>
      <c r="M5" s="100"/>
      <c r="N5" s="100"/>
      <c r="O5" s="100"/>
    </row>
    <row r="7" spans="1:17" s="4" customFormat="1" ht="26.25" customHeight="1" thickBot="1">
      <c r="B7" s="176" t="s">
        <v>3</v>
      </c>
      <c r="C7" s="176" t="s">
        <v>87</v>
      </c>
      <c r="D7" s="177" t="s">
        <v>100</v>
      </c>
    </row>
    <row r="8" spans="1:17">
      <c r="B8" s="210"/>
      <c r="C8" s="209"/>
      <c r="D8" s="279"/>
    </row>
    <row r="9" spans="1:17">
      <c r="B9" s="213"/>
      <c r="C9" s="212"/>
      <c r="D9" s="280"/>
    </row>
    <row r="10" spans="1:17">
      <c r="B10" s="213"/>
      <c r="C10" s="212"/>
      <c r="D10" s="280"/>
    </row>
    <row r="11" spans="1:17">
      <c r="B11" s="213"/>
      <c r="C11" s="212"/>
      <c r="D11" s="280"/>
    </row>
    <row r="12" spans="1:17" s="7" customFormat="1" ht="15">
      <c r="B12" s="213"/>
      <c r="C12" s="212"/>
      <c r="D12" s="280"/>
    </row>
    <row r="13" spans="1:17" ht="15">
      <c r="B13" s="175">
        <f>SUM(B8:B12)</f>
        <v>0</v>
      </c>
      <c r="C13" s="178"/>
      <c r="D13" s="179"/>
    </row>
    <row r="15" spans="1:17">
      <c r="A15" s="8"/>
      <c r="B15" s="6"/>
      <c r="C15" s="304"/>
    </row>
  </sheetData>
  <sheetProtection algorithmName="SHA-512" hashValue="i0TIXQbSm9kuX/BFuORVYJAXPf7B2n2JkR3Bbmv5ykXIMO487CJIE0fXAuxdYibeZOX0XLwQO0kiXa7kT73Jdg==" saltValue="o+hN9CjlpY7SZhgtCEy0cQ==" spinCount="100000" sheet="1"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9" formatCode="[$$-C09]#,##0.00"/>
            </x14:dxf>
          </x14:cfRule>
          <x14:cfRule type="expression" priority="2" id="{63C26603-DDF1-40C9-8582-A0224D94F12D}">
            <xm:f>Transactions!$D$5=Currency!$A$7</xm:f>
            <x14:dxf>
              <numFmt numFmtId="178" formatCode="[$¥-411]#,##0.00"/>
            </x14:dxf>
          </x14:cfRule>
          <x14:cfRule type="expression" priority="3" id="{99AE3332-16CC-47E0-859B-C4509F2A1846}">
            <xm:f>Transactions!$D$5=Currency!$A$6</xm:f>
            <x14:dxf>
              <numFmt numFmtId="177" formatCode="[$$-4809]#,##0.00"/>
            </x14:dxf>
          </x14:cfRule>
          <x14:cfRule type="expression" priority="4" id="{B11E5445-E281-4F3B-B438-057262664720}">
            <xm:f>Transactions!$D$5=Currency!$A$5</xm:f>
            <x14:dxf>
              <numFmt numFmtId="176" formatCode="[$¥-804]#,##0.00"/>
            </x14:dxf>
          </x14:cfRule>
          <x14:cfRule type="expression" priority="5" id="{12375EC1-7460-4BE3-B7C5-2ADE4EB1A0B2}">
            <xm:f>Transactions!$D$5=Currency!$A$4</xm:f>
            <x14:dxf>
              <numFmt numFmtId="175" formatCode="[$£-809]#,##0.00"/>
            </x14:dxf>
          </x14:cfRule>
          <x14:cfRule type="expression" priority="6" id="{03ACF594-1468-4DBB-8BB7-B0D305791F2C}">
            <xm:f>Transactions!$D$5=Currency!$A$3</xm:f>
            <x14:dxf>
              <numFmt numFmtId="174"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3" formatCode="#,##0\ [$₫-42A]"/>
            </x14:dxf>
          </x14:cfRule>
          <xm:sqref>B8:B13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197" activePane="bottomLeft" state="frozen"/>
      <selection activeCell="D25" sqref="D25"/>
      <selection pane="bottomLeft" activeCell="D13" sqref="D13"/>
    </sheetView>
  </sheetViews>
  <sheetFormatPr defaultColWidth="8.85546875" defaultRowHeight="14.25"/>
  <cols>
    <col min="1" max="1" width="2.28515625" style="5" customWidth="1"/>
    <col min="2" max="2" width="14.42578125" style="107" customWidth="1"/>
    <col min="3" max="3" width="20.5703125" style="107" customWidth="1"/>
    <col min="4" max="4" width="20.7109375" style="107" customWidth="1"/>
    <col min="5" max="5" width="20.7109375" style="112" customWidth="1"/>
    <col min="6" max="6" width="20.7109375" style="107" customWidth="1"/>
    <col min="7" max="7" width="23.42578125" style="107" customWidth="1"/>
    <col min="8" max="8" width="20.7109375" style="107" customWidth="1"/>
    <col min="9" max="9" width="14.28515625" style="107" bestFit="1" customWidth="1"/>
    <col min="10" max="10" width="21.28515625" style="107" customWidth="1"/>
    <col min="11" max="12" width="20.7109375" style="107" customWidth="1"/>
    <col min="13" max="258" width="8.85546875" style="107"/>
    <col min="259" max="259" width="26" style="107" customWidth="1"/>
    <col min="260" max="262" width="20.7109375" style="107" customWidth="1"/>
    <col min="263" max="263" width="23.42578125" style="107" customWidth="1"/>
    <col min="264" max="264" width="20.7109375" style="107" customWidth="1"/>
    <col min="265" max="265" width="14.28515625" style="107" bestFit="1" customWidth="1"/>
    <col min="266" max="266" width="21.28515625" style="107" customWidth="1"/>
    <col min="267" max="268" width="20.7109375" style="107" customWidth="1"/>
    <col min="269" max="514" width="8.85546875" style="107"/>
    <col min="515" max="515" width="26" style="107" customWidth="1"/>
    <col min="516" max="518" width="20.7109375" style="107" customWidth="1"/>
    <col min="519" max="519" width="23.42578125" style="107" customWidth="1"/>
    <col min="520" max="520" width="20.7109375" style="107" customWidth="1"/>
    <col min="521" max="521" width="14.28515625" style="107" bestFit="1" customWidth="1"/>
    <col min="522" max="522" width="21.28515625" style="107" customWidth="1"/>
    <col min="523" max="524" width="20.7109375" style="107" customWidth="1"/>
    <col min="525" max="770" width="8.85546875" style="107"/>
    <col min="771" max="771" width="26" style="107" customWidth="1"/>
    <col min="772" max="774" width="20.7109375" style="107" customWidth="1"/>
    <col min="775" max="775" width="23.42578125" style="107" customWidth="1"/>
    <col min="776" max="776" width="20.7109375" style="107" customWidth="1"/>
    <col min="777" max="777" width="14.28515625" style="107" bestFit="1" customWidth="1"/>
    <col min="778" max="778" width="21.28515625" style="107" customWidth="1"/>
    <col min="779" max="780" width="20.7109375" style="107" customWidth="1"/>
    <col min="781" max="1026" width="8.85546875" style="107"/>
    <col min="1027" max="1027" width="26" style="107" customWidth="1"/>
    <col min="1028" max="1030" width="20.7109375" style="107" customWidth="1"/>
    <col min="1031" max="1031" width="23.42578125" style="107" customWidth="1"/>
    <col min="1032" max="1032" width="20.7109375" style="107" customWidth="1"/>
    <col min="1033" max="1033" width="14.28515625" style="107" bestFit="1" customWidth="1"/>
    <col min="1034" max="1034" width="21.28515625" style="107" customWidth="1"/>
    <col min="1035" max="1036" width="20.7109375" style="107" customWidth="1"/>
    <col min="1037" max="1282" width="8.85546875" style="107"/>
    <col min="1283" max="1283" width="26" style="107" customWidth="1"/>
    <col min="1284" max="1286" width="20.7109375" style="107" customWidth="1"/>
    <col min="1287" max="1287" width="23.42578125" style="107" customWidth="1"/>
    <col min="1288" max="1288" width="20.7109375" style="107" customWidth="1"/>
    <col min="1289" max="1289" width="14.28515625" style="107" bestFit="1" customWidth="1"/>
    <col min="1290" max="1290" width="21.28515625" style="107" customWidth="1"/>
    <col min="1291" max="1292" width="20.7109375" style="107" customWidth="1"/>
    <col min="1293" max="1538" width="8.85546875" style="107"/>
    <col min="1539" max="1539" width="26" style="107" customWidth="1"/>
    <col min="1540" max="1542" width="20.7109375" style="107" customWidth="1"/>
    <col min="1543" max="1543" width="23.42578125" style="107" customWidth="1"/>
    <col min="1544" max="1544" width="20.7109375" style="107" customWidth="1"/>
    <col min="1545" max="1545" width="14.28515625" style="107" bestFit="1" customWidth="1"/>
    <col min="1546" max="1546" width="21.28515625" style="107" customWidth="1"/>
    <col min="1547" max="1548" width="20.7109375" style="107" customWidth="1"/>
    <col min="1549" max="1794" width="8.85546875" style="107"/>
    <col min="1795" max="1795" width="26" style="107" customWidth="1"/>
    <col min="1796" max="1798" width="20.7109375" style="107" customWidth="1"/>
    <col min="1799" max="1799" width="23.42578125" style="107" customWidth="1"/>
    <col min="1800" max="1800" width="20.7109375" style="107" customWidth="1"/>
    <col min="1801" max="1801" width="14.28515625" style="107" bestFit="1" customWidth="1"/>
    <col min="1802" max="1802" width="21.28515625" style="107" customWidth="1"/>
    <col min="1803" max="1804" width="20.7109375" style="107" customWidth="1"/>
    <col min="1805" max="2050" width="8.85546875" style="107"/>
    <col min="2051" max="2051" width="26" style="107" customWidth="1"/>
    <col min="2052" max="2054" width="20.7109375" style="107" customWidth="1"/>
    <col min="2055" max="2055" width="23.42578125" style="107" customWidth="1"/>
    <col min="2056" max="2056" width="20.7109375" style="107" customWidth="1"/>
    <col min="2057" max="2057" width="14.28515625" style="107" bestFit="1" customWidth="1"/>
    <col min="2058" max="2058" width="21.28515625" style="107" customWidth="1"/>
    <col min="2059" max="2060" width="20.7109375" style="107" customWidth="1"/>
    <col min="2061" max="2306" width="8.85546875" style="107"/>
    <col min="2307" max="2307" width="26" style="107" customWidth="1"/>
    <col min="2308" max="2310" width="20.7109375" style="107" customWidth="1"/>
    <col min="2311" max="2311" width="23.42578125" style="107" customWidth="1"/>
    <col min="2312" max="2312" width="20.7109375" style="107" customWidth="1"/>
    <col min="2313" max="2313" width="14.28515625" style="107" bestFit="1" customWidth="1"/>
    <col min="2314" max="2314" width="21.28515625" style="107" customWidth="1"/>
    <col min="2315" max="2316" width="20.7109375" style="107" customWidth="1"/>
    <col min="2317" max="2562" width="8.85546875" style="107"/>
    <col min="2563" max="2563" width="26" style="107" customWidth="1"/>
    <col min="2564" max="2566" width="20.7109375" style="107" customWidth="1"/>
    <col min="2567" max="2567" width="23.42578125" style="107" customWidth="1"/>
    <col min="2568" max="2568" width="20.7109375" style="107" customWidth="1"/>
    <col min="2569" max="2569" width="14.28515625" style="107" bestFit="1" customWidth="1"/>
    <col min="2570" max="2570" width="21.28515625" style="107" customWidth="1"/>
    <col min="2571" max="2572" width="20.7109375" style="107" customWidth="1"/>
    <col min="2573" max="2818" width="8.85546875" style="107"/>
    <col min="2819" max="2819" width="26" style="107" customWidth="1"/>
    <col min="2820" max="2822" width="20.7109375" style="107" customWidth="1"/>
    <col min="2823" max="2823" width="23.42578125" style="107" customWidth="1"/>
    <col min="2824" max="2824" width="20.7109375" style="107" customWidth="1"/>
    <col min="2825" max="2825" width="14.28515625" style="107" bestFit="1" customWidth="1"/>
    <col min="2826" max="2826" width="21.28515625" style="107" customWidth="1"/>
    <col min="2827" max="2828" width="20.7109375" style="107" customWidth="1"/>
    <col min="2829" max="3074" width="8.85546875" style="107"/>
    <col min="3075" max="3075" width="26" style="107" customWidth="1"/>
    <col min="3076" max="3078" width="20.7109375" style="107" customWidth="1"/>
    <col min="3079" max="3079" width="23.42578125" style="107" customWidth="1"/>
    <col min="3080" max="3080" width="20.7109375" style="107" customWidth="1"/>
    <col min="3081" max="3081" width="14.28515625" style="107" bestFit="1" customWidth="1"/>
    <col min="3082" max="3082" width="21.28515625" style="107" customWidth="1"/>
    <col min="3083" max="3084" width="20.7109375" style="107" customWidth="1"/>
    <col min="3085" max="3330" width="8.85546875" style="107"/>
    <col min="3331" max="3331" width="26" style="107" customWidth="1"/>
    <col min="3332" max="3334" width="20.7109375" style="107" customWidth="1"/>
    <col min="3335" max="3335" width="23.42578125" style="107" customWidth="1"/>
    <col min="3336" max="3336" width="20.7109375" style="107" customWidth="1"/>
    <col min="3337" max="3337" width="14.28515625" style="107" bestFit="1" customWidth="1"/>
    <col min="3338" max="3338" width="21.28515625" style="107" customWidth="1"/>
    <col min="3339" max="3340" width="20.7109375" style="107" customWidth="1"/>
    <col min="3341" max="3586" width="8.85546875" style="107"/>
    <col min="3587" max="3587" width="26" style="107" customWidth="1"/>
    <col min="3588" max="3590" width="20.7109375" style="107" customWidth="1"/>
    <col min="3591" max="3591" width="23.42578125" style="107" customWidth="1"/>
    <col min="3592" max="3592" width="20.7109375" style="107" customWidth="1"/>
    <col min="3593" max="3593" width="14.28515625" style="107" bestFit="1" customWidth="1"/>
    <col min="3594" max="3594" width="21.28515625" style="107" customWidth="1"/>
    <col min="3595" max="3596" width="20.7109375" style="107" customWidth="1"/>
    <col min="3597" max="3842" width="8.85546875" style="107"/>
    <col min="3843" max="3843" width="26" style="107" customWidth="1"/>
    <col min="3844" max="3846" width="20.7109375" style="107" customWidth="1"/>
    <col min="3847" max="3847" width="23.42578125" style="107" customWidth="1"/>
    <col min="3848" max="3848" width="20.7109375" style="107" customWidth="1"/>
    <col min="3849" max="3849" width="14.28515625" style="107" bestFit="1" customWidth="1"/>
    <col min="3850" max="3850" width="21.28515625" style="107" customWidth="1"/>
    <col min="3851" max="3852" width="20.7109375" style="107" customWidth="1"/>
    <col min="3853" max="4098" width="8.85546875" style="107"/>
    <col min="4099" max="4099" width="26" style="107" customWidth="1"/>
    <col min="4100" max="4102" width="20.7109375" style="107" customWidth="1"/>
    <col min="4103" max="4103" width="23.42578125" style="107" customWidth="1"/>
    <col min="4104" max="4104" width="20.7109375" style="107" customWidth="1"/>
    <col min="4105" max="4105" width="14.28515625" style="107" bestFit="1" customWidth="1"/>
    <col min="4106" max="4106" width="21.28515625" style="107" customWidth="1"/>
    <col min="4107" max="4108" width="20.7109375" style="107" customWidth="1"/>
    <col min="4109" max="4354" width="8.85546875" style="107"/>
    <col min="4355" max="4355" width="26" style="107" customWidth="1"/>
    <col min="4356" max="4358" width="20.7109375" style="107" customWidth="1"/>
    <col min="4359" max="4359" width="23.42578125" style="107" customWidth="1"/>
    <col min="4360" max="4360" width="20.7109375" style="107" customWidth="1"/>
    <col min="4361" max="4361" width="14.28515625" style="107" bestFit="1" customWidth="1"/>
    <col min="4362" max="4362" width="21.28515625" style="107" customWidth="1"/>
    <col min="4363" max="4364" width="20.7109375" style="107" customWidth="1"/>
    <col min="4365" max="4610" width="8.85546875" style="107"/>
    <col min="4611" max="4611" width="26" style="107" customWidth="1"/>
    <col min="4612" max="4614" width="20.7109375" style="107" customWidth="1"/>
    <col min="4615" max="4615" width="23.42578125" style="107" customWidth="1"/>
    <col min="4616" max="4616" width="20.7109375" style="107" customWidth="1"/>
    <col min="4617" max="4617" width="14.28515625" style="107" bestFit="1" customWidth="1"/>
    <col min="4618" max="4618" width="21.28515625" style="107" customWidth="1"/>
    <col min="4619" max="4620" width="20.7109375" style="107" customWidth="1"/>
    <col min="4621" max="4866" width="8.85546875" style="107"/>
    <col min="4867" max="4867" width="26" style="107" customWidth="1"/>
    <col min="4868" max="4870" width="20.7109375" style="107" customWidth="1"/>
    <col min="4871" max="4871" width="23.42578125" style="107" customWidth="1"/>
    <col min="4872" max="4872" width="20.7109375" style="107" customWidth="1"/>
    <col min="4873" max="4873" width="14.28515625" style="107" bestFit="1" customWidth="1"/>
    <col min="4874" max="4874" width="21.28515625" style="107" customWidth="1"/>
    <col min="4875" max="4876" width="20.7109375" style="107" customWidth="1"/>
    <col min="4877" max="5122" width="8.85546875" style="107"/>
    <col min="5123" max="5123" width="26" style="107" customWidth="1"/>
    <col min="5124" max="5126" width="20.7109375" style="107" customWidth="1"/>
    <col min="5127" max="5127" width="23.42578125" style="107" customWidth="1"/>
    <col min="5128" max="5128" width="20.7109375" style="107" customWidth="1"/>
    <col min="5129" max="5129" width="14.28515625" style="107" bestFit="1" customWidth="1"/>
    <col min="5130" max="5130" width="21.28515625" style="107" customWidth="1"/>
    <col min="5131" max="5132" width="20.7109375" style="107" customWidth="1"/>
    <col min="5133" max="5378" width="8.85546875" style="107"/>
    <col min="5379" max="5379" width="26" style="107" customWidth="1"/>
    <col min="5380" max="5382" width="20.7109375" style="107" customWidth="1"/>
    <col min="5383" max="5383" width="23.42578125" style="107" customWidth="1"/>
    <col min="5384" max="5384" width="20.7109375" style="107" customWidth="1"/>
    <col min="5385" max="5385" width="14.28515625" style="107" bestFit="1" customWidth="1"/>
    <col min="5386" max="5386" width="21.28515625" style="107" customWidth="1"/>
    <col min="5387" max="5388" width="20.7109375" style="107" customWidth="1"/>
    <col min="5389" max="5634" width="8.85546875" style="107"/>
    <col min="5635" max="5635" width="26" style="107" customWidth="1"/>
    <col min="5636" max="5638" width="20.7109375" style="107" customWidth="1"/>
    <col min="5639" max="5639" width="23.42578125" style="107" customWidth="1"/>
    <col min="5640" max="5640" width="20.7109375" style="107" customWidth="1"/>
    <col min="5641" max="5641" width="14.28515625" style="107" bestFit="1" customWidth="1"/>
    <col min="5642" max="5642" width="21.28515625" style="107" customWidth="1"/>
    <col min="5643" max="5644" width="20.7109375" style="107" customWidth="1"/>
    <col min="5645" max="5890" width="8.85546875" style="107"/>
    <col min="5891" max="5891" width="26" style="107" customWidth="1"/>
    <col min="5892" max="5894" width="20.7109375" style="107" customWidth="1"/>
    <col min="5895" max="5895" width="23.42578125" style="107" customWidth="1"/>
    <col min="5896" max="5896" width="20.7109375" style="107" customWidth="1"/>
    <col min="5897" max="5897" width="14.28515625" style="107" bestFit="1" customWidth="1"/>
    <col min="5898" max="5898" width="21.28515625" style="107" customWidth="1"/>
    <col min="5899" max="5900" width="20.7109375" style="107" customWidth="1"/>
    <col min="5901" max="6146" width="8.85546875" style="107"/>
    <col min="6147" max="6147" width="26" style="107" customWidth="1"/>
    <col min="6148" max="6150" width="20.7109375" style="107" customWidth="1"/>
    <col min="6151" max="6151" width="23.42578125" style="107" customWidth="1"/>
    <col min="6152" max="6152" width="20.7109375" style="107" customWidth="1"/>
    <col min="6153" max="6153" width="14.28515625" style="107" bestFit="1" customWidth="1"/>
    <col min="6154" max="6154" width="21.28515625" style="107" customWidth="1"/>
    <col min="6155" max="6156" width="20.7109375" style="107" customWidth="1"/>
    <col min="6157" max="6402" width="8.85546875" style="107"/>
    <col min="6403" max="6403" width="26" style="107" customWidth="1"/>
    <col min="6404" max="6406" width="20.7109375" style="107" customWidth="1"/>
    <col min="6407" max="6407" width="23.42578125" style="107" customWidth="1"/>
    <col min="6408" max="6408" width="20.7109375" style="107" customWidth="1"/>
    <col min="6409" max="6409" width="14.28515625" style="107" bestFit="1" customWidth="1"/>
    <col min="6410" max="6410" width="21.28515625" style="107" customWidth="1"/>
    <col min="6411" max="6412" width="20.7109375" style="107" customWidth="1"/>
    <col min="6413" max="6658" width="8.85546875" style="107"/>
    <col min="6659" max="6659" width="26" style="107" customWidth="1"/>
    <col min="6660" max="6662" width="20.7109375" style="107" customWidth="1"/>
    <col min="6663" max="6663" width="23.42578125" style="107" customWidth="1"/>
    <col min="6664" max="6664" width="20.7109375" style="107" customWidth="1"/>
    <col min="6665" max="6665" width="14.28515625" style="107" bestFit="1" customWidth="1"/>
    <col min="6666" max="6666" width="21.28515625" style="107" customWidth="1"/>
    <col min="6667" max="6668" width="20.7109375" style="107" customWidth="1"/>
    <col min="6669" max="6914" width="8.85546875" style="107"/>
    <col min="6915" max="6915" width="26" style="107" customWidth="1"/>
    <col min="6916" max="6918" width="20.7109375" style="107" customWidth="1"/>
    <col min="6919" max="6919" width="23.42578125" style="107" customWidth="1"/>
    <col min="6920" max="6920" width="20.7109375" style="107" customWidth="1"/>
    <col min="6921" max="6921" width="14.28515625" style="107" bestFit="1" customWidth="1"/>
    <col min="6922" max="6922" width="21.28515625" style="107" customWidth="1"/>
    <col min="6923" max="6924" width="20.7109375" style="107" customWidth="1"/>
    <col min="6925" max="7170" width="8.85546875" style="107"/>
    <col min="7171" max="7171" width="26" style="107" customWidth="1"/>
    <col min="7172" max="7174" width="20.7109375" style="107" customWidth="1"/>
    <col min="7175" max="7175" width="23.42578125" style="107" customWidth="1"/>
    <col min="7176" max="7176" width="20.7109375" style="107" customWidth="1"/>
    <col min="7177" max="7177" width="14.28515625" style="107" bestFit="1" customWidth="1"/>
    <col min="7178" max="7178" width="21.28515625" style="107" customWidth="1"/>
    <col min="7179" max="7180" width="20.7109375" style="107" customWidth="1"/>
    <col min="7181" max="7426" width="8.85546875" style="107"/>
    <col min="7427" max="7427" width="26" style="107" customWidth="1"/>
    <col min="7428" max="7430" width="20.7109375" style="107" customWidth="1"/>
    <col min="7431" max="7431" width="23.42578125" style="107" customWidth="1"/>
    <col min="7432" max="7432" width="20.7109375" style="107" customWidth="1"/>
    <col min="7433" max="7433" width="14.28515625" style="107" bestFit="1" customWidth="1"/>
    <col min="7434" max="7434" width="21.28515625" style="107" customWidth="1"/>
    <col min="7435" max="7436" width="20.7109375" style="107" customWidth="1"/>
    <col min="7437" max="7682" width="8.85546875" style="107"/>
    <col min="7683" max="7683" width="26" style="107" customWidth="1"/>
    <col min="7684" max="7686" width="20.7109375" style="107" customWidth="1"/>
    <col min="7687" max="7687" width="23.42578125" style="107" customWidth="1"/>
    <col min="7688" max="7688" width="20.7109375" style="107" customWidth="1"/>
    <col min="7689" max="7689" width="14.28515625" style="107" bestFit="1" customWidth="1"/>
    <col min="7690" max="7690" width="21.28515625" style="107" customWidth="1"/>
    <col min="7691" max="7692" width="20.7109375" style="107" customWidth="1"/>
    <col min="7693" max="7938" width="8.85546875" style="107"/>
    <col min="7939" max="7939" width="26" style="107" customWidth="1"/>
    <col min="7940" max="7942" width="20.7109375" style="107" customWidth="1"/>
    <col min="7943" max="7943" width="23.42578125" style="107" customWidth="1"/>
    <col min="7944" max="7944" width="20.7109375" style="107" customWidth="1"/>
    <col min="7945" max="7945" width="14.28515625" style="107" bestFit="1" customWidth="1"/>
    <col min="7946" max="7946" width="21.28515625" style="107" customWidth="1"/>
    <col min="7947" max="7948" width="20.7109375" style="107" customWidth="1"/>
    <col min="7949" max="8194" width="8.85546875" style="107"/>
    <col min="8195" max="8195" width="26" style="107" customWidth="1"/>
    <col min="8196" max="8198" width="20.7109375" style="107" customWidth="1"/>
    <col min="8199" max="8199" width="23.42578125" style="107" customWidth="1"/>
    <col min="8200" max="8200" width="20.7109375" style="107" customWidth="1"/>
    <col min="8201" max="8201" width="14.28515625" style="107" bestFit="1" customWidth="1"/>
    <col min="8202" max="8202" width="21.28515625" style="107" customWidth="1"/>
    <col min="8203" max="8204" width="20.7109375" style="107" customWidth="1"/>
    <col min="8205" max="8450" width="8.85546875" style="107"/>
    <col min="8451" max="8451" width="26" style="107" customWidth="1"/>
    <col min="8452" max="8454" width="20.7109375" style="107" customWidth="1"/>
    <col min="8455" max="8455" width="23.42578125" style="107" customWidth="1"/>
    <col min="8456" max="8456" width="20.7109375" style="107" customWidth="1"/>
    <col min="8457" max="8457" width="14.28515625" style="107" bestFit="1" customWidth="1"/>
    <col min="8458" max="8458" width="21.28515625" style="107" customWidth="1"/>
    <col min="8459" max="8460" width="20.7109375" style="107" customWidth="1"/>
    <col min="8461" max="8706" width="8.85546875" style="107"/>
    <col min="8707" max="8707" width="26" style="107" customWidth="1"/>
    <col min="8708" max="8710" width="20.7109375" style="107" customWidth="1"/>
    <col min="8711" max="8711" width="23.42578125" style="107" customWidth="1"/>
    <col min="8712" max="8712" width="20.7109375" style="107" customWidth="1"/>
    <col min="8713" max="8713" width="14.28515625" style="107" bestFit="1" customWidth="1"/>
    <col min="8714" max="8714" width="21.28515625" style="107" customWidth="1"/>
    <col min="8715" max="8716" width="20.7109375" style="107" customWidth="1"/>
    <col min="8717" max="8962" width="8.85546875" style="107"/>
    <col min="8963" max="8963" width="26" style="107" customWidth="1"/>
    <col min="8964" max="8966" width="20.7109375" style="107" customWidth="1"/>
    <col min="8967" max="8967" width="23.42578125" style="107" customWidth="1"/>
    <col min="8968" max="8968" width="20.7109375" style="107" customWidth="1"/>
    <col min="8969" max="8969" width="14.28515625" style="107" bestFit="1" customWidth="1"/>
    <col min="8970" max="8970" width="21.28515625" style="107" customWidth="1"/>
    <col min="8971" max="8972" width="20.7109375" style="107" customWidth="1"/>
    <col min="8973" max="9218" width="8.85546875" style="107"/>
    <col min="9219" max="9219" width="26" style="107" customWidth="1"/>
    <col min="9220" max="9222" width="20.7109375" style="107" customWidth="1"/>
    <col min="9223" max="9223" width="23.42578125" style="107" customWidth="1"/>
    <col min="9224" max="9224" width="20.7109375" style="107" customWidth="1"/>
    <col min="9225" max="9225" width="14.28515625" style="107" bestFit="1" customWidth="1"/>
    <col min="9226" max="9226" width="21.28515625" style="107" customWidth="1"/>
    <col min="9227" max="9228" width="20.7109375" style="107" customWidth="1"/>
    <col min="9229" max="9474" width="8.85546875" style="107"/>
    <col min="9475" max="9475" width="26" style="107" customWidth="1"/>
    <col min="9476" max="9478" width="20.7109375" style="107" customWidth="1"/>
    <col min="9479" max="9479" width="23.42578125" style="107" customWidth="1"/>
    <col min="9480" max="9480" width="20.7109375" style="107" customWidth="1"/>
    <col min="9481" max="9481" width="14.28515625" style="107" bestFit="1" customWidth="1"/>
    <col min="9482" max="9482" width="21.28515625" style="107" customWidth="1"/>
    <col min="9483" max="9484" width="20.7109375" style="107" customWidth="1"/>
    <col min="9485" max="9730" width="8.85546875" style="107"/>
    <col min="9731" max="9731" width="26" style="107" customWidth="1"/>
    <col min="9732" max="9734" width="20.7109375" style="107" customWidth="1"/>
    <col min="9735" max="9735" width="23.42578125" style="107" customWidth="1"/>
    <col min="9736" max="9736" width="20.7109375" style="107" customWidth="1"/>
    <col min="9737" max="9737" width="14.28515625" style="107" bestFit="1" customWidth="1"/>
    <col min="9738" max="9738" width="21.28515625" style="107" customWidth="1"/>
    <col min="9739" max="9740" width="20.7109375" style="107" customWidth="1"/>
    <col min="9741" max="9986" width="8.85546875" style="107"/>
    <col min="9987" max="9987" width="26" style="107" customWidth="1"/>
    <col min="9988" max="9990" width="20.7109375" style="107" customWidth="1"/>
    <col min="9991" max="9991" width="23.42578125" style="107" customWidth="1"/>
    <col min="9992" max="9992" width="20.7109375" style="107" customWidth="1"/>
    <col min="9993" max="9993" width="14.28515625" style="107" bestFit="1" customWidth="1"/>
    <col min="9994" max="9994" width="21.28515625" style="107" customWidth="1"/>
    <col min="9995" max="9996" width="20.7109375" style="107" customWidth="1"/>
    <col min="9997" max="10242" width="8.85546875" style="107"/>
    <col min="10243" max="10243" width="26" style="107" customWidth="1"/>
    <col min="10244" max="10246" width="20.7109375" style="107" customWidth="1"/>
    <col min="10247" max="10247" width="23.42578125" style="107" customWidth="1"/>
    <col min="10248" max="10248" width="20.7109375" style="107" customWidth="1"/>
    <col min="10249" max="10249" width="14.28515625" style="107" bestFit="1" customWidth="1"/>
    <col min="10250" max="10250" width="21.28515625" style="107" customWidth="1"/>
    <col min="10251" max="10252" width="20.7109375" style="107" customWidth="1"/>
    <col min="10253" max="10498" width="8.85546875" style="107"/>
    <col min="10499" max="10499" width="26" style="107" customWidth="1"/>
    <col min="10500" max="10502" width="20.7109375" style="107" customWidth="1"/>
    <col min="10503" max="10503" width="23.42578125" style="107" customWidth="1"/>
    <col min="10504" max="10504" width="20.7109375" style="107" customWidth="1"/>
    <col min="10505" max="10505" width="14.28515625" style="107" bestFit="1" customWidth="1"/>
    <col min="10506" max="10506" width="21.28515625" style="107" customWidth="1"/>
    <col min="10507" max="10508" width="20.7109375" style="107" customWidth="1"/>
    <col min="10509" max="10754" width="8.85546875" style="107"/>
    <col min="10755" max="10755" width="26" style="107" customWidth="1"/>
    <col min="10756" max="10758" width="20.7109375" style="107" customWidth="1"/>
    <col min="10759" max="10759" width="23.42578125" style="107" customWidth="1"/>
    <col min="10760" max="10760" width="20.7109375" style="107" customWidth="1"/>
    <col min="10761" max="10761" width="14.28515625" style="107" bestFit="1" customWidth="1"/>
    <col min="10762" max="10762" width="21.28515625" style="107" customWidth="1"/>
    <col min="10763" max="10764" width="20.7109375" style="107" customWidth="1"/>
    <col min="10765" max="11010" width="8.85546875" style="107"/>
    <col min="11011" max="11011" width="26" style="107" customWidth="1"/>
    <col min="11012" max="11014" width="20.7109375" style="107" customWidth="1"/>
    <col min="11015" max="11015" width="23.42578125" style="107" customWidth="1"/>
    <col min="11016" max="11016" width="20.7109375" style="107" customWidth="1"/>
    <col min="11017" max="11017" width="14.28515625" style="107" bestFit="1" customWidth="1"/>
    <col min="11018" max="11018" width="21.28515625" style="107" customWidth="1"/>
    <col min="11019" max="11020" width="20.7109375" style="107" customWidth="1"/>
    <col min="11021" max="11266" width="8.85546875" style="107"/>
    <col min="11267" max="11267" width="26" style="107" customWidth="1"/>
    <col min="11268" max="11270" width="20.7109375" style="107" customWidth="1"/>
    <col min="11271" max="11271" width="23.42578125" style="107" customWidth="1"/>
    <col min="11272" max="11272" width="20.7109375" style="107" customWidth="1"/>
    <col min="11273" max="11273" width="14.28515625" style="107" bestFit="1" customWidth="1"/>
    <col min="11274" max="11274" width="21.28515625" style="107" customWidth="1"/>
    <col min="11275" max="11276" width="20.7109375" style="107" customWidth="1"/>
    <col min="11277" max="11522" width="8.85546875" style="107"/>
    <col min="11523" max="11523" width="26" style="107" customWidth="1"/>
    <col min="11524" max="11526" width="20.7109375" style="107" customWidth="1"/>
    <col min="11527" max="11527" width="23.42578125" style="107" customWidth="1"/>
    <col min="11528" max="11528" width="20.7109375" style="107" customWidth="1"/>
    <col min="11529" max="11529" width="14.28515625" style="107" bestFit="1" customWidth="1"/>
    <col min="11530" max="11530" width="21.28515625" style="107" customWidth="1"/>
    <col min="11531" max="11532" width="20.7109375" style="107" customWidth="1"/>
    <col min="11533" max="11778" width="8.85546875" style="107"/>
    <col min="11779" max="11779" width="26" style="107" customWidth="1"/>
    <col min="11780" max="11782" width="20.7109375" style="107" customWidth="1"/>
    <col min="11783" max="11783" width="23.42578125" style="107" customWidth="1"/>
    <col min="11784" max="11784" width="20.7109375" style="107" customWidth="1"/>
    <col min="11785" max="11785" width="14.28515625" style="107" bestFit="1" customWidth="1"/>
    <col min="11786" max="11786" width="21.28515625" style="107" customWidth="1"/>
    <col min="11787" max="11788" width="20.7109375" style="107" customWidth="1"/>
    <col min="11789" max="12034" width="8.85546875" style="107"/>
    <col min="12035" max="12035" width="26" style="107" customWidth="1"/>
    <col min="12036" max="12038" width="20.7109375" style="107" customWidth="1"/>
    <col min="12039" max="12039" width="23.42578125" style="107" customWidth="1"/>
    <col min="12040" max="12040" width="20.7109375" style="107" customWidth="1"/>
    <col min="12041" max="12041" width="14.28515625" style="107" bestFit="1" customWidth="1"/>
    <col min="12042" max="12042" width="21.28515625" style="107" customWidth="1"/>
    <col min="12043" max="12044" width="20.7109375" style="107" customWidth="1"/>
    <col min="12045" max="12290" width="8.85546875" style="107"/>
    <col min="12291" max="12291" width="26" style="107" customWidth="1"/>
    <col min="12292" max="12294" width="20.7109375" style="107" customWidth="1"/>
    <col min="12295" max="12295" width="23.42578125" style="107" customWidth="1"/>
    <col min="12296" max="12296" width="20.7109375" style="107" customWidth="1"/>
    <col min="12297" max="12297" width="14.28515625" style="107" bestFit="1" customWidth="1"/>
    <col min="12298" max="12298" width="21.28515625" style="107" customWidth="1"/>
    <col min="12299" max="12300" width="20.7109375" style="107" customWidth="1"/>
    <col min="12301" max="12546" width="8.85546875" style="107"/>
    <col min="12547" max="12547" width="26" style="107" customWidth="1"/>
    <col min="12548" max="12550" width="20.7109375" style="107" customWidth="1"/>
    <col min="12551" max="12551" width="23.42578125" style="107" customWidth="1"/>
    <col min="12552" max="12552" width="20.7109375" style="107" customWidth="1"/>
    <col min="12553" max="12553" width="14.28515625" style="107" bestFit="1" customWidth="1"/>
    <col min="12554" max="12554" width="21.28515625" style="107" customWidth="1"/>
    <col min="12555" max="12556" width="20.7109375" style="107" customWidth="1"/>
    <col min="12557" max="12802" width="8.85546875" style="107"/>
    <col min="12803" max="12803" width="26" style="107" customWidth="1"/>
    <col min="12804" max="12806" width="20.7109375" style="107" customWidth="1"/>
    <col min="12807" max="12807" width="23.42578125" style="107" customWidth="1"/>
    <col min="12808" max="12808" width="20.7109375" style="107" customWidth="1"/>
    <col min="12809" max="12809" width="14.28515625" style="107" bestFit="1" customWidth="1"/>
    <col min="12810" max="12810" width="21.28515625" style="107" customWidth="1"/>
    <col min="12811" max="12812" width="20.7109375" style="107" customWidth="1"/>
    <col min="12813" max="13058" width="8.85546875" style="107"/>
    <col min="13059" max="13059" width="26" style="107" customWidth="1"/>
    <col min="13060" max="13062" width="20.7109375" style="107" customWidth="1"/>
    <col min="13063" max="13063" width="23.42578125" style="107" customWidth="1"/>
    <col min="13064" max="13064" width="20.7109375" style="107" customWidth="1"/>
    <col min="13065" max="13065" width="14.28515625" style="107" bestFit="1" customWidth="1"/>
    <col min="13066" max="13066" width="21.28515625" style="107" customWidth="1"/>
    <col min="13067" max="13068" width="20.7109375" style="107" customWidth="1"/>
    <col min="13069" max="13314" width="8.85546875" style="107"/>
    <col min="13315" max="13315" width="26" style="107" customWidth="1"/>
    <col min="13316" max="13318" width="20.7109375" style="107" customWidth="1"/>
    <col min="13319" max="13319" width="23.42578125" style="107" customWidth="1"/>
    <col min="13320" max="13320" width="20.7109375" style="107" customWidth="1"/>
    <col min="13321" max="13321" width="14.28515625" style="107" bestFit="1" customWidth="1"/>
    <col min="13322" max="13322" width="21.28515625" style="107" customWidth="1"/>
    <col min="13323" max="13324" width="20.7109375" style="107" customWidth="1"/>
    <col min="13325" max="13570" width="8.85546875" style="107"/>
    <col min="13571" max="13571" width="26" style="107" customWidth="1"/>
    <col min="13572" max="13574" width="20.7109375" style="107" customWidth="1"/>
    <col min="13575" max="13575" width="23.42578125" style="107" customWidth="1"/>
    <col min="13576" max="13576" width="20.7109375" style="107" customWidth="1"/>
    <col min="13577" max="13577" width="14.28515625" style="107" bestFit="1" customWidth="1"/>
    <col min="13578" max="13578" width="21.28515625" style="107" customWidth="1"/>
    <col min="13579" max="13580" width="20.7109375" style="107" customWidth="1"/>
    <col min="13581" max="13826" width="8.85546875" style="107"/>
    <col min="13827" max="13827" width="26" style="107" customWidth="1"/>
    <col min="13828" max="13830" width="20.7109375" style="107" customWidth="1"/>
    <col min="13831" max="13831" width="23.42578125" style="107" customWidth="1"/>
    <col min="13832" max="13832" width="20.7109375" style="107" customWidth="1"/>
    <col min="13833" max="13833" width="14.28515625" style="107" bestFit="1" customWidth="1"/>
    <col min="13834" max="13834" width="21.28515625" style="107" customWidth="1"/>
    <col min="13835" max="13836" width="20.7109375" style="107" customWidth="1"/>
    <col min="13837" max="14082" width="8.85546875" style="107"/>
    <col min="14083" max="14083" width="26" style="107" customWidth="1"/>
    <col min="14084" max="14086" width="20.7109375" style="107" customWidth="1"/>
    <col min="14087" max="14087" width="23.42578125" style="107" customWidth="1"/>
    <col min="14088" max="14088" width="20.7109375" style="107" customWidth="1"/>
    <col min="14089" max="14089" width="14.28515625" style="107" bestFit="1" customWidth="1"/>
    <col min="14090" max="14090" width="21.28515625" style="107" customWidth="1"/>
    <col min="14091" max="14092" width="20.7109375" style="107" customWidth="1"/>
    <col min="14093" max="14338" width="8.85546875" style="107"/>
    <col min="14339" max="14339" width="26" style="107" customWidth="1"/>
    <col min="14340" max="14342" width="20.7109375" style="107" customWidth="1"/>
    <col min="14343" max="14343" width="23.42578125" style="107" customWidth="1"/>
    <col min="14344" max="14344" width="20.7109375" style="107" customWidth="1"/>
    <col min="14345" max="14345" width="14.28515625" style="107" bestFit="1" customWidth="1"/>
    <col min="14346" max="14346" width="21.28515625" style="107" customWidth="1"/>
    <col min="14347" max="14348" width="20.7109375" style="107" customWidth="1"/>
    <col min="14349" max="14594" width="8.85546875" style="107"/>
    <col min="14595" max="14595" width="26" style="107" customWidth="1"/>
    <col min="14596" max="14598" width="20.7109375" style="107" customWidth="1"/>
    <col min="14599" max="14599" width="23.42578125" style="107" customWidth="1"/>
    <col min="14600" max="14600" width="20.7109375" style="107" customWidth="1"/>
    <col min="14601" max="14601" width="14.28515625" style="107" bestFit="1" customWidth="1"/>
    <col min="14602" max="14602" width="21.28515625" style="107" customWidth="1"/>
    <col min="14603" max="14604" width="20.7109375" style="107" customWidth="1"/>
    <col min="14605" max="14850" width="8.85546875" style="107"/>
    <col min="14851" max="14851" width="26" style="107" customWidth="1"/>
    <col min="14852" max="14854" width="20.7109375" style="107" customWidth="1"/>
    <col min="14855" max="14855" width="23.42578125" style="107" customWidth="1"/>
    <col min="14856" max="14856" width="20.7109375" style="107" customWidth="1"/>
    <col min="14857" max="14857" width="14.28515625" style="107" bestFit="1" customWidth="1"/>
    <col min="14858" max="14858" width="21.28515625" style="107" customWidth="1"/>
    <col min="14859" max="14860" width="20.7109375" style="107" customWidth="1"/>
    <col min="14861" max="15106" width="8.85546875" style="107"/>
    <col min="15107" max="15107" width="26" style="107" customWidth="1"/>
    <col min="15108" max="15110" width="20.7109375" style="107" customWidth="1"/>
    <col min="15111" max="15111" width="23.42578125" style="107" customWidth="1"/>
    <col min="15112" max="15112" width="20.7109375" style="107" customWidth="1"/>
    <col min="15113" max="15113" width="14.28515625" style="107" bestFit="1" customWidth="1"/>
    <col min="15114" max="15114" width="21.28515625" style="107" customWidth="1"/>
    <col min="15115" max="15116" width="20.7109375" style="107" customWidth="1"/>
    <col min="15117" max="15362" width="8.85546875" style="107"/>
    <col min="15363" max="15363" width="26" style="107" customWidth="1"/>
    <col min="15364" max="15366" width="20.7109375" style="107" customWidth="1"/>
    <col min="15367" max="15367" width="23.42578125" style="107" customWidth="1"/>
    <col min="15368" max="15368" width="20.7109375" style="107" customWidth="1"/>
    <col min="15369" max="15369" width="14.28515625" style="107" bestFit="1" customWidth="1"/>
    <col min="15370" max="15370" width="21.28515625" style="107" customWidth="1"/>
    <col min="15371" max="15372" width="20.7109375" style="107" customWidth="1"/>
    <col min="15373" max="15618" width="8.85546875" style="107"/>
    <col min="15619" max="15619" width="26" style="107" customWidth="1"/>
    <col min="15620" max="15622" width="20.7109375" style="107" customWidth="1"/>
    <col min="15623" max="15623" width="23.42578125" style="107" customWidth="1"/>
    <col min="15624" max="15624" width="20.7109375" style="107" customWidth="1"/>
    <col min="15625" max="15625" width="14.28515625" style="107" bestFit="1" customWidth="1"/>
    <col min="15626" max="15626" width="21.28515625" style="107" customWidth="1"/>
    <col min="15627" max="15628" width="20.7109375" style="107" customWidth="1"/>
    <col min="15629" max="15874" width="8.85546875" style="107"/>
    <col min="15875" max="15875" width="26" style="107" customWidth="1"/>
    <col min="15876" max="15878" width="20.7109375" style="107" customWidth="1"/>
    <col min="15879" max="15879" width="23.42578125" style="107" customWidth="1"/>
    <col min="15880" max="15880" width="20.7109375" style="107" customWidth="1"/>
    <col min="15881" max="15881" width="14.28515625" style="107" bestFit="1" customWidth="1"/>
    <col min="15882" max="15882" width="21.28515625" style="107" customWidth="1"/>
    <col min="15883" max="15884" width="20.7109375" style="107" customWidth="1"/>
    <col min="15885" max="16130" width="8.85546875" style="107"/>
    <col min="16131" max="16131" width="26" style="107" customWidth="1"/>
    <col min="16132" max="16134" width="20.7109375" style="107" customWidth="1"/>
    <col min="16135" max="16135" width="23.42578125" style="107" customWidth="1"/>
    <col min="16136" max="16136" width="20.7109375" style="107" customWidth="1"/>
    <col min="16137" max="16137" width="14.28515625" style="107" bestFit="1" customWidth="1"/>
    <col min="16138" max="16138" width="21.28515625" style="107" customWidth="1"/>
    <col min="16139" max="16140" width="20.7109375" style="107" customWidth="1"/>
    <col min="16141" max="16384" width="8.85546875" style="107"/>
  </cols>
  <sheetData>
    <row r="1" spans="1:16" s="14" customFormat="1" ht="44.1" customHeight="1">
      <c r="A1" s="12"/>
      <c r="B1" s="98" t="s">
        <v>152</v>
      </c>
      <c r="C1" s="12"/>
      <c r="D1" s="12"/>
      <c r="E1" s="12"/>
      <c r="F1" s="12"/>
      <c r="G1" s="12"/>
      <c r="H1" s="12"/>
      <c r="I1" s="12"/>
      <c r="J1" s="12"/>
      <c r="K1" s="12"/>
      <c r="L1" s="12"/>
      <c r="M1" s="12"/>
      <c r="N1" s="12"/>
      <c r="O1" s="12"/>
      <c r="P1" s="12"/>
    </row>
    <row r="2" spans="1:16" ht="18">
      <c r="B2" s="54" t="s">
        <v>33</v>
      </c>
      <c r="C2" s="230">
        <f>Transactions!C3</f>
        <v>44197</v>
      </c>
      <c r="D2" s="105"/>
      <c r="E2" s="106"/>
    </row>
    <row r="3" spans="1:16" ht="51.75" customHeight="1">
      <c r="B3" s="54" t="s">
        <v>68</v>
      </c>
      <c r="C3" s="231">
        <f>Transactions!C4</f>
        <v>2021</v>
      </c>
      <c r="D3" s="108"/>
      <c r="E3" s="109"/>
      <c r="F3" s="370" t="s">
        <v>186</v>
      </c>
      <c r="G3" s="370"/>
      <c r="H3" s="370"/>
      <c r="I3" s="370"/>
      <c r="J3" s="370"/>
    </row>
    <row r="4" spans="1:16" ht="15.75" customHeight="1" thickBot="1">
      <c r="B4" s="360" t="s">
        <v>149</v>
      </c>
      <c r="C4" s="361"/>
      <c r="D4" s="362"/>
      <c r="E4" s="110"/>
    </row>
    <row r="5" spans="1:16" ht="15.75" customHeight="1">
      <c r="B5" s="187" t="s">
        <v>160</v>
      </c>
      <c r="C5" s="366" t="s">
        <v>248</v>
      </c>
      <c r="D5" s="367"/>
      <c r="E5" s="110"/>
    </row>
    <row r="6" spans="1:16" ht="15">
      <c r="A6" s="4"/>
      <c r="B6" s="368" t="s">
        <v>150</v>
      </c>
      <c r="C6" s="369"/>
      <c r="D6" s="281">
        <v>400000000</v>
      </c>
      <c r="E6" s="111"/>
    </row>
    <row r="7" spans="1:16" ht="15">
      <c r="B7" s="368" t="s">
        <v>153</v>
      </c>
      <c r="C7" s="369"/>
      <c r="D7" s="260">
        <v>180</v>
      </c>
      <c r="E7" s="111"/>
    </row>
    <row r="8" spans="1:16" ht="15">
      <c r="B8" s="189" t="s">
        <v>181</v>
      </c>
      <c r="C8" s="188"/>
      <c r="D8" s="261">
        <v>43831</v>
      </c>
    </row>
    <row r="9" spans="1:16">
      <c r="D9" s="182"/>
    </row>
    <row r="10" spans="1:16" ht="6.75" customHeight="1"/>
    <row r="11" spans="1:16" ht="18" customHeight="1">
      <c r="B11" s="363" t="s">
        <v>151</v>
      </c>
      <c r="C11" s="364"/>
      <c r="D11" s="364"/>
      <c r="E11" s="364"/>
      <c r="F11" s="364"/>
      <c r="G11" s="364"/>
      <c r="H11" s="364"/>
      <c r="I11" s="364"/>
      <c r="J11" s="365"/>
    </row>
    <row r="12" spans="1:16" s="114" customFormat="1" ht="30" customHeight="1" thickBot="1">
      <c r="A12" s="8"/>
      <c r="B12" s="119" t="s">
        <v>146</v>
      </c>
      <c r="C12" s="117" t="s">
        <v>155</v>
      </c>
      <c r="D12" s="117" t="s">
        <v>144</v>
      </c>
      <c r="E12" s="118" t="s">
        <v>143</v>
      </c>
      <c r="F12" s="117" t="s">
        <v>145</v>
      </c>
      <c r="G12" s="117" t="s">
        <v>147</v>
      </c>
      <c r="H12" s="117" t="s">
        <v>139</v>
      </c>
      <c r="I12" s="117" t="s">
        <v>68</v>
      </c>
      <c r="J12" s="120" t="s">
        <v>148</v>
      </c>
    </row>
    <row r="13" spans="1:16">
      <c r="B13" s="183">
        <f>IF(ISBLANK(D8),"",1)</f>
        <v>1</v>
      </c>
      <c r="C13" s="184">
        <f>IF(ISBLANK(D8),"",D8)</f>
        <v>43831</v>
      </c>
      <c r="D13" s="180">
        <f>D6*E13/12</f>
        <v>2966666.6666666665</v>
      </c>
      <c r="E13" s="215">
        <v>8.8999999999999996E-2</v>
      </c>
      <c r="F13" s="180">
        <f>IFERROR($D$6/$D$7,0)</f>
        <v>2222222.222222222</v>
      </c>
      <c r="G13" s="180">
        <f>D13+F13</f>
        <v>5188888.8888888881</v>
      </c>
      <c r="H13" s="180">
        <f>D6-F13</f>
        <v>397777777.77777779</v>
      </c>
      <c r="I13" s="354">
        <v>1</v>
      </c>
      <c r="J13" s="357">
        <f>SUM(G13:G24)</f>
        <v>61178888.888888896</v>
      </c>
    </row>
    <row r="14" spans="1:16">
      <c r="B14" s="185">
        <f>IF(B13&lt;$D$7,B13+1,"")</f>
        <v>2</v>
      </c>
      <c r="C14" s="186">
        <f>IF(B14&lt;&gt;"",EDATE(C13,1),"")</f>
        <v>43862</v>
      </c>
      <c r="D14" s="181">
        <f>IFERROR(IF(B14&lt;=$D$7,H13*E14/12,0),0)</f>
        <v>2950185.1851851852</v>
      </c>
      <c r="E14" s="216">
        <v>8.8999999999999996E-2</v>
      </c>
      <c r="F14" s="181">
        <f>IFERROR(IF(B14&lt;=$D$7,$D$6/$D$7,0),0)</f>
        <v>2222222.222222222</v>
      </c>
      <c r="G14" s="181">
        <f t="shared" ref="G14" si="0">D14+F14</f>
        <v>5172407.4074074067</v>
      </c>
      <c r="H14" s="181">
        <f t="shared" ref="H14" si="1">H13-F14</f>
        <v>395555555.55555558</v>
      </c>
      <c r="I14" s="355"/>
      <c r="J14" s="358"/>
    </row>
    <row r="15" spans="1:16">
      <c r="B15" s="185">
        <f t="shared" ref="B15:B78" si="2">IF(B14&lt;$D$7,B14+1,"")</f>
        <v>3</v>
      </c>
      <c r="C15" s="186">
        <f t="shared" ref="C15:C78" si="3">IF(B15&lt;&gt;"",EDATE(C14,1),"")</f>
        <v>43891</v>
      </c>
      <c r="D15" s="181">
        <f t="shared" ref="D15:D78" si="4">IFERROR(IF(B15&lt;=$D$7,H14*E15/12,0),0)</f>
        <v>2933703.7037037038</v>
      </c>
      <c r="E15" s="216">
        <v>8.8999999999999996E-2</v>
      </c>
      <c r="F15" s="181">
        <f t="shared" ref="F15:F78" si="5">IFERROR(IF(B15&lt;=$D$7,$D$6/$D$7,0),0)</f>
        <v>2222222.222222222</v>
      </c>
      <c r="G15" s="181">
        <f t="shared" ref="G15:G78" si="6">D15+F15</f>
        <v>5155925.9259259254</v>
      </c>
      <c r="H15" s="181">
        <f t="shared" ref="H15:H78" si="7">H14-F15</f>
        <v>393333333.33333337</v>
      </c>
      <c r="I15" s="355"/>
      <c r="J15" s="358"/>
    </row>
    <row r="16" spans="1:16">
      <c r="B16" s="185">
        <f t="shared" si="2"/>
        <v>4</v>
      </c>
      <c r="C16" s="186">
        <f t="shared" si="3"/>
        <v>43922</v>
      </c>
      <c r="D16" s="181">
        <f t="shared" si="4"/>
        <v>2917222.2222222225</v>
      </c>
      <c r="E16" s="216">
        <v>8.8999999999999996E-2</v>
      </c>
      <c r="F16" s="181">
        <f t="shared" si="5"/>
        <v>2222222.222222222</v>
      </c>
      <c r="G16" s="181">
        <f t="shared" si="6"/>
        <v>5139444.444444444</v>
      </c>
      <c r="H16" s="181">
        <f t="shared" si="7"/>
        <v>391111111.11111116</v>
      </c>
      <c r="I16" s="355"/>
      <c r="J16" s="358"/>
    </row>
    <row r="17" spans="2:10">
      <c r="B17" s="185">
        <f t="shared" si="2"/>
        <v>5</v>
      </c>
      <c r="C17" s="186">
        <f t="shared" si="3"/>
        <v>43952</v>
      </c>
      <c r="D17" s="181">
        <f t="shared" si="4"/>
        <v>2900740.7407407411</v>
      </c>
      <c r="E17" s="216">
        <v>8.8999999999999996E-2</v>
      </c>
      <c r="F17" s="181">
        <f t="shared" si="5"/>
        <v>2222222.222222222</v>
      </c>
      <c r="G17" s="181">
        <f t="shared" si="6"/>
        <v>5122962.9629629627</v>
      </c>
      <c r="H17" s="181">
        <f t="shared" si="7"/>
        <v>388888888.88888896</v>
      </c>
      <c r="I17" s="355"/>
      <c r="J17" s="358"/>
    </row>
    <row r="18" spans="2:10">
      <c r="B18" s="185">
        <f t="shared" si="2"/>
        <v>6</v>
      </c>
      <c r="C18" s="186">
        <f t="shared" si="3"/>
        <v>43983</v>
      </c>
      <c r="D18" s="181">
        <f t="shared" si="4"/>
        <v>2884259.2592592593</v>
      </c>
      <c r="E18" s="216">
        <v>8.8999999999999996E-2</v>
      </c>
      <c r="F18" s="181">
        <f t="shared" si="5"/>
        <v>2222222.222222222</v>
      </c>
      <c r="G18" s="181">
        <f t="shared" si="6"/>
        <v>5106481.4814814813</v>
      </c>
      <c r="H18" s="181">
        <f t="shared" si="7"/>
        <v>386666666.66666675</v>
      </c>
      <c r="I18" s="355"/>
      <c r="J18" s="358"/>
    </row>
    <row r="19" spans="2:10">
      <c r="B19" s="185">
        <f t="shared" si="2"/>
        <v>7</v>
      </c>
      <c r="C19" s="186">
        <f t="shared" si="3"/>
        <v>44013</v>
      </c>
      <c r="D19" s="181">
        <f t="shared" si="4"/>
        <v>2867777.777777778</v>
      </c>
      <c r="E19" s="216">
        <v>8.8999999999999996E-2</v>
      </c>
      <c r="F19" s="181">
        <f t="shared" si="5"/>
        <v>2222222.222222222</v>
      </c>
      <c r="G19" s="181">
        <f t="shared" si="6"/>
        <v>5090000</v>
      </c>
      <c r="H19" s="181">
        <f t="shared" si="7"/>
        <v>384444444.44444454</v>
      </c>
      <c r="I19" s="355"/>
      <c r="J19" s="358"/>
    </row>
    <row r="20" spans="2:10">
      <c r="B20" s="185">
        <f t="shared" si="2"/>
        <v>8</v>
      </c>
      <c r="C20" s="186">
        <f t="shared" si="3"/>
        <v>44044</v>
      </c>
      <c r="D20" s="181">
        <f t="shared" si="4"/>
        <v>2851296.2962962966</v>
      </c>
      <c r="E20" s="216">
        <v>8.8999999999999996E-2</v>
      </c>
      <c r="F20" s="181">
        <f t="shared" si="5"/>
        <v>2222222.222222222</v>
      </c>
      <c r="G20" s="181">
        <f t="shared" si="6"/>
        <v>5073518.5185185187</v>
      </c>
      <c r="H20" s="181">
        <f t="shared" si="7"/>
        <v>382222222.22222233</v>
      </c>
      <c r="I20" s="355"/>
      <c r="J20" s="358"/>
    </row>
    <row r="21" spans="2:10">
      <c r="B21" s="185">
        <f t="shared" si="2"/>
        <v>9</v>
      </c>
      <c r="C21" s="186">
        <f t="shared" si="3"/>
        <v>44075</v>
      </c>
      <c r="D21" s="181">
        <f t="shared" si="4"/>
        <v>2834814.8148148153</v>
      </c>
      <c r="E21" s="216">
        <v>8.8999999999999996E-2</v>
      </c>
      <c r="F21" s="181">
        <f t="shared" si="5"/>
        <v>2222222.222222222</v>
      </c>
      <c r="G21" s="181">
        <f t="shared" si="6"/>
        <v>5057037.0370370373</v>
      </c>
      <c r="H21" s="181">
        <f t="shared" si="7"/>
        <v>380000000.00000012</v>
      </c>
      <c r="I21" s="355"/>
      <c r="J21" s="358"/>
    </row>
    <row r="22" spans="2:10">
      <c r="B22" s="185">
        <f t="shared" si="2"/>
        <v>10</v>
      </c>
      <c r="C22" s="186">
        <f t="shared" si="3"/>
        <v>44105</v>
      </c>
      <c r="D22" s="181">
        <f t="shared" si="4"/>
        <v>2818333.333333334</v>
      </c>
      <c r="E22" s="216">
        <v>8.8999999999999996E-2</v>
      </c>
      <c r="F22" s="181">
        <f t="shared" si="5"/>
        <v>2222222.222222222</v>
      </c>
      <c r="G22" s="181">
        <f t="shared" si="6"/>
        <v>5040555.555555556</v>
      </c>
      <c r="H22" s="181">
        <f t="shared" si="7"/>
        <v>377777777.77777791</v>
      </c>
      <c r="I22" s="355"/>
      <c r="J22" s="358"/>
    </row>
    <row r="23" spans="2:10">
      <c r="B23" s="185">
        <f t="shared" si="2"/>
        <v>11</v>
      </c>
      <c r="C23" s="186">
        <f t="shared" si="3"/>
        <v>44136</v>
      </c>
      <c r="D23" s="181">
        <f t="shared" si="4"/>
        <v>2801851.8518518526</v>
      </c>
      <c r="E23" s="216">
        <v>8.8999999999999996E-2</v>
      </c>
      <c r="F23" s="181">
        <f t="shared" si="5"/>
        <v>2222222.222222222</v>
      </c>
      <c r="G23" s="181">
        <f t="shared" si="6"/>
        <v>5024074.0740740746</v>
      </c>
      <c r="H23" s="181">
        <f t="shared" si="7"/>
        <v>375555555.5555557</v>
      </c>
      <c r="I23" s="355"/>
      <c r="J23" s="358"/>
    </row>
    <row r="24" spans="2:10" ht="15" thickBot="1">
      <c r="B24" s="185">
        <f t="shared" si="2"/>
        <v>12</v>
      </c>
      <c r="C24" s="186">
        <f t="shared" si="3"/>
        <v>44166</v>
      </c>
      <c r="D24" s="181">
        <f t="shared" si="4"/>
        <v>2785370.3703703713</v>
      </c>
      <c r="E24" s="216">
        <v>8.8999999999999996E-2</v>
      </c>
      <c r="F24" s="181">
        <f t="shared" si="5"/>
        <v>2222222.222222222</v>
      </c>
      <c r="G24" s="181">
        <f t="shared" si="6"/>
        <v>5007592.5925925933</v>
      </c>
      <c r="H24" s="181">
        <f t="shared" si="7"/>
        <v>373333333.33333349</v>
      </c>
      <c r="I24" s="356"/>
      <c r="J24" s="359"/>
    </row>
    <row r="25" spans="2:10">
      <c r="B25" s="183">
        <f t="shared" si="2"/>
        <v>13</v>
      </c>
      <c r="C25" s="184">
        <f t="shared" si="3"/>
        <v>44197</v>
      </c>
      <c r="D25" s="180">
        <f t="shared" si="4"/>
        <v>2768888.8888888899</v>
      </c>
      <c r="E25" s="215">
        <v>8.8999999999999996E-2</v>
      </c>
      <c r="F25" s="180">
        <f t="shared" si="5"/>
        <v>2222222.222222222</v>
      </c>
      <c r="G25" s="180">
        <f t="shared" si="6"/>
        <v>4991111.1111111119</v>
      </c>
      <c r="H25" s="180">
        <f t="shared" si="7"/>
        <v>371111111.11111128</v>
      </c>
      <c r="I25" s="354">
        <v>2</v>
      </c>
      <c r="J25" s="357">
        <f>SUM(G25:G36)</f>
        <v>58805555.555555582</v>
      </c>
    </row>
    <row r="26" spans="2:10">
      <c r="B26" s="185">
        <f t="shared" si="2"/>
        <v>14</v>
      </c>
      <c r="C26" s="186">
        <f t="shared" si="3"/>
        <v>44228</v>
      </c>
      <c r="D26" s="181">
        <f t="shared" si="4"/>
        <v>2752407.4074074086</v>
      </c>
      <c r="E26" s="216">
        <v>8.8999999999999996E-2</v>
      </c>
      <c r="F26" s="181">
        <f t="shared" si="5"/>
        <v>2222222.222222222</v>
      </c>
      <c r="G26" s="181">
        <f t="shared" si="6"/>
        <v>4974629.6296296306</v>
      </c>
      <c r="H26" s="181">
        <f t="shared" si="7"/>
        <v>368888888.88888907</v>
      </c>
      <c r="I26" s="355"/>
      <c r="J26" s="358"/>
    </row>
    <row r="27" spans="2:10">
      <c r="B27" s="185">
        <f t="shared" si="2"/>
        <v>15</v>
      </c>
      <c r="C27" s="186">
        <f t="shared" si="3"/>
        <v>44256</v>
      </c>
      <c r="D27" s="181">
        <f t="shared" si="4"/>
        <v>2735925.9259259272</v>
      </c>
      <c r="E27" s="216">
        <v>8.8999999999999996E-2</v>
      </c>
      <c r="F27" s="181">
        <f t="shared" si="5"/>
        <v>2222222.222222222</v>
      </c>
      <c r="G27" s="181">
        <f t="shared" si="6"/>
        <v>4958148.1481481493</v>
      </c>
      <c r="H27" s="181">
        <f t="shared" si="7"/>
        <v>366666666.66666687</v>
      </c>
      <c r="I27" s="355"/>
      <c r="J27" s="358"/>
    </row>
    <row r="28" spans="2:10">
      <c r="B28" s="185">
        <f t="shared" si="2"/>
        <v>16</v>
      </c>
      <c r="C28" s="186">
        <f t="shared" si="3"/>
        <v>44287</v>
      </c>
      <c r="D28" s="181">
        <f t="shared" si="4"/>
        <v>2719444.4444444459</v>
      </c>
      <c r="E28" s="216">
        <v>8.8999999999999996E-2</v>
      </c>
      <c r="F28" s="181">
        <f t="shared" si="5"/>
        <v>2222222.222222222</v>
      </c>
      <c r="G28" s="181">
        <f t="shared" si="6"/>
        <v>4941666.6666666679</v>
      </c>
      <c r="H28" s="181">
        <f t="shared" si="7"/>
        <v>364444444.44444466</v>
      </c>
      <c r="I28" s="355"/>
      <c r="J28" s="358"/>
    </row>
    <row r="29" spans="2:10">
      <c r="B29" s="185">
        <f t="shared" si="2"/>
        <v>17</v>
      </c>
      <c r="C29" s="186">
        <f t="shared" si="3"/>
        <v>44317</v>
      </c>
      <c r="D29" s="181">
        <f t="shared" si="4"/>
        <v>2702962.9629629645</v>
      </c>
      <c r="E29" s="216">
        <v>8.8999999999999996E-2</v>
      </c>
      <c r="F29" s="181">
        <f t="shared" si="5"/>
        <v>2222222.222222222</v>
      </c>
      <c r="G29" s="181">
        <f t="shared" si="6"/>
        <v>4925185.1851851866</v>
      </c>
      <c r="H29" s="181">
        <f t="shared" si="7"/>
        <v>362222222.22222245</v>
      </c>
      <c r="I29" s="355"/>
      <c r="J29" s="358"/>
    </row>
    <row r="30" spans="2:10">
      <c r="B30" s="185">
        <f t="shared" si="2"/>
        <v>18</v>
      </c>
      <c r="C30" s="186">
        <f t="shared" si="3"/>
        <v>44348</v>
      </c>
      <c r="D30" s="181">
        <f t="shared" si="4"/>
        <v>2686481.4814814827</v>
      </c>
      <c r="E30" s="216">
        <v>8.8999999999999996E-2</v>
      </c>
      <c r="F30" s="181">
        <f t="shared" si="5"/>
        <v>2222222.222222222</v>
      </c>
      <c r="G30" s="181">
        <f t="shared" si="6"/>
        <v>4908703.7037037052</v>
      </c>
      <c r="H30" s="181">
        <f t="shared" si="7"/>
        <v>360000000.00000024</v>
      </c>
      <c r="I30" s="355"/>
      <c r="J30" s="358"/>
    </row>
    <row r="31" spans="2:10">
      <c r="B31" s="185">
        <f t="shared" si="2"/>
        <v>19</v>
      </c>
      <c r="C31" s="186">
        <f t="shared" si="3"/>
        <v>44378</v>
      </c>
      <c r="D31" s="181">
        <f t="shared" si="4"/>
        <v>2670000.0000000014</v>
      </c>
      <c r="E31" s="216">
        <v>8.8999999999999996E-2</v>
      </c>
      <c r="F31" s="181">
        <f t="shared" si="5"/>
        <v>2222222.222222222</v>
      </c>
      <c r="G31" s="181">
        <f t="shared" si="6"/>
        <v>4892222.2222222239</v>
      </c>
      <c r="H31" s="181">
        <f t="shared" si="7"/>
        <v>357777777.77777803</v>
      </c>
      <c r="I31" s="355"/>
      <c r="J31" s="358"/>
    </row>
    <row r="32" spans="2:10">
      <c r="B32" s="185">
        <f t="shared" si="2"/>
        <v>20</v>
      </c>
      <c r="C32" s="186">
        <f t="shared" si="3"/>
        <v>44409</v>
      </c>
      <c r="D32" s="181">
        <f t="shared" si="4"/>
        <v>2653518.5185185201</v>
      </c>
      <c r="E32" s="216">
        <v>8.8999999999999996E-2</v>
      </c>
      <c r="F32" s="181">
        <f t="shared" si="5"/>
        <v>2222222.222222222</v>
      </c>
      <c r="G32" s="181">
        <f t="shared" si="6"/>
        <v>4875740.7407407425</v>
      </c>
      <c r="H32" s="181">
        <f t="shared" si="7"/>
        <v>355555555.55555582</v>
      </c>
      <c r="I32" s="355"/>
      <c r="J32" s="358"/>
    </row>
    <row r="33" spans="2:10">
      <c r="B33" s="185">
        <f t="shared" si="2"/>
        <v>21</v>
      </c>
      <c r="C33" s="186">
        <f t="shared" si="3"/>
        <v>44440</v>
      </c>
      <c r="D33" s="181">
        <f t="shared" si="4"/>
        <v>2637037.0370370387</v>
      </c>
      <c r="E33" s="216">
        <v>8.8999999999999996E-2</v>
      </c>
      <c r="F33" s="181">
        <f t="shared" si="5"/>
        <v>2222222.222222222</v>
      </c>
      <c r="G33" s="181">
        <f t="shared" si="6"/>
        <v>4859259.2592592612</v>
      </c>
      <c r="H33" s="181">
        <f t="shared" si="7"/>
        <v>353333333.33333361</v>
      </c>
      <c r="I33" s="355"/>
      <c r="J33" s="358"/>
    </row>
    <row r="34" spans="2:10">
      <c r="B34" s="185">
        <f t="shared" si="2"/>
        <v>22</v>
      </c>
      <c r="C34" s="186">
        <f t="shared" si="3"/>
        <v>44470</v>
      </c>
      <c r="D34" s="181">
        <f t="shared" si="4"/>
        <v>2620555.5555555574</v>
      </c>
      <c r="E34" s="216">
        <v>8.8999999999999996E-2</v>
      </c>
      <c r="F34" s="181">
        <f t="shared" si="5"/>
        <v>2222222.222222222</v>
      </c>
      <c r="G34" s="181">
        <f t="shared" si="6"/>
        <v>4842777.7777777798</v>
      </c>
      <c r="H34" s="181">
        <f t="shared" si="7"/>
        <v>351111111.1111114</v>
      </c>
      <c r="I34" s="355"/>
      <c r="J34" s="358"/>
    </row>
    <row r="35" spans="2:10">
      <c r="B35" s="185">
        <f t="shared" si="2"/>
        <v>23</v>
      </c>
      <c r="C35" s="186">
        <f t="shared" si="3"/>
        <v>44501</v>
      </c>
      <c r="D35" s="181">
        <f t="shared" si="4"/>
        <v>2604074.074074076</v>
      </c>
      <c r="E35" s="216">
        <v>8.8999999999999996E-2</v>
      </c>
      <c r="F35" s="181">
        <f t="shared" si="5"/>
        <v>2222222.222222222</v>
      </c>
      <c r="G35" s="181">
        <f t="shared" si="6"/>
        <v>4826296.2962962985</v>
      </c>
      <c r="H35" s="181">
        <f t="shared" si="7"/>
        <v>348888888.88888919</v>
      </c>
      <c r="I35" s="355"/>
      <c r="J35" s="358"/>
    </row>
    <row r="36" spans="2:10" ht="15" thickBot="1">
      <c r="B36" s="185">
        <f t="shared" si="2"/>
        <v>24</v>
      </c>
      <c r="C36" s="186">
        <f t="shared" si="3"/>
        <v>44531</v>
      </c>
      <c r="D36" s="181">
        <f t="shared" si="4"/>
        <v>2587592.5925925947</v>
      </c>
      <c r="E36" s="216">
        <v>8.8999999999999996E-2</v>
      </c>
      <c r="F36" s="181">
        <f t="shared" si="5"/>
        <v>2222222.222222222</v>
      </c>
      <c r="G36" s="181">
        <f t="shared" si="6"/>
        <v>4809814.8148148172</v>
      </c>
      <c r="H36" s="181">
        <f t="shared" si="7"/>
        <v>346666666.66666698</v>
      </c>
      <c r="I36" s="356"/>
      <c r="J36" s="359"/>
    </row>
    <row r="37" spans="2:10">
      <c r="B37" s="183">
        <f t="shared" si="2"/>
        <v>25</v>
      </c>
      <c r="C37" s="184">
        <f t="shared" si="3"/>
        <v>44562</v>
      </c>
      <c r="D37" s="180">
        <f t="shared" si="4"/>
        <v>2571111.1111111133</v>
      </c>
      <c r="E37" s="215">
        <v>8.8999999999999996E-2</v>
      </c>
      <c r="F37" s="180">
        <f t="shared" si="5"/>
        <v>2222222.222222222</v>
      </c>
      <c r="G37" s="180">
        <f t="shared" si="6"/>
        <v>4793333.3333333358</v>
      </c>
      <c r="H37" s="180">
        <f t="shared" si="7"/>
        <v>344444444.44444478</v>
      </c>
      <c r="I37" s="354">
        <v>3</v>
      </c>
      <c r="J37" s="357">
        <f>SUM(G37:G48)</f>
        <v>56432222.222222254</v>
      </c>
    </row>
    <row r="38" spans="2:10">
      <c r="B38" s="185">
        <f t="shared" si="2"/>
        <v>26</v>
      </c>
      <c r="C38" s="186">
        <f t="shared" si="3"/>
        <v>44593</v>
      </c>
      <c r="D38" s="181">
        <f t="shared" si="4"/>
        <v>2554629.629629632</v>
      </c>
      <c r="E38" s="216">
        <v>8.8999999999999996E-2</v>
      </c>
      <c r="F38" s="181">
        <f t="shared" si="5"/>
        <v>2222222.222222222</v>
      </c>
      <c r="G38" s="181">
        <f t="shared" si="6"/>
        <v>4776851.8518518545</v>
      </c>
      <c r="H38" s="181">
        <f t="shared" si="7"/>
        <v>342222222.22222257</v>
      </c>
      <c r="I38" s="355"/>
      <c r="J38" s="358"/>
    </row>
    <row r="39" spans="2:10">
      <c r="B39" s="185">
        <f t="shared" si="2"/>
        <v>27</v>
      </c>
      <c r="C39" s="186">
        <f t="shared" si="3"/>
        <v>44621</v>
      </c>
      <c r="D39" s="181">
        <f t="shared" si="4"/>
        <v>2538148.1481481506</v>
      </c>
      <c r="E39" s="216">
        <v>8.8999999999999996E-2</v>
      </c>
      <c r="F39" s="181">
        <f t="shared" si="5"/>
        <v>2222222.222222222</v>
      </c>
      <c r="G39" s="181">
        <f t="shared" si="6"/>
        <v>4760370.3703703731</v>
      </c>
      <c r="H39" s="181">
        <f t="shared" si="7"/>
        <v>340000000.00000036</v>
      </c>
      <c r="I39" s="355"/>
      <c r="J39" s="358"/>
    </row>
    <row r="40" spans="2:10">
      <c r="B40" s="185">
        <f t="shared" si="2"/>
        <v>28</v>
      </c>
      <c r="C40" s="186">
        <f t="shared" si="3"/>
        <v>44652</v>
      </c>
      <c r="D40" s="181">
        <f t="shared" si="4"/>
        <v>2521666.6666666693</v>
      </c>
      <c r="E40" s="216">
        <v>8.8999999999999996E-2</v>
      </c>
      <c r="F40" s="181">
        <f t="shared" si="5"/>
        <v>2222222.222222222</v>
      </c>
      <c r="G40" s="181">
        <f t="shared" si="6"/>
        <v>4743888.8888888918</v>
      </c>
      <c r="H40" s="181">
        <f t="shared" si="7"/>
        <v>337777777.77777815</v>
      </c>
      <c r="I40" s="355"/>
      <c r="J40" s="358"/>
    </row>
    <row r="41" spans="2:10">
      <c r="B41" s="185">
        <f t="shared" si="2"/>
        <v>29</v>
      </c>
      <c r="C41" s="186">
        <f t="shared" si="3"/>
        <v>44682</v>
      </c>
      <c r="D41" s="181">
        <f t="shared" si="4"/>
        <v>2505185.185185188</v>
      </c>
      <c r="E41" s="216">
        <v>8.8999999999999996E-2</v>
      </c>
      <c r="F41" s="181">
        <f t="shared" si="5"/>
        <v>2222222.222222222</v>
      </c>
      <c r="G41" s="181">
        <f t="shared" si="6"/>
        <v>4727407.4074074104</v>
      </c>
      <c r="H41" s="181">
        <f t="shared" si="7"/>
        <v>335555555.55555594</v>
      </c>
      <c r="I41" s="355"/>
      <c r="J41" s="358"/>
    </row>
    <row r="42" spans="2:10">
      <c r="B42" s="185">
        <f t="shared" si="2"/>
        <v>30</v>
      </c>
      <c r="C42" s="186">
        <f t="shared" si="3"/>
        <v>44713</v>
      </c>
      <c r="D42" s="181">
        <f t="shared" si="4"/>
        <v>2488703.7037037066</v>
      </c>
      <c r="E42" s="216">
        <v>8.8999999999999996E-2</v>
      </c>
      <c r="F42" s="181">
        <f t="shared" si="5"/>
        <v>2222222.222222222</v>
      </c>
      <c r="G42" s="181">
        <f t="shared" si="6"/>
        <v>4710925.9259259291</v>
      </c>
      <c r="H42" s="181">
        <f t="shared" si="7"/>
        <v>333333333.33333373</v>
      </c>
      <c r="I42" s="355"/>
      <c r="J42" s="358"/>
    </row>
    <row r="43" spans="2:10">
      <c r="B43" s="185">
        <f t="shared" si="2"/>
        <v>31</v>
      </c>
      <c r="C43" s="186">
        <f t="shared" si="3"/>
        <v>44743</v>
      </c>
      <c r="D43" s="181">
        <f t="shared" si="4"/>
        <v>2472222.2222222253</v>
      </c>
      <c r="E43" s="216">
        <v>8.8999999999999996E-2</v>
      </c>
      <c r="F43" s="181">
        <f t="shared" si="5"/>
        <v>2222222.222222222</v>
      </c>
      <c r="G43" s="181">
        <f t="shared" si="6"/>
        <v>4694444.4444444478</v>
      </c>
      <c r="H43" s="181">
        <f t="shared" si="7"/>
        <v>331111111.11111152</v>
      </c>
      <c r="I43" s="355"/>
      <c r="J43" s="358"/>
    </row>
    <row r="44" spans="2:10">
      <c r="B44" s="185">
        <f t="shared" si="2"/>
        <v>32</v>
      </c>
      <c r="C44" s="186">
        <f t="shared" si="3"/>
        <v>44774</v>
      </c>
      <c r="D44" s="181">
        <f t="shared" si="4"/>
        <v>2455740.7407407439</v>
      </c>
      <c r="E44" s="216">
        <v>8.8999999999999996E-2</v>
      </c>
      <c r="F44" s="181">
        <f t="shared" si="5"/>
        <v>2222222.222222222</v>
      </c>
      <c r="G44" s="181">
        <f t="shared" si="6"/>
        <v>4677962.9629629664</v>
      </c>
      <c r="H44" s="181">
        <f t="shared" si="7"/>
        <v>328888888.88888931</v>
      </c>
      <c r="I44" s="355"/>
      <c r="J44" s="358"/>
    </row>
    <row r="45" spans="2:10">
      <c r="B45" s="185">
        <f t="shared" si="2"/>
        <v>33</v>
      </c>
      <c r="C45" s="186">
        <f t="shared" si="3"/>
        <v>44805</v>
      </c>
      <c r="D45" s="181">
        <f t="shared" si="4"/>
        <v>2439259.2592592626</v>
      </c>
      <c r="E45" s="216">
        <v>8.8999999999999996E-2</v>
      </c>
      <c r="F45" s="181">
        <f t="shared" si="5"/>
        <v>2222222.222222222</v>
      </c>
      <c r="G45" s="181">
        <f t="shared" si="6"/>
        <v>4661481.4814814851</v>
      </c>
      <c r="H45" s="181">
        <f t="shared" si="7"/>
        <v>326666666.6666671</v>
      </c>
      <c r="I45" s="355"/>
      <c r="J45" s="358"/>
    </row>
    <row r="46" spans="2:10">
      <c r="B46" s="185">
        <f t="shared" si="2"/>
        <v>34</v>
      </c>
      <c r="C46" s="186">
        <f t="shared" si="3"/>
        <v>44835</v>
      </c>
      <c r="D46" s="181">
        <f t="shared" si="4"/>
        <v>2422777.7777777808</v>
      </c>
      <c r="E46" s="216">
        <v>8.8999999999999996E-2</v>
      </c>
      <c r="F46" s="181">
        <f t="shared" si="5"/>
        <v>2222222.222222222</v>
      </c>
      <c r="G46" s="181">
        <f t="shared" si="6"/>
        <v>4645000.0000000028</v>
      </c>
      <c r="H46" s="181">
        <f t="shared" si="7"/>
        <v>324444444.44444489</v>
      </c>
      <c r="I46" s="355"/>
      <c r="J46" s="358"/>
    </row>
    <row r="47" spans="2:10">
      <c r="B47" s="185">
        <f t="shared" si="2"/>
        <v>35</v>
      </c>
      <c r="C47" s="186">
        <f t="shared" si="3"/>
        <v>44866</v>
      </c>
      <c r="D47" s="181">
        <f t="shared" si="4"/>
        <v>2406296.2962962994</v>
      </c>
      <c r="E47" s="216">
        <v>8.8999999999999996E-2</v>
      </c>
      <c r="F47" s="181">
        <f t="shared" si="5"/>
        <v>2222222.222222222</v>
      </c>
      <c r="G47" s="181">
        <f t="shared" si="6"/>
        <v>4628518.5185185215</v>
      </c>
      <c r="H47" s="181">
        <f t="shared" si="7"/>
        <v>322222222.22222269</v>
      </c>
      <c r="I47" s="355"/>
      <c r="J47" s="358"/>
    </row>
    <row r="48" spans="2:10" ht="15" thickBot="1">
      <c r="B48" s="185">
        <f t="shared" si="2"/>
        <v>36</v>
      </c>
      <c r="C48" s="186">
        <f t="shared" si="3"/>
        <v>44896</v>
      </c>
      <c r="D48" s="181">
        <f t="shared" si="4"/>
        <v>2389814.8148148181</v>
      </c>
      <c r="E48" s="216">
        <v>8.8999999999999996E-2</v>
      </c>
      <c r="F48" s="181">
        <f t="shared" si="5"/>
        <v>2222222.222222222</v>
      </c>
      <c r="G48" s="181">
        <f t="shared" si="6"/>
        <v>4612037.0370370401</v>
      </c>
      <c r="H48" s="181">
        <f t="shared" si="7"/>
        <v>320000000.00000048</v>
      </c>
      <c r="I48" s="356"/>
      <c r="J48" s="359"/>
    </row>
    <row r="49" spans="2:10">
      <c r="B49" s="183">
        <f t="shared" si="2"/>
        <v>37</v>
      </c>
      <c r="C49" s="184">
        <f t="shared" si="3"/>
        <v>44927</v>
      </c>
      <c r="D49" s="180">
        <f t="shared" si="4"/>
        <v>2373333.3333333367</v>
      </c>
      <c r="E49" s="215">
        <v>8.8999999999999996E-2</v>
      </c>
      <c r="F49" s="180">
        <f t="shared" si="5"/>
        <v>2222222.222222222</v>
      </c>
      <c r="G49" s="180">
        <f t="shared" si="6"/>
        <v>4595555.5555555588</v>
      </c>
      <c r="H49" s="180">
        <f t="shared" si="7"/>
        <v>317777777.77777827</v>
      </c>
      <c r="I49" s="354">
        <v>4</v>
      </c>
      <c r="J49" s="357">
        <f>SUM(G49:G60)</f>
        <v>54058888.888888933</v>
      </c>
    </row>
    <row r="50" spans="2:10">
      <c r="B50" s="185">
        <f t="shared" si="2"/>
        <v>38</v>
      </c>
      <c r="C50" s="186">
        <f t="shared" si="3"/>
        <v>44958</v>
      </c>
      <c r="D50" s="181">
        <f t="shared" si="4"/>
        <v>2356851.8518518554</v>
      </c>
      <c r="E50" s="216">
        <v>8.8999999999999996E-2</v>
      </c>
      <c r="F50" s="181">
        <f t="shared" si="5"/>
        <v>2222222.222222222</v>
      </c>
      <c r="G50" s="181">
        <f t="shared" si="6"/>
        <v>4579074.0740740774</v>
      </c>
      <c r="H50" s="181">
        <f t="shared" si="7"/>
        <v>315555555.55555606</v>
      </c>
      <c r="I50" s="355"/>
      <c r="J50" s="358"/>
    </row>
    <row r="51" spans="2:10">
      <c r="B51" s="185">
        <f t="shared" si="2"/>
        <v>39</v>
      </c>
      <c r="C51" s="186">
        <f t="shared" si="3"/>
        <v>44986</v>
      </c>
      <c r="D51" s="181">
        <f t="shared" si="4"/>
        <v>2340370.3703703741</v>
      </c>
      <c r="E51" s="216">
        <v>8.8999999999999996E-2</v>
      </c>
      <c r="F51" s="181">
        <f t="shared" si="5"/>
        <v>2222222.222222222</v>
      </c>
      <c r="G51" s="181">
        <f t="shared" si="6"/>
        <v>4562592.5925925961</v>
      </c>
      <c r="H51" s="181">
        <f t="shared" si="7"/>
        <v>313333333.33333385</v>
      </c>
      <c r="I51" s="355"/>
      <c r="J51" s="358"/>
    </row>
    <row r="52" spans="2:10">
      <c r="B52" s="185">
        <f t="shared" si="2"/>
        <v>40</v>
      </c>
      <c r="C52" s="186">
        <f t="shared" si="3"/>
        <v>45017</v>
      </c>
      <c r="D52" s="181">
        <f t="shared" si="4"/>
        <v>2323888.8888888927</v>
      </c>
      <c r="E52" s="216">
        <v>8.8999999999999996E-2</v>
      </c>
      <c r="F52" s="181">
        <f t="shared" si="5"/>
        <v>2222222.222222222</v>
      </c>
      <c r="G52" s="181">
        <f t="shared" si="6"/>
        <v>4546111.1111111147</v>
      </c>
      <c r="H52" s="181">
        <f t="shared" si="7"/>
        <v>311111111.11111164</v>
      </c>
      <c r="I52" s="355"/>
      <c r="J52" s="358"/>
    </row>
    <row r="53" spans="2:10">
      <c r="B53" s="185">
        <f t="shared" si="2"/>
        <v>41</v>
      </c>
      <c r="C53" s="186">
        <f t="shared" si="3"/>
        <v>45047</v>
      </c>
      <c r="D53" s="181">
        <f t="shared" si="4"/>
        <v>2307407.4074074114</v>
      </c>
      <c r="E53" s="216">
        <v>8.8999999999999996E-2</v>
      </c>
      <c r="F53" s="181">
        <f t="shared" si="5"/>
        <v>2222222.222222222</v>
      </c>
      <c r="G53" s="181">
        <f t="shared" si="6"/>
        <v>4529629.6296296334</v>
      </c>
      <c r="H53" s="181">
        <f t="shared" si="7"/>
        <v>308888888.88888943</v>
      </c>
      <c r="I53" s="355"/>
      <c r="J53" s="358"/>
    </row>
    <row r="54" spans="2:10">
      <c r="B54" s="185">
        <f t="shared" si="2"/>
        <v>42</v>
      </c>
      <c r="C54" s="186">
        <f t="shared" si="3"/>
        <v>45078</v>
      </c>
      <c r="D54" s="181">
        <f t="shared" si="4"/>
        <v>2290925.9259259296</v>
      </c>
      <c r="E54" s="216">
        <v>8.8999999999999996E-2</v>
      </c>
      <c r="F54" s="181">
        <f t="shared" si="5"/>
        <v>2222222.222222222</v>
      </c>
      <c r="G54" s="181">
        <f t="shared" si="6"/>
        <v>4513148.1481481511</v>
      </c>
      <c r="H54" s="181">
        <f t="shared" si="7"/>
        <v>306666666.66666722</v>
      </c>
      <c r="I54" s="355"/>
      <c r="J54" s="358"/>
    </row>
    <row r="55" spans="2:10">
      <c r="B55" s="185">
        <f t="shared" si="2"/>
        <v>43</v>
      </c>
      <c r="C55" s="186">
        <f t="shared" si="3"/>
        <v>45108</v>
      </c>
      <c r="D55" s="181">
        <f t="shared" si="4"/>
        <v>2274444.4444444482</v>
      </c>
      <c r="E55" s="216">
        <v>8.8999999999999996E-2</v>
      </c>
      <c r="F55" s="181">
        <f t="shared" si="5"/>
        <v>2222222.222222222</v>
      </c>
      <c r="G55" s="181">
        <f t="shared" si="6"/>
        <v>4496666.6666666698</v>
      </c>
      <c r="H55" s="181">
        <f t="shared" si="7"/>
        <v>304444444.44444501</v>
      </c>
      <c r="I55" s="355"/>
      <c r="J55" s="358"/>
    </row>
    <row r="56" spans="2:10">
      <c r="B56" s="185">
        <f t="shared" si="2"/>
        <v>44</v>
      </c>
      <c r="C56" s="186">
        <f t="shared" si="3"/>
        <v>45139</v>
      </c>
      <c r="D56" s="181">
        <f t="shared" si="4"/>
        <v>2257962.9629629669</v>
      </c>
      <c r="E56" s="216">
        <v>8.8999999999999996E-2</v>
      </c>
      <c r="F56" s="181">
        <f t="shared" si="5"/>
        <v>2222222.222222222</v>
      </c>
      <c r="G56" s="181">
        <f t="shared" si="6"/>
        <v>4480185.1851851884</v>
      </c>
      <c r="H56" s="181">
        <f t="shared" si="7"/>
        <v>302222222.22222281</v>
      </c>
      <c r="I56" s="355"/>
      <c r="J56" s="358"/>
    </row>
    <row r="57" spans="2:10">
      <c r="B57" s="185">
        <f t="shared" si="2"/>
        <v>45</v>
      </c>
      <c r="C57" s="186">
        <f t="shared" si="3"/>
        <v>45170</v>
      </c>
      <c r="D57" s="181">
        <f t="shared" si="4"/>
        <v>2241481.4814814855</v>
      </c>
      <c r="E57" s="216">
        <v>8.8999999999999996E-2</v>
      </c>
      <c r="F57" s="181">
        <f t="shared" si="5"/>
        <v>2222222.222222222</v>
      </c>
      <c r="G57" s="181">
        <f t="shared" si="6"/>
        <v>4463703.7037037071</v>
      </c>
      <c r="H57" s="181">
        <f t="shared" si="7"/>
        <v>300000000.0000006</v>
      </c>
      <c r="I57" s="355"/>
      <c r="J57" s="358"/>
    </row>
    <row r="58" spans="2:10">
      <c r="B58" s="185">
        <f t="shared" si="2"/>
        <v>46</v>
      </c>
      <c r="C58" s="186">
        <f t="shared" si="3"/>
        <v>45200</v>
      </c>
      <c r="D58" s="181">
        <f t="shared" si="4"/>
        <v>2225000.0000000042</v>
      </c>
      <c r="E58" s="216">
        <v>8.8999999999999996E-2</v>
      </c>
      <c r="F58" s="181">
        <f t="shared" si="5"/>
        <v>2222222.222222222</v>
      </c>
      <c r="G58" s="181">
        <f t="shared" si="6"/>
        <v>4447222.2222222257</v>
      </c>
      <c r="H58" s="181">
        <f t="shared" si="7"/>
        <v>297777777.77777839</v>
      </c>
      <c r="I58" s="355"/>
      <c r="J58" s="358"/>
    </row>
    <row r="59" spans="2:10">
      <c r="B59" s="185">
        <f t="shared" si="2"/>
        <v>47</v>
      </c>
      <c r="C59" s="186">
        <f t="shared" si="3"/>
        <v>45231</v>
      </c>
      <c r="D59" s="181">
        <f t="shared" si="4"/>
        <v>2208518.5185185228</v>
      </c>
      <c r="E59" s="216">
        <v>8.8999999999999996E-2</v>
      </c>
      <c r="F59" s="181">
        <f t="shared" si="5"/>
        <v>2222222.222222222</v>
      </c>
      <c r="G59" s="181">
        <f t="shared" si="6"/>
        <v>4430740.7407407444</v>
      </c>
      <c r="H59" s="181">
        <f t="shared" si="7"/>
        <v>295555555.55555618</v>
      </c>
      <c r="I59" s="355"/>
      <c r="J59" s="358"/>
    </row>
    <row r="60" spans="2:10" ht="15" thickBot="1">
      <c r="B60" s="185">
        <f t="shared" si="2"/>
        <v>48</v>
      </c>
      <c r="C60" s="186">
        <f t="shared" si="3"/>
        <v>45261</v>
      </c>
      <c r="D60" s="181">
        <f t="shared" si="4"/>
        <v>2192037.0370370415</v>
      </c>
      <c r="E60" s="216">
        <v>8.8999999999999996E-2</v>
      </c>
      <c r="F60" s="181">
        <f t="shared" si="5"/>
        <v>2222222.222222222</v>
      </c>
      <c r="G60" s="181">
        <f t="shared" si="6"/>
        <v>4414259.2592592631</v>
      </c>
      <c r="H60" s="181">
        <f t="shared" si="7"/>
        <v>293333333.33333397</v>
      </c>
      <c r="I60" s="356"/>
      <c r="J60" s="359"/>
    </row>
    <row r="61" spans="2:10">
      <c r="B61" s="183">
        <f t="shared" si="2"/>
        <v>49</v>
      </c>
      <c r="C61" s="184">
        <f t="shared" si="3"/>
        <v>45292</v>
      </c>
      <c r="D61" s="180">
        <f t="shared" si="4"/>
        <v>2175555.5555555602</v>
      </c>
      <c r="E61" s="215">
        <v>8.8999999999999996E-2</v>
      </c>
      <c r="F61" s="180">
        <f t="shared" si="5"/>
        <v>2222222.222222222</v>
      </c>
      <c r="G61" s="180">
        <f t="shared" si="6"/>
        <v>4397777.7777777817</v>
      </c>
      <c r="H61" s="180">
        <f t="shared" si="7"/>
        <v>291111111.11111176</v>
      </c>
      <c r="I61" s="354">
        <v>5</v>
      </c>
      <c r="J61" s="357">
        <f>SUM(G61:G72)</f>
        <v>51685555.555555612</v>
      </c>
    </row>
    <row r="62" spans="2:10">
      <c r="B62" s="185">
        <f t="shared" si="2"/>
        <v>50</v>
      </c>
      <c r="C62" s="186">
        <f t="shared" si="3"/>
        <v>45323</v>
      </c>
      <c r="D62" s="181">
        <f t="shared" si="4"/>
        <v>2159074.0740740788</v>
      </c>
      <c r="E62" s="216">
        <v>8.8999999999999996E-2</v>
      </c>
      <c r="F62" s="181">
        <f t="shared" si="5"/>
        <v>2222222.222222222</v>
      </c>
      <c r="G62" s="181">
        <f t="shared" si="6"/>
        <v>4381296.2962963004</v>
      </c>
      <c r="H62" s="181">
        <f t="shared" si="7"/>
        <v>288888888.88888955</v>
      </c>
      <c r="I62" s="355"/>
      <c r="J62" s="358"/>
    </row>
    <row r="63" spans="2:10">
      <c r="B63" s="185">
        <f t="shared" si="2"/>
        <v>51</v>
      </c>
      <c r="C63" s="186">
        <f t="shared" si="3"/>
        <v>45352</v>
      </c>
      <c r="D63" s="181">
        <f t="shared" si="4"/>
        <v>2142592.5925925975</v>
      </c>
      <c r="E63" s="216">
        <v>8.8999999999999996E-2</v>
      </c>
      <c r="F63" s="181">
        <f t="shared" si="5"/>
        <v>2222222.222222222</v>
      </c>
      <c r="G63" s="181">
        <f t="shared" si="6"/>
        <v>4364814.814814819</v>
      </c>
      <c r="H63" s="181">
        <f t="shared" si="7"/>
        <v>286666666.66666734</v>
      </c>
      <c r="I63" s="355"/>
      <c r="J63" s="358"/>
    </row>
    <row r="64" spans="2:10">
      <c r="B64" s="185">
        <f t="shared" si="2"/>
        <v>52</v>
      </c>
      <c r="C64" s="186">
        <f t="shared" si="3"/>
        <v>45383</v>
      </c>
      <c r="D64" s="181">
        <f t="shared" si="4"/>
        <v>2126111.1111111161</v>
      </c>
      <c r="E64" s="216">
        <v>8.8999999999999996E-2</v>
      </c>
      <c r="F64" s="181">
        <f t="shared" si="5"/>
        <v>2222222.222222222</v>
      </c>
      <c r="G64" s="181">
        <f t="shared" si="6"/>
        <v>4348333.3333333377</v>
      </c>
      <c r="H64" s="181">
        <f t="shared" si="7"/>
        <v>284444444.44444513</v>
      </c>
      <c r="I64" s="355"/>
      <c r="J64" s="358"/>
    </row>
    <row r="65" spans="2:10">
      <c r="B65" s="185">
        <f t="shared" si="2"/>
        <v>53</v>
      </c>
      <c r="C65" s="186">
        <f t="shared" si="3"/>
        <v>45413</v>
      </c>
      <c r="D65" s="181">
        <f t="shared" si="4"/>
        <v>2109629.6296296348</v>
      </c>
      <c r="E65" s="216">
        <v>8.8999999999999996E-2</v>
      </c>
      <c r="F65" s="181">
        <f t="shared" si="5"/>
        <v>2222222.222222222</v>
      </c>
      <c r="G65" s="181">
        <f t="shared" si="6"/>
        <v>4331851.8518518563</v>
      </c>
      <c r="H65" s="181">
        <f t="shared" si="7"/>
        <v>282222222.22222292</v>
      </c>
      <c r="I65" s="355"/>
      <c r="J65" s="358"/>
    </row>
    <row r="66" spans="2:10">
      <c r="B66" s="185">
        <f t="shared" si="2"/>
        <v>54</v>
      </c>
      <c r="C66" s="186">
        <f t="shared" si="3"/>
        <v>45444</v>
      </c>
      <c r="D66" s="181">
        <f t="shared" si="4"/>
        <v>2093148.1481481532</v>
      </c>
      <c r="E66" s="216">
        <v>8.8999999999999996E-2</v>
      </c>
      <c r="F66" s="181">
        <f t="shared" si="5"/>
        <v>2222222.222222222</v>
      </c>
      <c r="G66" s="181">
        <f t="shared" si="6"/>
        <v>4315370.370370375</v>
      </c>
      <c r="H66" s="181">
        <f t="shared" si="7"/>
        <v>280000000.00000072</v>
      </c>
      <c r="I66" s="355"/>
      <c r="J66" s="358"/>
    </row>
    <row r="67" spans="2:10">
      <c r="B67" s="185">
        <f t="shared" si="2"/>
        <v>55</v>
      </c>
      <c r="C67" s="186">
        <f t="shared" si="3"/>
        <v>45474</v>
      </c>
      <c r="D67" s="181">
        <f t="shared" si="4"/>
        <v>2076666.6666666719</v>
      </c>
      <c r="E67" s="216">
        <v>8.8999999999999996E-2</v>
      </c>
      <c r="F67" s="181">
        <f t="shared" si="5"/>
        <v>2222222.222222222</v>
      </c>
      <c r="G67" s="181">
        <f t="shared" si="6"/>
        <v>4298888.8888888936</v>
      </c>
      <c r="H67" s="181">
        <f t="shared" si="7"/>
        <v>277777777.77777851</v>
      </c>
      <c r="I67" s="355"/>
      <c r="J67" s="358"/>
    </row>
    <row r="68" spans="2:10">
      <c r="B68" s="185">
        <f t="shared" si="2"/>
        <v>56</v>
      </c>
      <c r="C68" s="186">
        <f t="shared" si="3"/>
        <v>45505</v>
      </c>
      <c r="D68" s="181">
        <f t="shared" si="4"/>
        <v>2060185.1851851905</v>
      </c>
      <c r="E68" s="216">
        <v>8.8999999999999996E-2</v>
      </c>
      <c r="F68" s="181">
        <f t="shared" si="5"/>
        <v>2222222.222222222</v>
      </c>
      <c r="G68" s="181">
        <f t="shared" si="6"/>
        <v>4282407.4074074123</v>
      </c>
      <c r="H68" s="181">
        <f t="shared" si="7"/>
        <v>275555555.5555563</v>
      </c>
      <c r="I68" s="355"/>
      <c r="J68" s="358"/>
    </row>
    <row r="69" spans="2:10">
      <c r="B69" s="185">
        <f t="shared" si="2"/>
        <v>57</v>
      </c>
      <c r="C69" s="186">
        <f t="shared" si="3"/>
        <v>45536</v>
      </c>
      <c r="D69" s="181">
        <f t="shared" si="4"/>
        <v>2043703.7037037092</v>
      </c>
      <c r="E69" s="216">
        <v>8.8999999999999996E-2</v>
      </c>
      <c r="F69" s="181">
        <f t="shared" si="5"/>
        <v>2222222.222222222</v>
      </c>
      <c r="G69" s="181">
        <f t="shared" si="6"/>
        <v>4265925.925925931</v>
      </c>
      <c r="H69" s="181">
        <f t="shared" si="7"/>
        <v>273333333.33333409</v>
      </c>
      <c r="I69" s="355"/>
      <c r="J69" s="358"/>
    </row>
    <row r="70" spans="2:10">
      <c r="B70" s="185">
        <f t="shared" si="2"/>
        <v>58</v>
      </c>
      <c r="C70" s="186">
        <f t="shared" si="3"/>
        <v>45566</v>
      </c>
      <c r="D70" s="181">
        <f t="shared" si="4"/>
        <v>2027222.2222222276</v>
      </c>
      <c r="E70" s="216">
        <v>8.8999999999999996E-2</v>
      </c>
      <c r="F70" s="181">
        <f t="shared" si="5"/>
        <v>2222222.222222222</v>
      </c>
      <c r="G70" s="181">
        <f t="shared" si="6"/>
        <v>4249444.4444444496</v>
      </c>
      <c r="H70" s="181">
        <f t="shared" si="7"/>
        <v>271111111.11111188</v>
      </c>
      <c r="I70" s="355"/>
      <c r="J70" s="358"/>
    </row>
    <row r="71" spans="2:10">
      <c r="B71" s="185">
        <f t="shared" si="2"/>
        <v>59</v>
      </c>
      <c r="C71" s="186">
        <f t="shared" si="3"/>
        <v>45597</v>
      </c>
      <c r="D71" s="181">
        <f t="shared" si="4"/>
        <v>2010740.7407407463</v>
      </c>
      <c r="E71" s="216">
        <v>8.8999999999999996E-2</v>
      </c>
      <c r="F71" s="181">
        <f t="shared" si="5"/>
        <v>2222222.222222222</v>
      </c>
      <c r="G71" s="181">
        <f t="shared" si="6"/>
        <v>4232962.9629629683</v>
      </c>
      <c r="H71" s="181">
        <f t="shared" si="7"/>
        <v>268888888.88888967</v>
      </c>
      <c r="I71" s="355"/>
      <c r="J71" s="358"/>
    </row>
    <row r="72" spans="2:10" ht="15" thickBot="1">
      <c r="B72" s="185">
        <f t="shared" si="2"/>
        <v>60</v>
      </c>
      <c r="C72" s="186">
        <f t="shared" si="3"/>
        <v>45627</v>
      </c>
      <c r="D72" s="181">
        <f t="shared" si="4"/>
        <v>1994259.2592592649</v>
      </c>
      <c r="E72" s="216">
        <v>8.8999999999999996E-2</v>
      </c>
      <c r="F72" s="181">
        <f t="shared" si="5"/>
        <v>2222222.222222222</v>
      </c>
      <c r="G72" s="181">
        <f t="shared" si="6"/>
        <v>4216481.4814814869</v>
      </c>
      <c r="H72" s="181">
        <f t="shared" si="7"/>
        <v>266666666.66666746</v>
      </c>
      <c r="I72" s="356"/>
      <c r="J72" s="359"/>
    </row>
    <row r="73" spans="2:10">
      <c r="B73" s="183">
        <f t="shared" si="2"/>
        <v>61</v>
      </c>
      <c r="C73" s="184">
        <f t="shared" si="3"/>
        <v>45658</v>
      </c>
      <c r="D73" s="180">
        <f t="shared" si="4"/>
        <v>1977777.7777777836</v>
      </c>
      <c r="E73" s="215">
        <v>8.8999999999999996E-2</v>
      </c>
      <c r="F73" s="180">
        <f t="shared" si="5"/>
        <v>2222222.222222222</v>
      </c>
      <c r="G73" s="180">
        <f t="shared" si="6"/>
        <v>4200000.0000000056</v>
      </c>
      <c r="H73" s="180">
        <f t="shared" si="7"/>
        <v>264444444.44444525</v>
      </c>
      <c r="I73" s="354">
        <v>6</v>
      </c>
      <c r="J73" s="357">
        <f>SUM(G73:G84)</f>
        <v>49312222.222222298</v>
      </c>
    </row>
    <row r="74" spans="2:10">
      <c r="B74" s="185">
        <f t="shared" si="2"/>
        <v>62</v>
      </c>
      <c r="C74" s="186">
        <f t="shared" si="3"/>
        <v>45689</v>
      </c>
      <c r="D74" s="181">
        <f t="shared" si="4"/>
        <v>1961296.2962963022</v>
      </c>
      <c r="E74" s="216">
        <v>8.8999999999999996E-2</v>
      </c>
      <c r="F74" s="181">
        <f t="shared" si="5"/>
        <v>2222222.222222222</v>
      </c>
      <c r="G74" s="181">
        <f t="shared" si="6"/>
        <v>4183518.5185185242</v>
      </c>
      <c r="H74" s="181">
        <f t="shared" si="7"/>
        <v>262222222.22222304</v>
      </c>
      <c r="I74" s="355"/>
      <c r="J74" s="358"/>
    </row>
    <row r="75" spans="2:10">
      <c r="B75" s="185">
        <f t="shared" si="2"/>
        <v>63</v>
      </c>
      <c r="C75" s="186">
        <f t="shared" si="3"/>
        <v>45717</v>
      </c>
      <c r="D75" s="181">
        <f t="shared" si="4"/>
        <v>1944814.8148148209</v>
      </c>
      <c r="E75" s="216">
        <v>8.8999999999999996E-2</v>
      </c>
      <c r="F75" s="181">
        <f t="shared" si="5"/>
        <v>2222222.222222222</v>
      </c>
      <c r="G75" s="181">
        <f t="shared" si="6"/>
        <v>4167037.0370370429</v>
      </c>
      <c r="H75" s="181">
        <f t="shared" si="7"/>
        <v>260000000.00000083</v>
      </c>
      <c r="I75" s="355"/>
      <c r="J75" s="358"/>
    </row>
    <row r="76" spans="2:10">
      <c r="B76" s="185">
        <f t="shared" si="2"/>
        <v>64</v>
      </c>
      <c r="C76" s="186">
        <f t="shared" si="3"/>
        <v>45748</v>
      </c>
      <c r="D76" s="181">
        <f t="shared" si="4"/>
        <v>1928333.3333333395</v>
      </c>
      <c r="E76" s="216">
        <v>8.8999999999999996E-2</v>
      </c>
      <c r="F76" s="181">
        <f t="shared" si="5"/>
        <v>2222222.222222222</v>
      </c>
      <c r="G76" s="181">
        <f t="shared" si="6"/>
        <v>4150555.5555555616</v>
      </c>
      <c r="H76" s="181">
        <f t="shared" si="7"/>
        <v>257777777.77777863</v>
      </c>
      <c r="I76" s="355"/>
      <c r="J76" s="358"/>
    </row>
    <row r="77" spans="2:10">
      <c r="B77" s="185">
        <f t="shared" si="2"/>
        <v>65</v>
      </c>
      <c r="C77" s="186">
        <f t="shared" si="3"/>
        <v>45778</v>
      </c>
      <c r="D77" s="181">
        <f t="shared" si="4"/>
        <v>1911851.8518518582</v>
      </c>
      <c r="E77" s="216">
        <v>8.8999999999999996E-2</v>
      </c>
      <c r="F77" s="181">
        <f t="shared" si="5"/>
        <v>2222222.222222222</v>
      </c>
      <c r="G77" s="181">
        <f t="shared" si="6"/>
        <v>4134074.0740740802</v>
      </c>
      <c r="H77" s="181">
        <f t="shared" si="7"/>
        <v>255555555.55555642</v>
      </c>
      <c r="I77" s="355"/>
      <c r="J77" s="358"/>
    </row>
    <row r="78" spans="2:10">
      <c r="B78" s="185">
        <f t="shared" si="2"/>
        <v>66</v>
      </c>
      <c r="C78" s="186">
        <f t="shared" si="3"/>
        <v>45809</v>
      </c>
      <c r="D78" s="181">
        <f t="shared" si="4"/>
        <v>1895370.3703703766</v>
      </c>
      <c r="E78" s="216">
        <v>8.8999999999999996E-2</v>
      </c>
      <c r="F78" s="181">
        <f t="shared" si="5"/>
        <v>2222222.222222222</v>
      </c>
      <c r="G78" s="181">
        <f t="shared" si="6"/>
        <v>4117592.5925925989</v>
      </c>
      <c r="H78" s="181">
        <f t="shared" si="7"/>
        <v>253333333.33333421</v>
      </c>
      <c r="I78" s="355"/>
      <c r="J78" s="358"/>
    </row>
    <row r="79" spans="2:10">
      <c r="B79" s="185">
        <f t="shared" ref="B79:B142" si="8">IF(B78&lt;$D$7,B78+1,"")</f>
        <v>67</v>
      </c>
      <c r="C79" s="186">
        <f t="shared" ref="C79:C142" si="9">IF(B79&lt;&gt;"",EDATE(C78,1),"")</f>
        <v>45839</v>
      </c>
      <c r="D79" s="181">
        <f t="shared" ref="D79:D142" si="10">IFERROR(IF(B79&lt;=$D$7,H78*E79/12,0),0)</f>
        <v>1878888.8888888953</v>
      </c>
      <c r="E79" s="216">
        <v>8.8999999999999996E-2</v>
      </c>
      <c r="F79" s="181">
        <f t="shared" ref="F79:F142" si="11">IFERROR(IF(B79&lt;=$D$7,$D$6/$D$7,0),0)</f>
        <v>2222222.222222222</v>
      </c>
      <c r="G79" s="181">
        <f t="shared" ref="G79:G142" si="12">D79+F79</f>
        <v>4101111.1111111175</v>
      </c>
      <c r="H79" s="181">
        <f t="shared" ref="H79:H142" si="13">H78-F79</f>
        <v>251111111.111112</v>
      </c>
      <c r="I79" s="355"/>
      <c r="J79" s="358"/>
    </row>
    <row r="80" spans="2:10">
      <c r="B80" s="185">
        <f t="shared" si="8"/>
        <v>68</v>
      </c>
      <c r="C80" s="186">
        <f t="shared" si="9"/>
        <v>45870</v>
      </c>
      <c r="D80" s="181">
        <f t="shared" si="10"/>
        <v>1862407.4074074139</v>
      </c>
      <c r="E80" s="216">
        <v>8.8999999999999996E-2</v>
      </c>
      <c r="F80" s="181">
        <f t="shared" si="11"/>
        <v>2222222.222222222</v>
      </c>
      <c r="G80" s="181">
        <f t="shared" si="12"/>
        <v>4084629.6296296362</v>
      </c>
      <c r="H80" s="181">
        <f t="shared" si="13"/>
        <v>248888888.88888979</v>
      </c>
      <c r="I80" s="355"/>
      <c r="J80" s="358"/>
    </row>
    <row r="81" spans="2:10">
      <c r="B81" s="185">
        <f t="shared" si="8"/>
        <v>69</v>
      </c>
      <c r="C81" s="186">
        <f t="shared" si="9"/>
        <v>45901</v>
      </c>
      <c r="D81" s="181">
        <f t="shared" si="10"/>
        <v>1845925.9259259326</v>
      </c>
      <c r="E81" s="216">
        <v>8.8999999999999996E-2</v>
      </c>
      <c r="F81" s="181">
        <f t="shared" si="11"/>
        <v>2222222.222222222</v>
      </c>
      <c r="G81" s="181">
        <f t="shared" si="12"/>
        <v>4068148.1481481548</v>
      </c>
      <c r="H81" s="181">
        <f t="shared" si="13"/>
        <v>246666666.66666758</v>
      </c>
      <c r="I81" s="355"/>
      <c r="J81" s="358"/>
    </row>
    <row r="82" spans="2:10">
      <c r="B82" s="185">
        <f t="shared" si="8"/>
        <v>70</v>
      </c>
      <c r="C82" s="186">
        <f t="shared" si="9"/>
        <v>45931</v>
      </c>
      <c r="D82" s="181">
        <f t="shared" si="10"/>
        <v>1829444.4444444512</v>
      </c>
      <c r="E82" s="216">
        <v>8.8999999999999996E-2</v>
      </c>
      <c r="F82" s="181">
        <f t="shared" si="11"/>
        <v>2222222.222222222</v>
      </c>
      <c r="G82" s="181">
        <f t="shared" si="12"/>
        <v>4051666.6666666735</v>
      </c>
      <c r="H82" s="181">
        <f t="shared" si="13"/>
        <v>244444444.44444537</v>
      </c>
      <c r="I82" s="355"/>
      <c r="J82" s="358"/>
    </row>
    <row r="83" spans="2:10">
      <c r="B83" s="185">
        <f t="shared" si="8"/>
        <v>71</v>
      </c>
      <c r="C83" s="186">
        <f t="shared" si="9"/>
        <v>45962</v>
      </c>
      <c r="D83" s="181">
        <f t="shared" si="10"/>
        <v>1812962.9629629699</v>
      </c>
      <c r="E83" s="216">
        <v>8.8999999999999996E-2</v>
      </c>
      <c r="F83" s="181">
        <f t="shared" si="11"/>
        <v>2222222.222222222</v>
      </c>
      <c r="G83" s="181">
        <f t="shared" si="12"/>
        <v>4035185.1851851922</v>
      </c>
      <c r="H83" s="181">
        <f t="shared" si="13"/>
        <v>242222222.22222316</v>
      </c>
      <c r="I83" s="355"/>
      <c r="J83" s="358"/>
    </row>
    <row r="84" spans="2:10" ht="15" thickBot="1">
      <c r="B84" s="185">
        <f t="shared" si="8"/>
        <v>72</v>
      </c>
      <c r="C84" s="186">
        <f t="shared" si="9"/>
        <v>45992</v>
      </c>
      <c r="D84" s="181">
        <f t="shared" si="10"/>
        <v>1796481.4814814886</v>
      </c>
      <c r="E84" s="216">
        <v>8.8999999999999996E-2</v>
      </c>
      <c r="F84" s="181">
        <f t="shared" si="11"/>
        <v>2222222.222222222</v>
      </c>
      <c r="G84" s="181">
        <f t="shared" si="12"/>
        <v>4018703.7037037108</v>
      </c>
      <c r="H84" s="181">
        <f t="shared" si="13"/>
        <v>240000000.00000095</v>
      </c>
      <c r="I84" s="356"/>
      <c r="J84" s="359"/>
    </row>
    <row r="85" spans="2:10">
      <c r="B85" s="183">
        <f t="shared" si="8"/>
        <v>73</v>
      </c>
      <c r="C85" s="184">
        <f t="shared" si="9"/>
        <v>46023</v>
      </c>
      <c r="D85" s="180">
        <f t="shared" si="10"/>
        <v>1780000.0000000072</v>
      </c>
      <c r="E85" s="215">
        <v>8.8999999999999996E-2</v>
      </c>
      <c r="F85" s="180">
        <f t="shared" si="11"/>
        <v>2222222.222222222</v>
      </c>
      <c r="G85" s="180">
        <f t="shared" si="12"/>
        <v>4002222.2222222295</v>
      </c>
      <c r="H85" s="180">
        <f t="shared" si="13"/>
        <v>237777777.77777874</v>
      </c>
      <c r="I85" s="354">
        <v>7</v>
      </c>
      <c r="J85" s="357">
        <f>SUM(G85:G96)</f>
        <v>46938888.88888897</v>
      </c>
    </row>
    <row r="86" spans="2:10">
      <c r="B86" s="185">
        <f t="shared" si="8"/>
        <v>74</v>
      </c>
      <c r="C86" s="186">
        <f t="shared" si="9"/>
        <v>46054</v>
      </c>
      <c r="D86" s="181">
        <f t="shared" si="10"/>
        <v>1763518.5185185254</v>
      </c>
      <c r="E86" s="216">
        <v>8.8999999999999996E-2</v>
      </c>
      <c r="F86" s="181">
        <f t="shared" si="11"/>
        <v>2222222.222222222</v>
      </c>
      <c r="G86" s="181">
        <f t="shared" si="12"/>
        <v>3985740.7407407472</v>
      </c>
      <c r="H86" s="181">
        <f t="shared" si="13"/>
        <v>235555555.55555654</v>
      </c>
      <c r="I86" s="355"/>
      <c r="J86" s="358"/>
    </row>
    <row r="87" spans="2:10">
      <c r="B87" s="185">
        <f t="shared" si="8"/>
        <v>75</v>
      </c>
      <c r="C87" s="186">
        <f t="shared" si="9"/>
        <v>46082</v>
      </c>
      <c r="D87" s="181">
        <f t="shared" si="10"/>
        <v>1747037.0370370441</v>
      </c>
      <c r="E87" s="216">
        <v>8.8999999999999996E-2</v>
      </c>
      <c r="F87" s="181">
        <f t="shared" si="11"/>
        <v>2222222.222222222</v>
      </c>
      <c r="G87" s="181">
        <f t="shared" si="12"/>
        <v>3969259.2592592658</v>
      </c>
      <c r="H87" s="181">
        <f t="shared" si="13"/>
        <v>233333333.33333433</v>
      </c>
      <c r="I87" s="355"/>
      <c r="J87" s="358"/>
    </row>
    <row r="88" spans="2:10">
      <c r="B88" s="185">
        <f t="shared" si="8"/>
        <v>76</v>
      </c>
      <c r="C88" s="186">
        <f t="shared" si="9"/>
        <v>46113</v>
      </c>
      <c r="D88" s="181">
        <f t="shared" si="10"/>
        <v>1730555.5555555627</v>
      </c>
      <c r="E88" s="216">
        <v>8.8999999999999996E-2</v>
      </c>
      <c r="F88" s="181">
        <f t="shared" si="11"/>
        <v>2222222.222222222</v>
      </c>
      <c r="G88" s="181">
        <f t="shared" si="12"/>
        <v>3952777.7777777845</v>
      </c>
      <c r="H88" s="181">
        <f t="shared" si="13"/>
        <v>231111111.11111212</v>
      </c>
      <c r="I88" s="355"/>
      <c r="J88" s="358"/>
    </row>
    <row r="89" spans="2:10">
      <c r="B89" s="185">
        <f t="shared" si="8"/>
        <v>77</v>
      </c>
      <c r="C89" s="186">
        <f t="shared" si="9"/>
        <v>46143</v>
      </c>
      <c r="D89" s="181">
        <f t="shared" si="10"/>
        <v>1714074.0740740814</v>
      </c>
      <c r="E89" s="216">
        <v>8.8999999999999996E-2</v>
      </c>
      <c r="F89" s="181">
        <f t="shared" si="11"/>
        <v>2222222.222222222</v>
      </c>
      <c r="G89" s="181">
        <f t="shared" si="12"/>
        <v>3936296.2962963032</v>
      </c>
      <c r="H89" s="181">
        <f t="shared" si="13"/>
        <v>228888888.88888991</v>
      </c>
      <c r="I89" s="355"/>
      <c r="J89" s="358"/>
    </row>
    <row r="90" spans="2:10">
      <c r="B90" s="185">
        <f t="shared" si="8"/>
        <v>78</v>
      </c>
      <c r="C90" s="186">
        <f t="shared" si="9"/>
        <v>46174</v>
      </c>
      <c r="D90" s="181">
        <f t="shared" si="10"/>
        <v>1697592.5925926</v>
      </c>
      <c r="E90" s="216">
        <v>8.8999999999999996E-2</v>
      </c>
      <c r="F90" s="181">
        <f t="shared" si="11"/>
        <v>2222222.222222222</v>
      </c>
      <c r="G90" s="181">
        <f t="shared" si="12"/>
        <v>3919814.8148148218</v>
      </c>
      <c r="H90" s="181">
        <f t="shared" si="13"/>
        <v>226666666.6666677</v>
      </c>
      <c r="I90" s="355"/>
      <c r="J90" s="358"/>
    </row>
    <row r="91" spans="2:10">
      <c r="B91" s="185">
        <f t="shared" si="8"/>
        <v>79</v>
      </c>
      <c r="C91" s="186">
        <f t="shared" si="9"/>
        <v>46204</v>
      </c>
      <c r="D91" s="181">
        <f t="shared" si="10"/>
        <v>1681111.1111111187</v>
      </c>
      <c r="E91" s="216">
        <v>8.8999999999999996E-2</v>
      </c>
      <c r="F91" s="181">
        <f t="shared" si="11"/>
        <v>2222222.222222222</v>
      </c>
      <c r="G91" s="181">
        <f t="shared" si="12"/>
        <v>3903333.3333333405</v>
      </c>
      <c r="H91" s="181">
        <f t="shared" si="13"/>
        <v>224444444.44444549</v>
      </c>
      <c r="I91" s="355"/>
      <c r="J91" s="358"/>
    </row>
    <row r="92" spans="2:10">
      <c r="B92" s="185">
        <f t="shared" si="8"/>
        <v>80</v>
      </c>
      <c r="C92" s="186">
        <f t="shared" si="9"/>
        <v>46235</v>
      </c>
      <c r="D92" s="181">
        <f t="shared" si="10"/>
        <v>1664629.6296296373</v>
      </c>
      <c r="E92" s="216">
        <v>8.8999999999999996E-2</v>
      </c>
      <c r="F92" s="181">
        <f t="shared" si="11"/>
        <v>2222222.222222222</v>
      </c>
      <c r="G92" s="181">
        <f t="shared" si="12"/>
        <v>3886851.8518518591</v>
      </c>
      <c r="H92" s="181">
        <f t="shared" si="13"/>
        <v>222222222.22222328</v>
      </c>
      <c r="I92" s="355"/>
      <c r="J92" s="358"/>
    </row>
    <row r="93" spans="2:10">
      <c r="B93" s="185">
        <f t="shared" si="8"/>
        <v>81</v>
      </c>
      <c r="C93" s="186">
        <f t="shared" si="9"/>
        <v>46266</v>
      </c>
      <c r="D93" s="181">
        <f t="shared" si="10"/>
        <v>1648148.148148156</v>
      </c>
      <c r="E93" s="216">
        <v>8.8999999999999996E-2</v>
      </c>
      <c r="F93" s="181">
        <f t="shared" si="11"/>
        <v>2222222.222222222</v>
      </c>
      <c r="G93" s="181">
        <f t="shared" si="12"/>
        <v>3870370.3703703778</v>
      </c>
      <c r="H93" s="181">
        <f t="shared" si="13"/>
        <v>220000000.00000107</v>
      </c>
      <c r="I93" s="355"/>
      <c r="J93" s="358"/>
    </row>
    <row r="94" spans="2:10">
      <c r="B94" s="185">
        <f t="shared" si="8"/>
        <v>82</v>
      </c>
      <c r="C94" s="186">
        <f t="shared" si="9"/>
        <v>46296</v>
      </c>
      <c r="D94" s="181">
        <f t="shared" si="10"/>
        <v>1631666.6666666744</v>
      </c>
      <c r="E94" s="216">
        <v>8.8999999999999996E-2</v>
      </c>
      <c r="F94" s="181">
        <f t="shared" si="11"/>
        <v>2222222.222222222</v>
      </c>
      <c r="G94" s="181">
        <f t="shared" si="12"/>
        <v>3853888.8888888964</v>
      </c>
      <c r="H94" s="181">
        <f t="shared" si="13"/>
        <v>217777777.77777886</v>
      </c>
      <c r="I94" s="355"/>
      <c r="J94" s="358"/>
    </row>
    <row r="95" spans="2:10">
      <c r="B95" s="185">
        <f t="shared" si="8"/>
        <v>83</v>
      </c>
      <c r="C95" s="186">
        <f t="shared" si="9"/>
        <v>46327</v>
      </c>
      <c r="D95" s="181">
        <f t="shared" si="10"/>
        <v>1615185.1851851931</v>
      </c>
      <c r="E95" s="216">
        <v>8.8999999999999996E-2</v>
      </c>
      <c r="F95" s="181">
        <f t="shared" si="11"/>
        <v>2222222.222222222</v>
      </c>
      <c r="G95" s="181">
        <f t="shared" si="12"/>
        <v>3837407.4074074151</v>
      </c>
      <c r="H95" s="181">
        <f t="shared" si="13"/>
        <v>215555555.55555665</v>
      </c>
      <c r="I95" s="355"/>
      <c r="J95" s="358"/>
    </row>
    <row r="96" spans="2:10" ht="15" thickBot="1">
      <c r="B96" s="185">
        <f t="shared" si="8"/>
        <v>84</v>
      </c>
      <c r="C96" s="186">
        <f t="shared" si="9"/>
        <v>46357</v>
      </c>
      <c r="D96" s="181">
        <f t="shared" si="10"/>
        <v>1598703.7037037117</v>
      </c>
      <c r="E96" s="216">
        <v>8.8999999999999996E-2</v>
      </c>
      <c r="F96" s="181">
        <f t="shared" si="11"/>
        <v>2222222.222222222</v>
      </c>
      <c r="G96" s="181">
        <f t="shared" si="12"/>
        <v>3820925.9259259338</v>
      </c>
      <c r="H96" s="181">
        <f t="shared" si="13"/>
        <v>213333333.33333445</v>
      </c>
      <c r="I96" s="356"/>
      <c r="J96" s="359"/>
    </row>
    <row r="97" spans="2:10">
      <c r="B97" s="183">
        <f t="shared" si="8"/>
        <v>85</v>
      </c>
      <c r="C97" s="184">
        <f t="shared" si="9"/>
        <v>46388</v>
      </c>
      <c r="D97" s="180">
        <f t="shared" si="10"/>
        <v>1582222.2222222304</v>
      </c>
      <c r="E97" s="215">
        <v>8.8999999999999996E-2</v>
      </c>
      <c r="F97" s="180">
        <f t="shared" si="11"/>
        <v>2222222.222222222</v>
      </c>
      <c r="G97" s="180">
        <f t="shared" si="12"/>
        <v>3804444.4444444524</v>
      </c>
      <c r="H97" s="180">
        <f t="shared" si="13"/>
        <v>211111111.11111224</v>
      </c>
      <c r="I97" s="354">
        <v>8</v>
      </c>
      <c r="J97" s="357">
        <f>SUM(G97:G108)</f>
        <v>44565555.555555657</v>
      </c>
    </row>
    <row r="98" spans="2:10">
      <c r="B98" s="185">
        <f t="shared" si="8"/>
        <v>86</v>
      </c>
      <c r="C98" s="186">
        <f t="shared" si="9"/>
        <v>46419</v>
      </c>
      <c r="D98" s="181">
        <f t="shared" si="10"/>
        <v>1565740.7407407491</v>
      </c>
      <c r="E98" s="216">
        <v>8.8999999999999996E-2</v>
      </c>
      <c r="F98" s="181">
        <f t="shared" si="11"/>
        <v>2222222.222222222</v>
      </c>
      <c r="G98" s="181">
        <f t="shared" si="12"/>
        <v>3787962.9629629711</v>
      </c>
      <c r="H98" s="181">
        <f t="shared" si="13"/>
        <v>208888888.88889003</v>
      </c>
      <c r="I98" s="355"/>
      <c r="J98" s="358"/>
    </row>
    <row r="99" spans="2:10">
      <c r="B99" s="185">
        <f t="shared" si="8"/>
        <v>87</v>
      </c>
      <c r="C99" s="186">
        <f t="shared" si="9"/>
        <v>46447</v>
      </c>
      <c r="D99" s="181">
        <f t="shared" si="10"/>
        <v>1549259.2592592677</v>
      </c>
      <c r="E99" s="216">
        <v>8.8999999999999996E-2</v>
      </c>
      <c r="F99" s="181">
        <f t="shared" si="11"/>
        <v>2222222.222222222</v>
      </c>
      <c r="G99" s="181">
        <f t="shared" si="12"/>
        <v>3771481.4814814897</v>
      </c>
      <c r="H99" s="181">
        <f t="shared" si="13"/>
        <v>206666666.66666782</v>
      </c>
      <c r="I99" s="355"/>
      <c r="J99" s="358"/>
    </row>
    <row r="100" spans="2:10">
      <c r="B100" s="185">
        <f t="shared" si="8"/>
        <v>88</v>
      </c>
      <c r="C100" s="186">
        <f t="shared" si="9"/>
        <v>46478</v>
      </c>
      <c r="D100" s="181">
        <f t="shared" si="10"/>
        <v>1532777.7777777864</v>
      </c>
      <c r="E100" s="216">
        <v>8.8999999999999996E-2</v>
      </c>
      <c r="F100" s="181">
        <f t="shared" si="11"/>
        <v>2222222.222222222</v>
      </c>
      <c r="G100" s="181">
        <f t="shared" si="12"/>
        <v>3755000.0000000084</v>
      </c>
      <c r="H100" s="181">
        <f t="shared" si="13"/>
        <v>204444444.44444561</v>
      </c>
      <c r="I100" s="355"/>
      <c r="J100" s="358"/>
    </row>
    <row r="101" spans="2:10">
      <c r="B101" s="185">
        <f t="shared" si="8"/>
        <v>89</v>
      </c>
      <c r="C101" s="186">
        <f t="shared" si="9"/>
        <v>46508</v>
      </c>
      <c r="D101" s="181">
        <f t="shared" si="10"/>
        <v>1516296.296296305</v>
      </c>
      <c r="E101" s="216">
        <v>8.8999999999999996E-2</v>
      </c>
      <c r="F101" s="181">
        <f t="shared" si="11"/>
        <v>2222222.222222222</v>
      </c>
      <c r="G101" s="181">
        <f t="shared" si="12"/>
        <v>3738518.518518527</v>
      </c>
      <c r="H101" s="181">
        <f t="shared" si="13"/>
        <v>202222222.2222234</v>
      </c>
      <c r="I101" s="355"/>
      <c r="J101" s="358"/>
    </row>
    <row r="102" spans="2:10">
      <c r="B102" s="185">
        <f t="shared" si="8"/>
        <v>90</v>
      </c>
      <c r="C102" s="186">
        <f t="shared" si="9"/>
        <v>46539</v>
      </c>
      <c r="D102" s="181">
        <f t="shared" si="10"/>
        <v>1499814.8148148234</v>
      </c>
      <c r="E102" s="216">
        <v>8.8999999999999996E-2</v>
      </c>
      <c r="F102" s="181">
        <f t="shared" si="11"/>
        <v>2222222.222222222</v>
      </c>
      <c r="G102" s="181">
        <f t="shared" si="12"/>
        <v>3722037.0370370457</v>
      </c>
      <c r="H102" s="181">
        <f t="shared" si="13"/>
        <v>200000000.00000119</v>
      </c>
      <c r="I102" s="355"/>
      <c r="J102" s="358"/>
    </row>
    <row r="103" spans="2:10">
      <c r="B103" s="185">
        <f t="shared" si="8"/>
        <v>91</v>
      </c>
      <c r="C103" s="186">
        <f t="shared" si="9"/>
        <v>46569</v>
      </c>
      <c r="D103" s="181">
        <f t="shared" si="10"/>
        <v>1483333.3333333421</v>
      </c>
      <c r="E103" s="216">
        <v>8.8999999999999996E-2</v>
      </c>
      <c r="F103" s="181">
        <f t="shared" si="11"/>
        <v>2222222.222222222</v>
      </c>
      <c r="G103" s="181">
        <f t="shared" si="12"/>
        <v>3705555.5555555644</v>
      </c>
      <c r="H103" s="181">
        <f t="shared" si="13"/>
        <v>197777777.77777898</v>
      </c>
      <c r="I103" s="355"/>
      <c r="J103" s="358"/>
    </row>
    <row r="104" spans="2:10">
      <c r="B104" s="185">
        <f t="shared" si="8"/>
        <v>92</v>
      </c>
      <c r="C104" s="186">
        <f t="shared" si="9"/>
        <v>46600</v>
      </c>
      <c r="D104" s="181">
        <f t="shared" si="10"/>
        <v>1466851.8518518608</v>
      </c>
      <c r="E104" s="216">
        <v>8.8999999999999996E-2</v>
      </c>
      <c r="F104" s="181">
        <f t="shared" si="11"/>
        <v>2222222.222222222</v>
      </c>
      <c r="G104" s="181">
        <f t="shared" si="12"/>
        <v>3689074.074074083</v>
      </c>
      <c r="H104" s="181">
        <f t="shared" si="13"/>
        <v>195555555.55555677</v>
      </c>
      <c r="I104" s="355"/>
      <c r="J104" s="358"/>
    </row>
    <row r="105" spans="2:10">
      <c r="B105" s="185">
        <f t="shared" si="8"/>
        <v>93</v>
      </c>
      <c r="C105" s="186">
        <f t="shared" si="9"/>
        <v>46631</v>
      </c>
      <c r="D105" s="181">
        <f t="shared" si="10"/>
        <v>1450370.3703703794</v>
      </c>
      <c r="E105" s="216">
        <v>8.8999999999999996E-2</v>
      </c>
      <c r="F105" s="181">
        <f t="shared" si="11"/>
        <v>2222222.222222222</v>
      </c>
      <c r="G105" s="181">
        <f t="shared" si="12"/>
        <v>3672592.5925926017</v>
      </c>
      <c r="H105" s="181">
        <f t="shared" si="13"/>
        <v>193333333.33333457</v>
      </c>
      <c r="I105" s="355"/>
      <c r="J105" s="358"/>
    </row>
    <row r="106" spans="2:10">
      <c r="B106" s="185">
        <f t="shared" si="8"/>
        <v>94</v>
      </c>
      <c r="C106" s="186">
        <f t="shared" si="9"/>
        <v>46661</v>
      </c>
      <c r="D106" s="181">
        <f t="shared" si="10"/>
        <v>1433888.8888888981</v>
      </c>
      <c r="E106" s="216">
        <v>8.8999999999999996E-2</v>
      </c>
      <c r="F106" s="181">
        <f t="shared" si="11"/>
        <v>2222222.222222222</v>
      </c>
      <c r="G106" s="181">
        <f t="shared" si="12"/>
        <v>3656111.1111111203</v>
      </c>
      <c r="H106" s="181">
        <f t="shared" si="13"/>
        <v>191111111.11111236</v>
      </c>
      <c r="I106" s="355"/>
      <c r="J106" s="358"/>
    </row>
    <row r="107" spans="2:10">
      <c r="B107" s="185">
        <f t="shared" si="8"/>
        <v>95</v>
      </c>
      <c r="C107" s="186">
        <f t="shared" si="9"/>
        <v>46692</v>
      </c>
      <c r="D107" s="181">
        <f t="shared" si="10"/>
        <v>1417407.4074074167</v>
      </c>
      <c r="E107" s="216">
        <v>8.8999999999999996E-2</v>
      </c>
      <c r="F107" s="181">
        <f t="shared" si="11"/>
        <v>2222222.222222222</v>
      </c>
      <c r="G107" s="181">
        <f t="shared" si="12"/>
        <v>3639629.629629639</v>
      </c>
      <c r="H107" s="181">
        <f t="shared" si="13"/>
        <v>188888888.88889015</v>
      </c>
      <c r="I107" s="355"/>
      <c r="J107" s="358"/>
    </row>
    <row r="108" spans="2:10" ht="15" thickBot="1">
      <c r="B108" s="185">
        <f t="shared" si="8"/>
        <v>96</v>
      </c>
      <c r="C108" s="186">
        <f t="shared" si="9"/>
        <v>46722</v>
      </c>
      <c r="D108" s="181">
        <f t="shared" si="10"/>
        <v>1400925.9259259354</v>
      </c>
      <c r="E108" s="216">
        <v>8.8999999999999996E-2</v>
      </c>
      <c r="F108" s="181">
        <f t="shared" si="11"/>
        <v>2222222.222222222</v>
      </c>
      <c r="G108" s="181">
        <f t="shared" si="12"/>
        <v>3623148.1481481576</v>
      </c>
      <c r="H108" s="181">
        <f t="shared" si="13"/>
        <v>186666666.66666794</v>
      </c>
      <c r="I108" s="356"/>
      <c r="J108" s="359"/>
    </row>
    <row r="109" spans="2:10">
      <c r="B109" s="183">
        <f t="shared" si="8"/>
        <v>97</v>
      </c>
      <c r="C109" s="184">
        <f t="shared" si="9"/>
        <v>46753</v>
      </c>
      <c r="D109" s="180">
        <f t="shared" si="10"/>
        <v>1384444.4444444538</v>
      </c>
      <c r="E109" s="215">
        <v>8.8999999999999996E-2</v>
      </c>
      <c r="F109" s="180">
        <f t="shared" si="11"/>
        <v>2222222.222222222</v>
      </c>
      <c r="G109" s="180">
        <f t="shared" si="12"/>
        <v>3606666.6666666758</v>
      </c>
      <c r="H109" s="180">
        <f t="shared" si="13"/>
        <v>184444444.44444573</v>
      </c>
      <c r="I109" s="354">
        <v>9</v>
      </c>
      <c r="J109" s="357">
        <f>SUM(G109:G120)</f>
        <v>42192222.222222336</v>
      </c>
    </row>
    <row r="110" spans="2:10">
      <c r="B110" s="185">
        <f t="shared" si="8"/>
        <v>98</v>
      </c>
      <c r="C110" s="186">
        <f t="shared" si="9"/>
        <v>46784</v>
      </c>
      <c r="D110" s="181">
        <f t="shared" si="10"/>
        <v>1367962.9629629725</v>
      </c>
      <c r="E110" s="216">
        <v>8.8999999999999996E-2</v>
      </c>
      <c r="F110" s="181">
        <f t="shared" si="11"/>
        <v>2222222.222222222</v>
      </c>
      <c r="G110" s="181">
        <f t="shared" si="12"/>
        <v>3590185.1851851945</v>
      </c>
      <c r="H110" s="181">
        <f t="shared" si="13"/>
        <v>182222222.22222352</v>
      </c>
      <c r="I110" s="355"/>
      <c r="J110" s="358"/>
    </row>
    <row r="111" spans="2:10">
      <c r="B111" s="185">
        <f t="shared" si="8"/>
        <v>99</v>
      </c>
      <c r="C111" s="186">
        <f t="shared" si="9"/>
        <v>46813</v>
      </c>
      <c r="D111" s="181">
        <f t="shared" si="10"/>
        <v>1351481.4814814909</v>
      </c>
      <c r="E111" s="216">
        <v>8.8999999999999996E-2</v>
      </c>
      <c r="F111" s="181">
        <f t="shared" si="11"/>
        <v>2222222.222222222</v>
      </c>
      <c r="G111" s="181">
        <f t="shared" si="12"/>
        <v>3573703.7037037127</v>
      </c>
      <c r="H111" s="181">
        <f t="shared" si="13"/>
        <v>180000000.00000131</v>
      </c>
      <c r="I111" s="355"/>
      <c r="J111" s="358"/>
    </row>
    <row r="112" spans="2:10">
      <c r="B112" s="185">
        <f t="shared" si="8"/>
        <v>100</v>
      </c>
      <c r="C112" s="186">
        <f t="shared" si="9"/>
        <v>46844</v>
      </c>
      <c r="D112" s="181">
        <f t="shared" si="10"/>
        <v>1335000.0000000095</v>
      </c>
      <c r="E112" s="216">
        <v>8.8999999999999996E-2</v>
      </c>
      <c r="F112" s="181">
        <f t="shared" si="11"/>
        <v>2222222.222222222</v>
      </c>
      <c r="G112" s="181">
        <f t="shared" si="12"/>
        <v>3557222.2222222313</v>
      </c>
      <c r="H112" s="181">
        <f t="shared" si="13"/>
        <v>177777777.7777791</v>
      </c>
      <c r="I112" s="355"/>
      <c r="J112" s="358"/>
    </row>
    <row r="113" spans="2:10">
      <c r="B113" s="185">
        <f t="shared" si="8"/>
        <v>101</v>
      </c>
      <c r="C113" s="186">
        <f t="shared" si="9"/>
        <v>46874</v>
      </c>
      <c r="D113" s="181">
        <f t="shared" si="10"/>
        <v>1318518.5185185282</v>
      </c>
      <c r="E113" s="216">
        <v>8.8999999999999996E-2</v>
      </c>
      <c r="F113" s="181">
        <f t="shared" si="11"/>
        <v>2222222.222222222</v>
      </c>
      <c r="G113" s="181">
        <f t="shared" si="12"/>
        <v>3540740.74074075</v>
      </c>
      <c r="H113" s="181">
        <f t="shared" si="13"/>
        <v>175555555.55555689</v>
      </c>
      <c r="I113" s="355"/>
      <c r="J113" s="358"/>
    </row>
    <row r="114" spans="2:10">
      <c r="B114" s="185">
        <f t="shared" si="8"/>
        <v>102</v>
      </c>
      <c r="C114" s="186">
        <f t="shared" si="9"/>
        <v>46905</v>
      </c>
      <c r="D114" s="181">
        <f t="shared" si="10"/>
        <v>1302037.0370370469</v>
      </c>
      <c r="E114" s="216">
        <v>8.8999999999999996E-2</v>
      </c>
      <c r="F114" s="181">
        <f t="shared" si="11"/>
        <v>2222222.222222222</v>
      </c>
      <c r="G114" s="181">
        <f t="shared" si="12"/>
        <v>3524259.2592592686</v>
      </c>
      <c r="H114" s="181">
        <f t="shared" si="13"/>
        <v>173333333.33333468</v>
      </c>
      <c r="I114" s="355"/>
      <c r="J114" s="358"/>
    </row>
    <row r="115" spans="2:10">
      <c r="B115" s="185">
        <f t="shared" si="8"/>
        <v>103</v>
      </c>
      <c r="C115" s="186">
        <f t="shared" si="9"/>
        <v>46935</v>
      </c>
      <c r="D115" s="181">
        <f t="shared" si="10"/>
        <v>1285555.5555555655</v>
      </c>
      <c r="E115" s="216">
        <v>8.8999999999999996E-2</v>
      </c>
      <c r="F115" s="181">
        <f t="shared" si="11"/>
        <v>2222222.222222222</v>
      </c>
      <c r="G115" s="181">
        <f t="shared" si="12"/>
        <v>3507777.7777777873</v>
      </c>
      <c r="H115" s="181">
        <f t="shared" si="13"/>
        <v>171111111.11111248</v>
      </c>
      <c r="I115" s="355"/>
      <c r="J115" s="358"/>
    </row>
    <row r="116" spans="2:10">
      <c r="B116" s="185">
        <f t="shared" si="8"/>
        <v>104</v>
      </c>
      <c r="C116" s="186">
        <f t="shared" si="9"/>
        <v>46966</v>
      </c>
      <c r="D116" s="181">
        <f t="shared" si="10"/>
        <v>1269074.0740740842</v>
      </c>
      <c r="E116" s="216">
        <v>8.8999999999999996E-2</v>
      </c>
      <c r="F116" s="181">
        <f t="shared" si="11"/>
        <v>2222222.222222222</v>
      </c>
      <c r="G116" s="181">
        <f t="shared" si="12"/>
        <v>3491296.296296306</v>
      </c>
      <c r="H116" s="181">
        <f t="shared" si="13"/>
        <v>168888888.88889027</v>
      </c>
      <c r="I116" s="355"/>
      <c r="J116" s="358"/>
    </row>
    <row r="117" spans="2:10">
      <c r="B117" s="185">
        <f t="shared" si="8"/>
        <v>105</v>
      </c>
      <c r="C117" s="186">
        <f t="shared" si="9"/>
        <v>46997</v>
      </c>
      <c r="D117" s="181">
        <f t="shared" si="10"/>
        <v>1252592.5925926028</v>
      </c>
      <c r="E117" s="216">
        <v>8.8999999999999996E-2</v>
      </c>
      <c r="F117" s="181">
        <f t="shared" si="11"/>
        <v>2222222.222222222</v>
      </c>
      <c r="G117" s="181">
        <f t="shared" si="12"/>
        <v>3474814.8148148246</v>
      </c>
      <c r="H117" s="181">
        <f t="shared" si="13"/>
        <v>166666666.66666806</v>
      </c>
      <c r="I117" s="355"/>
      <c r="J117" s="358"/>
    </row>
    <row r="118" spans="2:10">
      <c r="B118" s="185">
        <f t="shared" si="8"/>
        <v>106</v>
      </c>
      <c r="C118" s="186">
        <f t="shared" si="9"/>
        <v>47027</v>
      </c>
      <c r="D118" s="181">
        <f t="shared" si="10"/>
        <v>1236111.1111111215</v>
      </c>
      <c r="E118" s="216">
        <v>8.8999999999999996E-2</v>
      </c>
      <c r="F118" s="181">
        <f t="shared" si="11"/>
        <v>2222222.222222222</v>
      </c>
      <c r="G118" s="181">
        <f t="shared" si="12"/>
        <v>3458333.3333333433</v>
      </c>
      <c r="H118" s="181">
        <f t="shared" si="13"/>
        <v>164444444.44444585</v>
      </c>
      <c r="I118" s="355"/>
      <c r="J118" s="358"/>
    </row>
    <row r="119" spans="2:10">
      <c r="B119" s="185">
        <f t="shared" si="8"/>
        <v>107</v>
      </c>
      <c r="C119" s="186">
        <f t="shared" si="9"/>
        <v>47058</v>
      </c>
      <c r="D119" s="181">
        <f t="shared" si="10"/>
        <v>1219629.6296296399</v>
      </c>
      <c r="E119" s="216">
        <v>8.8999999999999996E-2</v>
      </c>
      <c r="F119" s="181">
        <f t="shared" si="11"/>
        <v>2222222.222222222</v>
      </c>
      <c r="G119" s="181">
        <f t="shared" si="12"/>
        <v>3441851.8518518619</v>
      </c>
      <c r="H119" s="181">
        <f t="shared" si="13"/>
        <v>162222222.22222364</v>
      </c>
      <c r="I119" s="355"/>
      <c r="J119" s="358"/>
    </row>
    <row r="120" spans="2:10" ht="15" thickBot="1">
      <c r="B120" s="185">
        <f t="shared" si="8"/>
        <v>108</v>
      </c>
      <c r="C120" s="186">
        <f t="shared" si="9"/>
        <v>47088</v>
      </c>
      <c r="D120" s="181">
        <f t="shared" si="10"/>
        <v>1203148.1481481586</v>
      </c>
      <c r="E120" s="216">
        <v>8.8999999999999996E-2</v>
      </c>
      <c r="F120" s="181">
        <f t="shared" si="11"/>
        <v>2222222.222222222</v>
      </c>
      <c r="G120" s="181">
        <f t="shared" si="12"/>
        <v>3425370.3703703806</v>
      </c>
      <c r="H120" s="181">
        <f t="shared" si="13"/>
        <v>160000000.00000143</v>
      </c>
      <c r="I120" s="356"/>
      <c r="J120" s="359"/>
    </row>
    <row r="121" spans="2:10">
      <c r="B121" s="183">
        <f t="shared" si="8"/>
        <v>109</v>
      </c>
      <c r="C121" s="184">
        <f t="shared" si="9"/>
        <v>47119</v>
      </c>
      <c r="D121" s="180">
        <f t="shared" si="10"/>
        <v>1186666.6666666772</v>
      </c>
      <c r="E121" s="215">
        <v>8.8999999999999996E-2</v>
      </c>
      <c r="F121" s="180">
        <f t="shared" si="11"/>
        <v>2222222.222222222</v>
      </c>
      <c r="G121" s="180">
        <f t="shared" si="12"/>
        <v>3408888.8888888992</v>
      </c>
      <c r="H121" s="180">
        <f t="shared" si="13"/>
        <v>157777777.77777922</v>
      </c>
      <c r="I121" s="354">
        <v>10</v>
      </c>
      <c r="J121" s="357">
        <f>SUM(G121:G132)</f>
        <v>39818888.888889022</v>
      </c>
    </row>
    <row r="122" spans="2:10">
      <c r="B122" s="185">
        <f t="shared" si="8"/>
        <v>110</v>
      </c>
      <c r="C122" s="186">
        <f t="shared" si="9"/>
        <v>47150</v>
      </c>
      <c r="D122" s="181">
        <f t="shared" si="10"/>
        <v>1170185.1851851959</v>
      </c>
      <c r="E122" s="216">
        <v>8.8999999999999996E-2</v>
      </c>
      <c r="F122" s="181">
        <f t="shared" si="11"/>
        <v>2222222.222222222</v>
      </c>
      <c r="G122" s="181">
        <f t="shared" si="12"/>
        <v>3392407.4074074179</v>
      </c>
      <c r="H122" s="181">
        <f t="shared" si="13"/>
        <v>155555555.55555701</v>
      </c>
      <c r="I122" s="355"/>
      <c r="J122" s="358"/>
    </row>
    <row r="123" spans="2:10">
      <c r="B123" s="185">
        <f t="shared" si="8"/>
        <v>111</v>
      </c>
      <c r="C123" s="186">
        <f t="shared" si="9"/>
        <v>47178</v>
      </c>
      <c r="D123" s="181">
        <f t="shared" si="10"/>
        <v>1153703.7037037143</v>
      </c>
      <c r="E123" s="216">
        <v>8.8999999999999996E-2</v>
      </c>
      <c r="F123" s="181">
        <f t="shared" si="11"/>
        <v>2222222.222222222</v>
      </c>
      <c r="G123" s="181">
        <f t="shared" si="12"/>
        <v>3375925.9259259365</v>
      </c>
      <c r="H123" s="181">
        <f t="shared" si="13"/>
        <v>153333333.3333348</v>
      </c>
      <c r="I123" s="355"/>
      <c r="J123" s="358"/>
    </row>
    <row r="124" spans="2:10">
      <c r="B124" s="185">
        <f t="shared" si="8"/>
        <v>112</v>
      </c>
      <c r="C124" s="186">
        <f t="shared" si="9"/>
        <v>47209</v>
      </c>
      <c r="D124" s="181">
        <f t="shared" si="10"/>
        <v>1137222.222222233</v>
      </c>
      <c r="E124" s="216">
        <v>8.8999999999999996E-2</v>
      </c>
      <c r="F124" s="181">
        <f t="shared" si="11"/>
        <v>2222222.222222222</v>
      </c>
      <c r="G124" s="181">
        <f t="shared" si="12"/>
        <v>3359444.4444444552</v>
      </c>
      <c r="H124" s="181">
        <f t="shared" si="13"/>
        <v>151111111.11111259</v>
      </c>
      <c r="I124" s="355"/>
      <c r="J124" s="358"/>
    </row>
    <row r="125" spans="2:10">
      <c r="B125" s="185">
        <f t="shared" si="8"/>
        <v>113</v>
      </c>
      <c r="C125" s="186">
        <f t="shared" si="9"/>
        <v>47239</v>
      </c>
      <c r="D125" s="181">
        <f t="shared" si="10"/>
        <v>1120740.7407407516</v>
      </c>
      <c r="E125" s="216">
        <v>8.8999999999999996E-2</v>
      </c>
      <c r="F125" s="181">
        <f t="shared" si="11"/>
        <v>2222222.222222222</v>
      </c>
      <c r="G125" s="181">
        <f t="shared" si="12"/>
        <v>3342962.9629629739</v>
      </c>
      <c r="H125" s="181">
        <f t="shared" si="13"/>
        <v>148888888.88889039</v>
      </c>
      <c r="I125" s="355"/>
      <c r="J125" s="358"/>
    </row>
    <row r="126" spans="2:10">
      <c r="B126" s="185">
        <f t="shared" si="8"/>
        <v>114</v>
      </c>
      <c r="C126" s="186">
        <f t="shared" si="9"/>
        <v>47270</v>
      </c>
      <c r="D126" s="181">
        <f t="shared" si="10"/>
        <v>1104259.2592592703</v>
      </c>
      <c r="E126" s="216">
        <v>8.8999999999999996E-2</v>
      </c>
      <c r="F126" s="181">
        <f t="shared" si="11"/>
        <v>2222222.222222222</v>
      </c>
      <c r="G126" s="181">
        <f t="shared" si="12"/>
        <v>3326481.4814814925</v>
      </c>
      <c r="H126" s="181">
        <f t="shared" si="13"/>
        <v>146666666.66666818</v>
      </c>
      <c r="I126" s="355"/>
      <c r="J126" s="358"/>
    </row>
    <row r="127" spans="2:10">
      <c r="B127" s="185">
        <f t="shared" si="8"/>
        <v>115</v>
      </c>
      <c r="C127" s="186">
        <f t="shared" si="9"/>
        <v>47300</v>
      </c>
      <c r="D127" s="181">
        <f t="shared" si="10"/>
        <v>1087777.7777777889</v>
      </c>
      <c r="E127" s="216">
        <v>8.8999999999999996E-2</v>
      </c>
      <c r="F127" s="181">
        <f t="shared" si="11"/>
        <v>2222222.222222222</v>
      </c>
      <c r="G127" s="181">
        <f t="shared" si="12"/>
        <v>3310000.0000000112</v>
      </c>
      <c r="H127" s="181">
        <f t="shared" si="13"/>
        <v>144444444.44444597</v>
      </c>
      <c r="I127" s="355"/>
      <c r="J127" s="358"/>
    </row>
    <row r="128" spans="2:10">
      <c r="B128" s="185">
        <f t="shared" si="8"/>
        <v>116</v>
      </c>
      <c r="C128" s="186">
        <f t="shared" si="9"/>
        <v>47331</v>
      </c>
      <c r="D128" s="181">
        <f t="shared" si="10"/>
        <v>1071296.2962963076</v>
      </c>
      <c r="E128" s="216">
        <v>8.8999999999999996E-2</v>
      </c>
      <c r="F128" s="181">
        <f t="shared" si="11"/>
        <v>2222222.222222222</v>
      </c>
      <c r="G128" s="181">
        <f t="shared" si="12"/>
        <v>3293518.5185185298</v>
      </c>
      <c r="H128" s="181">
        <f t="shared" si="13"/>
        <v>142222222.22222376</v>
      </c>
      <c r="I128" s="355"/>
      <c r="J128" s="358"/>
    </row>
    <row r="129" spans="2:10">
      <c r="B129" s="185">
        <f t="shared" si="8"/>
        <v>117</v>
      </c>
      <c r="C129" s="186">
        <f t="shared" si="9"/>
        <v>47362</v>
      </c>
      <c r="D129" s="181">
        <f t="shared" si="10"/>
        <v>1054814.8148148262</v>
      </c>
      <c r="E129" s="216">
        <v>8.8999999999999996E-2</v>
      </c>
      <c r="F129" s="181">
        <f t="shared" si="11"/>
        <v>2222222.222222222</v>
      </c>
      <c r="G129" s="181">
        <f t="shared" si="12"/>
        <v>3277037.0370370485</v>
      </c>
      <c r="H129" s="181">
        <f t="shared" si="13"/>
        <v>140000000.00000155</v>
      </c>
      <c r="I129" s="355"/>
      <c r="J129" s="358"/>
    </row>
    <row r="130" spans="2:10">
      <c r="B130" s="185">
        <f t="shared" si="8"/>
        <v>118</v>
      </c>
      <c r="C130" s="186">
        <f t="shared" si="9"/>
        <v>47392</v>
      </c>
      <c r="D130" s="181">
        <f t="shared" si="10"/>
        <v>1038333.3333333448</v>
      </c>
      <c r="E130" s="216">
        <v>8.8999999999999996E-2</v>
      </c>
      <c r="F130" s="181">
        <f t="shared" si="11"/>
        <v>2222222.222222222</v>
      </c>
      <c r="G130" s="181">
        <f t="shared" si="12"/>
        <v>3260555.5555555667</v>
      </c>
      <c r="H130" s="181">
        <f t="shared" si="13"/>
        <v>137777777.77777934</v>
      </c>
      <c r="I130" s="355"/>
      <c r="J130" s="358"/>
    </row>
    <row r="131" spans="2:10">
      <c r="B131" s="185">
        <f t="shared" si="8"/>
        <v>119</v>
      </c>
      <c r="C131" s="186">
        <f t="shared" si="9"/>
        <v>47423</v>
      </c>
      <c r="D131" s="181">
        <f t="shared" si="10"/>
        <v>1021851.8518518633</v>
      </c>
      <c r="E131" s="216">
        <v>8.8999999999999996E-2</v>
      </c>
      <c r="F131" s="181">
        <f t="shared" si="11"/>
        <v>2222222.222222222</v>
      </c>
      <c r="G131" s="181">
        <f t="shared" si="12"/>
        <v>3244074.0740740853</v>
      </c>
      <c r="H131" s="181">
        <f t="shared" si="13"/>
        <v>135555555.55555713</v>
      </c>
      <c r="I131" s="355"/>
      <c r="J131" s="358"/>
    </row>
    <row r="132" spans="2:10" ht="15" thickBot="1">
      <c r="B132" s="185">
        <f t="shared" si="8"/>
        <v>120</v>
      </c>
      <c r="C132" s="186">
        <f t="shared" si="9"/>
        <v>47453</v>
      </c>
      <c r="D132" s="181">
        <f t="shared" si="10"/>
        <v>1005370.370370382</v>
      </c>
      <c r="E132" s="216">
        <v>8.8999999999999996E-2</v>
      </c>
      <c r="F132" s="181">
        <f t="shared" si="11"/>
        <v>2222222.222222222</v>
      </c>
      <c r="G132" s="181">
        <f t="shared" si="12"/>
        <v>3227592.592592604</v>
      </c>
      <c r="H132" s="181">
        <f t="shared" si="13"/>
        <v>133333333.33333491</v>
      </c>
      <c r="I132" s="356"/>
      <c r="J132" s="359"/>
    </row>
    <row r="133" spans="2:10">
      <c r="B133" s="183">
        <f t="shared" si="8"/>
        <v>121</v>
      </c>
      <c r="C133" s="184">
        <f t="shared" si="9"/>
        <v>47484</v>
      </c>
      <c r="D133" s="180">
        <f t="shared" si="10"/>
        <v>988888.88888890052</v>
      </c>
      <c r="E133" s="215">
        <v>8.8999999999999996E-2</v>
      </c>
      <c r="F133" s="180">
        <f t="shared" si="11"/>
        <v>2222222.222222222</v>
      </c>
      <c r="G133" s="180">
        <f t="shared" si="12"/>
        <v>3211111.1111111226</v>
      </c>
      <c r="H133" s="180">
        <f t="shared" si="13"/>
        <v>131111111.11111268</v>
      </c>
      <c r="I133" s="354">
        <v>11</v>
      </c>
      <c r="J133" s="357">
        <f>SUM(G133:G144)</f>
        <v>37445555.555555694</v>
      </c>
    </row>
    <row r="134" spans="2:10">
      <c r="B134" s="185">
        <f t="shared" si="8"/>
        <v>122</v>
      </c>
      <c r="C134" s="186">
        <f t="shared" si="9"/>
        <v>47515</v>
      </c>
      <c r="D134" s="181">
        <f t="shared" si="10"/>
        <v>972407.40740741894</v>
      </c>
      <c r="E134" s="216">
        <v>8.8999999999999996E-2</v>
      </c>
      <c r="F134" s="181">
        <f t="shared" si="11"/>
        <v>2222222.222222222</v>
      </c>
      <c r="G134" s="181">
        <f t="shared" si="12"/>
        <v>3194629.6296296408</v>
      </c>
      <c r="H134" s="181">
        <f t="shared" si="13"/>
        <v>128888888.88889046</v>
      </c>
      <c r="I134" s="355"/>
      <c r="J134" s="358"/>
    </row>
    <row r="135" spans="2:10">
      <c r="B135" s="185">
        <f t="shared" si="8"/>
        <v>123</v>
      </c>
      <c r="C135" s="186">
        <f t="shared" si="9"/>
        <v>47543</v>
      </c>
      <c r="D135" s="181">
        <f t="shared" si="10"/>
        <v>955925.92592593748</v>
      </c>
      <c r="E135" s="216">
        <v>8.8999999999999996E-2</v>
      </c>
      <c r="F135" s="181">
        <f t="shared" si="11"/>
        <v>2222222.222222222</v>
      </c>
      <c r="G135" s="181">
        <f t="shared" si="12"/>
        <v>3178148.1481481595</v>
      </c>
      <c r="H135" s="181">
        <f t="shared" si="13"/>
        <v>126666666.66666824</v>
      </c>
      <c r="I135" s="355"/>
      <c r="J135" s="358"/>
    </row>
    <row r="136" spans="2:10">
      <c r="B136" s="185">
        <f t="shared" si="8"/>
        <v>124</v>
      </c>
      <c r="C136" s="186">
        <f t="shared" si="9"/>
        <v>47574</v>
      </c>
      <c r="D136" s="181">
        <f t="shared" si="10"/>
        <v>939444.44444445602</v>
      </c>
      <c r="E136" s="216">
        <v>8.8999999999999996E-2</v>
      </c>
      <c r="F136" s="181">
        <f t="shared" si="11"/>
        <v>2222222.222222222</v>
      </c>
      <c r="G136" s="181">
        <f t="shared" si="12"/>
        <v>3161666.6666666782</v>
      </c>
      <c r="H136" s="181">
        <f t="shared" si="13"/>
        <v>124444444.44444601</v>
      </c>
      <c r="I136" s="355"/>
      <c r="J136" s="358"/>
    </row>
    <row r="137" spans="2:10">
      <c r="B137" s="185">
        <f t="shared" si="8"/>
        <v>125</v>
      </c>
      <c r="C137" s="186">
        <f t="shared" si="9"/>
        <v>47604</v>
      </c>
      <c r="D137" s="181">
        <f t="shared" si="10"/>
        <v>922962.96296297444</v>
      </c>
      <c r="E137" s="216">
        <v>8.8999999999999996E-2</v>
      </c>
      <c r="F137" s="181">
        <f t="shared" si="11"/>
        <v>2222222.222222222</v>
      </c>
      <c r="G137" s="181">
        <f t="shared" si="12"/>
        <v>3145185.1851851963</v>
      </c>
      <c r="H137" s="181">
        <f t="shared" si="13"/>
        <v>122222222.22222379</v>
      </c>
      <c r="I137" s="355"/>
      <c r="J137" s="358"/>
    </row>
    <row r="138" spans="2:10">
      <c r="B138" s="185">
        <f t="shared" si="8"/>
        <v>126</v>
      </c>
      <c r="C138" s="186">
        <f t="shared" si="9"/>
        <v>47635</v>
      </c>
      <c r="D138" s="181">
        <f t="shared" si="10"/>
        <v>906481.48148149299</v>
      </c>
      <c r="E138" s="216">
        <v>8.8999999999999996E-2</v>
      </c>
      <c r="F138" s="181">
        <f t="shared" si="11"/>
        <v>2222222.222222222</v>
      </c>
      <c r="G138" s="181">
        <f t="shared" si="12"/>
        <v>3128703.703703715</v>
      </c>
      <c r="H138" s="181">
        <f t="shared" si="13"/>
        <v>120000000.00000156</v>
      </c>
      <c r="I138" s="355"/>
      <c r="J138" s="358"/>
    </row>
    <row r="139" spans="2:10">
      <c r="B139" s="185">
        <f t="shared" si="8"/>
        <v>127</v>
      </c>
      <c r="C139" s="186">
        <f t="shared" si="9"/>
        <v>47665</v>
      </c>
      <c r="D139" s="181">
        <f t="shared" si="10"/>
        <v>890000.00000001153</v>
      </c>
      <c r="E139" s="216">
        <v>8.8999999999999996E-2</v>
      </c>
      <c r="F139" s="181">
        <f t="shared" si="11"/>
        <v>2222222.222222222</v>
      </c>
      <c r="G139" s="181">
        <f t="shared" si="12"/>
        <v>3112222.2222222337</v>
      </c>
      <c r="H139" s="181">
        <f t="shared" si="13"/>
        <v>117777777.77777934</v>
      </c>
      <c r="I139" s="355"/>
      <c r="J139" s="358"/>
    </row>
    <row r="140" spans="2:10">
      <c r="B140" s="185">
        <f t="shared" si="8"/>
        <v>128</v>
      </c>
      <c r="C140" s="186">
        <f t="shared" si="9"/>
        <v>47696</v>
      </c>
      <c r="D140" s="181">
        <f t="shared" si="10"/>
        <v>873518.51851853018</v>
      </c>
      <c r="E140" s="216">
        <v>8.8999999999999996E-2</v>
      </c>
      <c r="F140" s="181">
        <f t="shared" si="11"/>
        <v>2222222.222222222</v>
      </c>
      <c r="G140" s="181">
        <f t="shared" si="12"/>
        <v>3095740.7407407523</v>
      </c>
      <c r="H140" s="181">
        <f t="shared" si="13"/>
        <v>115555555.55555712</v>
      </c>
      <c r="I140" s="355"/>
      <c r="J140" s="358"/>
    </row>
    <row r="141" spans="2:10">
      <c r="B141" s="185">
        <f t="shared" si="8"/>
        <v>129</v>
      </c>
      <c r="C141" s="186">
        <f t="shared" si="9"/>
        <v>47727</v>
      </c>
      <c r="D141" s="181">
        <f t="shared" si="10"/>
        <v>857037.03703704861</v>
      </c>
      <c r="E141" s="216">
        <v>8.8999999999999996E-2</v>
      </c>
      <c r="F141" s="181">
        <f t="shared" si="11"/>
        <v>2222222.222222222</v>
      </c>
      <c r="G141" s="181">
        <f t="shared" si="12"/>
        <v>3079259.2592592705</v>
      </c>
      <c r="H141" s="181">
        <f t="shared" si="13"/>
        <v>113333333.33333489</v>
      </c>
      <c r="I141" s="355"/>
      <c r="J141" s="358"/>
    </row>
    <row r="142" spans="2:10">
      <c r="B142" s="185">
        <f t="shared" si="8"/>
        <v>130</v>
      </c>
      <c r="C142" s="186">
        <f t="shared" si="9"/>
        <v>47757</v>
      </c>
      <c r="D142" s="181">
        <f t="shared" si="10"/>
        <v>840555.55555556715</v>
      </c>
      <c r="E142" s="216">
        <v>8.8999999999999996E-2</v>
      </c>
      <c r="F142" s="181">
        <f t="shared" si="11"/>
        <v>2222222.222222222</v>
      </c>
      <c r="G142" s="181">
        <f t="shared" si="12"/>
        <v>3062777.7777777892</v>
      </c>
      <c r="H142" s="181">
        <f t="shared" si="13"/>
        <v>111111111.11111267</v>
      </c>
      <c r="I142" s="355"/>
      <c r="J142" s="358"/>
    </row>
    <row r="143" spans="2:10">
      <c r="B143" s="185">
        <f t="shared" ref="B143:B206" si="14">IF(B142&lt;$D$7,B142+1,"")</f>
        <v>131</v>
      </c>
      <c r="C143" s="186">
        <f t="shared" ref="C143:C206" si="15">IF(B143&lt;&gt;"",EDATE(C142,1),"")</f>
        <v>47788</v>
      </c>
      <c r="D143" s="181">
        <f t="shared" ref="D143:D206" si="16">IFERROR(IF(B143&lt;=$D$7,H142*E143/12,0),0)</f>
        <v>824074.07407408569</v>
      </c>
      <c r="E143" s="216">
        <v>8.8999999999999996E-2</v>
      </c>
      <c r="F143" s="181">
        <f t="shared" ref="F143:F206" si="17">IFERROR(IF(B143&lt;=$D$7,$D$6/$D$7,0),0)</f>
        <v>2222222.222222222</v>
      </c>
      <c r="G143" s="181">
        <f t="shared" ref="G143:G206" si="18">D143+F143</f>
        <v>3046296.2962963078</v>
      </c>
      <c r="H143" s="181">
        <f t="shared" ref="H143:H206" si="19">H142-F143</f>
        <v>108888888.88889045</v>
      </c>
      <c r="I143" s="355"/>
      <c r="J143" s="358"/>
    </row>
    <row r="144" spans="2:10" ht="15" thickBot="1">
      <c r="B144" s="185">
        <f t="shared" si="14"/>
        <v>132</v>
      </c>
      <c r="C144" s="186">
        <f t="shared" si="15"/>
        <v>47818</v>
      </c>
      <c r="D144" s="181">
        <f t="shared" si="16"/>
        <v>807592.59259260411</v>
      </c>
      <c r="E144" s="216">
        <v>8.8999999999999996E-2</v>
      </c>
      <c r="F144" s="181">
        <f t="shared" si="17"/>
        <v>2222222.222222222</v>
      </c>
      <c r="G144" s="181">
        <f t="shared" si="18"/>
        <v>3029814.814814826</v>
      </c>
      <c r="H144" s="181">
        <f t="shared" si="19"/>
        <v>106666666.66666822</v>
      </c>
      <c r="I144" s="356"/>
      <c r="J144" s="359"/>
    </row>
    <row r="145" spans="2:10">
      <c r="B145" s="183">
        <f t="shared" si="14"/>
        <v>133</v>
      </c>
      <c r="C145" s="184">
        <f t="shared" si="15"/>
        <v>47849</v>
      </c>
      <c r="D145" s="180">
        <f t="shared" si="16"/>
        <v>791111.11111112265</v>
      </c>
      <c r="E145" s="215">
        <v>8.8999999999999996E-2</v>
      </c>
      <c r="F145" s="180">
        <f t="shared" si="17"/>
        <v>2222222.222222222</v>
      </c>
      <c r="G145" s="180">
        <f t="shared" si="18"/>
        <v>3013333.3333333447</v>
      </c>
      <c r="H145" s="180">
        <f t="shared" si="19"/>
        <v>104444444.444446</v>
      </c>
      <c r="I145" s="354">
        <v>12</v>
      </c>
      <c r="J145" s="357">
        <f>SUM(G145:G156)</f>
        <v>35072222.222222351</v>
      </c>
    </row>
    <row r="146" spans="2:10">
      <c r="B146" s="185">
        <f t="shared" si="14"/>
        <v>134</v>
      </c>
      <c r="C146" s="186">
        <f t="shared" si="15"/>
        <v>47880</v>
      </c>
      <c r="D146" s="181">
        <f t="shared" si="16"/>
        <v>774629.62962964119</v>
      </c>
      <c r="E146" s="216">
        <v>8.8999999999999996E-2</v>
      </c>
      <c r="F146" s="181">
        <f t="shared" si="17"/>
        <v>2222222.222222222</v>
      </c>
      <c r="G146" s="181">
        <f t="shared" si="18"/>
        <v>2996851.8518518633</v>
      </c>
      <c r="H146" s="181">
        <f t="shared" si="19"/>
        <v>102222222.22222377</v>
      </c>
      <c r="I146" s="355"/>
      <c r="J146" s="358"/>
    </row>
    <row r="147" spans="2:10">
      <c r="B147" s="185">
        <f t="shared" si="14"/>
        <v>135</v>
      </c>
      <c r="C147" s="186">
        <f t="shared" si="15"/>
        <v>47908</v>
      </c>
      <c r="D147" s="181">
        <f t="shared" si="16"/>
        <v>758148.14814815961</v>
      </c>
      <c r="E147" s="216">
        <v>8.8999999999999996E-2</v>
      </c>
      <c r="F147" s="181">
        <f t="shared" si="17"/>
        <v>2222222.222222222</v>
      </c>
      <c r="G147" s="181">
        <f t="shared" si="18"/>
        <v>2980370.3703703815</v>
      </c>
      <c r="H147" s="181">
        <f t="shared" si="19"/>
        <v>100000000.00000155</v>
      </c>
      <c r="I147" s="355"/>
      <c r="J147" s="358"/>
    </row>
    <row r="148" spans="2:10">
      <c r="B148" s="185">
        <f t="shared" si="14"/>
        <v>136</v>
      </c>
      <c r="C148" s="186">
        <f t="shared" si="15"/>
        <v>47939</v>
      </c>
      <c r="D148" s="181">
        <f t="shared" si="16"/>
        <v>741666.66666667815</v>
      </c>
      <c r="E148" s="216">
        <v>8.8999999999999996E-2</v>
      </c>
      <c r="F148" s="181">
        <f t="shared" si="17"/>
        <v>2222222.222222222</v>
      </c>
      <c r="G148" s="181">
        <f t="shared" si="18"/>
        <v>2963888.8888889002</v>
      </c>
      <c r="H148" s="181">
        <f t="shared" si="19"/>
        <v>97777777.777779326</v>
      </c>
      <c r="I148" s="355"/>
      <c r="J148" s="358"/>
    </row>
    <row r="149" spans="2:10">
      <c r="B149" s="185">
        <f t="shared" si="14"/>
        <v>137</v>
      </c>
      <c r="C149" s="186">
        <f t="shared" si="15"/>
        <v>47969</v>
      </c>
      <c r="D149" s="181">
        <f t="shared" si="16"/>
        <v>725185.18518519669</v>
      </c>
      <c r="E149" s="216">
        <v>8.8999999999999996E-2</v>
      </c>
      <c r="F149" s="181">
        <f t="shared" si="17"/>
        <v>2222222.222222222</v>
      </c>
      <c r="G149" s="181">
        <f t="shared" si="18"/>
        <v>2947407.4074074188</v>
      </c>
      <c r="H149" s="181">
        <f t="shared" si="19"/>
        <v>95555555.555557102</v>
      </c>
      <c r="I149" s="355"/>
      <c r="J149" s="358"/>
    </row>
    <row r="150" spans="2:10">
      <c r="B150" s="185">
        <f t="shared" si="14"/>
        <v>138</v>
      </c>
      <c r="C150" s="186">
        <f t="shared" si="15"/>
        <v>48000</v>
      </c>
      <c r="D150" s="181">
        <f t="shared" si="16"/>
        <v>708703.70370371512</v>
      </c>
      <c r="E150" s="216">
        <v>8.8999999999999996E-2</v>
      </c>
      <c r="F150" s="181">
        <f t="shared" si="17"/>
        <v>2222222.222222222</v>
      </c>
      <c r="G150" s="181">
        <f t="shared" si="18"/>
        <v>2930925.925925937</v>
      </c>
      <c r="H150" s="181">
        <f t="shared" si="19"/>
        <v>93333333.333334878</v>
      </c>
      <c r="I150" s="355"/>
      <c r="J150" s="358"/>
    </row>
    <row r="151" spans="2:10">
      <c r="B151" s="185">
        <f t="shared" si="14"/>
        <v>139</v>
      </c>
      <c r="C151" s="186">
        <f t="shared" si="15"/>
        <v>48030</v>
      </c>
      <c r="D151" s="181">
        <f t="shared" si="16"/>
        <v>692222.22222223366</v>
      </c>
      <c r="E151" s="216">
        <v>8.8999999999999996E-2</v>
      </c>
      <c r="F151" s="181">
        <f t="shared" si="17"/>
        <v>2222222.222222222</v>
      </c>
      <c r="G151" s="181">
        <f t="shared" si="18"/>
        <v>2914444.4444444557</v>
      </c>
      <c r="H151" s="181">
        <f t="shared" si="19"/>
        <v>91111111.111112654</v>
      </c>
      <c r="I151" s="355"/>
      <c r="J151" s="358"/>
    </row>
    <row r="152" spans="2:10">
      <c r="B152" s="185">
        <f t="shared" si="14"/>
        <v>140</v>
      </c>
      <c r="C152" s="186">
        <f t="shared" si="15"/>
        <v>48061</v>
      </c>
      <c r="D152" s="181">
        <f t="shared" si="16"/>
        <v>675740.7407407522</v>
      </c>
      <c r="E152" s="216">
        <v>8.8999999999999996E-2</v>
      </c>
      <c r="F152" s="181">
        <f t="shared" si="17"/>
        <v>2222222.222222222</v>
      </c>
      <c r="G152" s="181">
        <f t="shared" si="18"/>
        <v>2897962.9629629743</v>
      </c>
      <c r="H152" s="181">
        <f t="shared" si="19"/>
        <v>88888888.88889043</v>
      </c>
      <c r="I152" s="355"/>
      <c r="J152" s="358"/>
    </row>
    <row r="153" spans="2:10">
      <c r="B153" s="185">
        <f t="shared" si="14"/>
        <v>141</v>
      </c>
      <c r="C153" s="186">
        <f t="shared" si="15"/>
        <v>48092</v>
      </c>
      <c r="D153" s="181">
        <f t="shared" si="16"/>
        <v>659259.25925927062</v>
      </c>
      <c r="E153" s="216">
        <v>8.8999999999999996E-2</v>
      </c>
      <c r="F153" s="181">
        <f t="shared" si="17"/>
        <v>2222222.222222222</v>
      </c>
      <c r="G153" s="181">
        <f t="shared" si="18"/>
        <v>2881481.4814814925</v>
      </c>
      <c r="H153" s="181">
        <f t="shared" si="19"/>
        <v>86666666.666668206</v>
      </c>
      <c r="I153" s="355"/>
      <c r="J153" s="358"/>
    </row>
    <row r="154" spans="2:10">
      <c r="B154" s="185">
        <f t="shared" si="14"/>
        <v>142</v>
      </c>
      <c r="C154" s="186">
        <f t="shared" si="15"/>
        <v>48122</v>
      </c>
      <c r="D154" s="181">
        <f t="shared" si="16"/>
        <v>642777.77777778916</v>
      </c>
      <c r="E154" s="216">
        <v>8.8999999999999996E-2</v>
      </c>
      <c r="F154" s="181">
        <f t="shared" si="17"/>
        <v>2222222.222222222</v>
      </c>
      <c r="G154" s="181">
        <f t="shared" si="18"/>
        <v>2865000.0000000112</v>
      </c>
      <c r="H154" s="181">
        <f t="shared" si="19"/>
        <v>84444444.444445983</v>
      </c>
      <c r="I154" s="355"/>
      <c r="J154" s="358"/>
    </row>
    <row r="155" spans="2:10">
      <c r="B155" s="185">
        <f t="shared" si="14"/>
        <v>143</v>
      </c>
      <c r="C155" s="186">
        <f t="shared" si="15"/>
        <v>48153</v>
      </c>
      <c r="D155" s="181">
        <f t="shared" si="16"/>
        <v>626296.2962963077</v>
      </c>
      <c r="E155" s="216">
        <v>8.8999999999999996E-2</v>
      </c>
      <c r="F155" s="181">
        <f t="shared" si="17"/>
        <v>2222222.222222222</v>
      </c>
      <c r="G155" s="181">
        <f t="shared" si="18"/>
        <v>2848518.5185185298</v>
      </c>
      <c r="H155" s="181">
        <f t="shared" si="19"/>
        <v>82222222.222223759</v>
      </c>
      <c r="I155" s="355"/>
      <c r="J155" s="358"/>
    </row>
    <row r="156" spans="2:10" ht="15" thickBot="1">
      <c r="B156" s="185">
        <f t="shared" si="14"/>
        <v>144</v>
      </c>
      <c r="C156" s="186">
        <f t="shared" si="15"/>
        <v>48183</v>
      </c>
      <c r="D156" s="181">
        <f t="shared" si="16"/>
        <v>609814.81481482612</v>
      </c>
      <c r="E156" s="216">
        <v>8.8999999999999996E-2</v>
      </c>
      <c r="F156" s="181">
        <f t="shared" si="17"/>
        <v>2222222.222222222</v>
      </c>
      <c r="G156" s="181">
        <f t="shared" si="18"/>
        <v>2832037.037037048</v>
      </c>
      <c r="H156" s="181">
        <f t="shared" si="19"/>
        <v>80000000.000001535</v>
      </c>
      <c r="I156" s="356"/>
      <c r="J156" s="359"/>
    </row>
    <row r="157" spans="2:10">
      <c r="B157" s="183">
        <f t="shared" si="14"/>
        <v>145</v>
      </c>
      <c r="C157" s="184">
        <f t="shared" si="15"/>
        <v>48214</v>
      </c>
      <c r="D157" s="180">
        <f t="shared" si="16"/>
        <v>593333.33333334466</v>
      </c>
      <c r="E157" s="215">
        <v>8.8999999999999996E-2</v>
      </c>
      <c r="F157" s="180">
        <f t="shared" si="17"/>
        <v>2222222.222222222</v>
      </c>
      <c r="G157" s="180">
        <f t="shared" si="18"/>
        <v>2815555.5555555667</v>
      </c>
      <c r="H157" s="180">
        <f t="shared" si="19"/>
        <v>77777777.777779311</v>
      </c>
      <c r="I157" s="354">
        <v>13</v>
      </c>
      <c r="J157" s="357">
        <f>SUM(G157:G168)</f>
        <v>32698888.888889022</v>
      </c>
    </row>
    <row r="158" spans="2:10">
      <c r="B158" s="185">
        <f t="shared" si="14"/>
        <v>146</v>
      </c>
      <c r="C158" s="186">
        <f t="shared" si="15"/>
        <v>48245</v>
      </c>
      <c r="D158" s="181">
        <f t="shared" si="16"/>
        <v>576851.8518518632</v>
      </c>
      <c r="E158" s="216">
        <v>8.8999999999999996E-2</v>
      </c>
      <c r="F158" s="181">
        <f t="shared" si="17"/>
        <v>2222222.222222222</v>
      </c>
      <c r="G158" s="181">
        <f t="shared" si="18"/>
        <v>2799074.0740740853</v>
      </c>
      <c r="H158" s="181">
        <f t="shared" si="19"/>
        <v>75555555.555557087</v>
      </c>
      <c r="I158" s="355"/>
      <c r="J158" s="358"/>
    </row>
    <row r="159" spans="2:10">
      <c r="B159" s="185">
        <f t="shared" si="14"/>
        <v>147</v>
      </c>
      <c r="C159" s="186">
        <f t="shared" si="15"/>
        <v>48274</v>
      </c>
      <c r="D159" s="181">
        <f t="shared" si="16"/>
        <v>560370.37037038163</v>
      </c>
      <c r="E159" s="216">
        <v>8.8999999999999996E-2</v>
      </c>
      <c r="F159" s="181">
        <f t="shared" si="17"/>
        <v>2222222.222222222</v>
      </c>
      <c r="G159" s="181">
        <f t="shared" si="18"/>
        <v>2782592.5925926035</v>
      </c>
      <c r="H159" s="181">
        <f t="shared" si="19"/>
        <v>73333333.333334863</v>
      </c>
      <c r="I159" s="355"/>
      <c r="J159" s="358"/>
    </row>
    <row r="160" spans="2:10">
      <c r="B160" s="185">
        <f t="shared" si="14"/>
        <v>148</v>
      </c>
      <c r="C160" s="186">
        <f t="shared" si="15"/>
        <v>48305</v>
      </c>
      <c r="D160" s="181">
        <f t="shared" si="16"/>
        <v>543888.88888890028</v>
      </c>
      <c r="E160" s="216">
        <v>8.8999999999999996E-2</v>
      </c>
      <c r="F160" s="181">
        <f t="shared" si="17"/>
        <v>2222222.222222222</v>
      </c>
      <c r="G160" s="181">
        <f t="shared" si="18"/>
        <v>2766111.1111111222</v>
      </c>
      <c r="H160" s="181">
        <f t="shared" si="19"/>
        <v>71111111.111112639</v>
      </c>
      <c r="I160" s="355"/>
      <c r="J160" s="358"/>
    </row>
    <row r="161" spans="2:10">
      <c r="B161" s="185">
        <f t="shared" si="14"/>
        <v>149</v>
      </c>
      <c r="C161" s="186">
        <f t="shared" si="15"/>
        <v>48335</v>
      </c>
      <c r="D161" s="181">
        <f t="shared" si="16"/>
        <v>527407.40740741871</v>
      </c>
      <c r="E161" s="216">
        <v>8.8999999999999996E-2</v>
      </c>
      <c r="F161" s="181">
        <f t="shared" si="17"/>
        <v>2222222.222222222</v>
      </c>
      <c r="G161" s="181">
        <f t="shared" si="18"/>
        <v>2749629.6296296408</v>
      </c>
      <c r="H161" s="181">
        <f t="shared" si="19"/>
        <v>68888888.888890415</v>
      </c>
      <c r="I161" s="355"/>
      <c r="J161" s="358"/>
    </row>
    <row r="162" spans="2:10">
      <c r="B162" s="185">
        <f t="shared" si="14"/>
        <v>150</v>
      </c>
      <c r="C162" s="186">
        <f t="shared" si="15"/>
        <v>48366</v>
      </c>
      <c r="D162" s="181">
        <f t="shared" si="16"/>
        <v>510925.92592593725</v>
      </c>
      <c r="E162" s="216">
        <v>8.8999999999999996E-2</v>
      </c>
      <c r="F162" s="181">
        <f t="shared" si="17"/>
        <v>2222222.222222222</v>
      </c>
      <c r="G162" s="181">
        <f t="shared" si="18"/>
        <v>2733148.1481481595</v>
      </c>
      <c r="H162" s="181">
        <f t="shared" si="19"/>
        <v>66666666.666668192</v>
      </c>
      <c r="I162" s="355"/>
      <c r="J162" s="358"/>
    </row>
    <row r="163" spans="2:10">
      <c r="B163" s="185">
        <f t="shared" si="14"/>
        <v>151</v>
      </c>
      <c r="C163" s="186">
        <f t="shared" si="15"/>
        <v>48396</v>
      </c>
      <c r="D163" s="181">
        <f t="shared" si="16"/>
        <v>494444.44444445573</v>
      </c>
      <c r="E163" s="216">
        <v>8.8999999999999996E-2</v>
      </c>
      <c r="F163" s="181">
        <f t="shared" si="17"/>
        <v>2222222.222222222</v>
      </c>
      <c r="G163" s="181">
        <f t="shared" si="18"/>
        <v>2716666.6666666777</v>
      </c>
      <c r="H163" s="181">
        <f t="shared" si="19"/>
        <v>64444444.444445968</v>
      </c>
      <c r="I163" s="355"/>
      <c r="J163" s="358"/>
    </row>
    <row r="164" spans="2:10">
      <c r="B164" s="185">
        <f t="shared" si="14"/>
        <v>152</v>
      </c>
      <c r="C164" s="186">
        <f t="shared" si="15"/>
        <v>48427</v>
      </c>
      <c r="D164" s="181">
        <f t="shared" si="16"/>
        <v>477962.96296297427</v>
      </c>
      <c r="E164" s="216">
        <v>8.8999999999999996E-2</v>
      </c>
      <c r="F164" s="181">
        <f t="shared" si="17"/>
        <v>2222222.222222222</v>
      </c>
      <c r="G164" s="181">
        <f t="shared" si="18"/>
        <v>2700185.1851851963</v>
      </c>
      <c r="H164" s="181">
        <f t="shared" si="19"/>
        <v>62222222.222223744</v>
      </c>
      <c r="I164" s="355"/>
      <c r="J164" s="358"/>
    </row>
    <row r="165" spans="2:10">
      <c r="B165" s="185">
        <f t="shared" si="14"/>
        <v>153</v>
      </c>
      <c r="C165" s="186">
        <f t="shared" si="15"/>
        <v>48458</v>
      </c>
      <c r="D165" s="181">
        <f t="shared" si="16"/>
        <v>461481.48148149275</v>
      </c>
      <c r="E165" s="216">
        <v>8.8999999999999996E-2</v>
      </c>
      <c r="F165" s="181">
        <f t="shared" si="17"/>
        <v>2222222.222222222</v>
      </c>
      <c r="G165" s="181">
        <f t="shared" si="18"/>
        <v>2683703.7037037145</v>
      </c>
      <c r="H165" s="181">
        <f t="shared" si="19"/>
        <v>60000000.00000152</v>
      </c>
      <c r="I165" s="355"/>
      <c r="J165" s="358"/>
    </row>
    <row r="166" spans="2:10">
      <c r="B166" s="185">
        <f t="shared" si="14"/>
        <v>154</v>
      </c>
      <c r="C166" s="186">
        <f t="shared" si="15"/>
        <v>48488</v>
      </c>
      <c r="D166" s="181">
        <f t="shared" si="16"/>
        <v>445000.00000001123</v>
      </c>
      <c r="E166" s="216">
        <v>8.8999999999999996E-2</v>
      </c>
      <c r="F166" s="181">
        <f t="shared" si="17"/>
        <v>2222222.222222222</v>
      </c>
      <c r="G166" s="181">
        <f t="shared" si="18"/>
        <v>2667222.2222222332</v>
      </c>
      <c r="H166" s="181">
        <f t="shared" si="19"/>
        <v>57777777.777779296</v>
      </c>
      <c r="I166" s="355"/>
      <c r="J166" s="358"/>
    </row>
    <row r="167" spans="2:10">
      <c r="B167" s="185">
        <f t="shared" si="14"/>
        <v>155</v>
      </c>
      <c r="C167" s="186">
        <f t="shared" si="15"/>
        <v>48519</v>
      </c>
      <c r="D167" s="181">
        <f t="shared" si="16"/>
        <v>428518.51851852977</v>
      </c>
      <c r="E167" s="216">
        <v>8.8999999999999996E-2</v>
      </c>
      <c r="F167" s="181">
        <f t="shared" si="17"/>
        <v>2222222.222222222</v>
      </c>
      <c r="G167" s="181">
        <f t="shared" si="18"/>
        <v>2650740.7407407518</v>
      </c>
      <c r="H167" s="181">
        <f t="shared" si="19"/>
        <v>55555555.555557072</v>
      </c>
      <c r="I167" s="355"/>
      <c r="J167" s="358"/>
    </row>
    <row r="168" spans="2:10" ht="15" thickBot="1">
      <c r="B168" s="185">
        <f t="shared" si="14"/>
        <v>156</v>
      </c>
      <c r="C168" s="186">
        <f t="shared" si="15"/>
        <v>48549</v>
      </c>
      <c r="D168" s="181">
        <f t="shared" si="16"/>
        <v>412037.03703704826</v>
      </c>
      <c r="E168" s="216">
        <v>8.8999999999999996E-2</v>
      </c>
      <c r="F168" s="181">
        <f t="shared" si="17"/>
        <v>2222222.222222222</v>
      </c>
      <c r="G168" s="181">
        <f t="shared" si="18"/>
        <v>2634259.2592592705</v>
      </c>
      <c r="H168" s="181">
        <f t="shared" si="19"/>
        <v>53333333.333334848</v>
      </c>
      <c r="I168" s="356"/>
      <c r="J168" s="359"/>
    </row>
    <row r="169" spans="2:10">
      <c r="B169" s="183">
        <f t="shared" si="14"/>
        <v>157</v>
      </c>
      <c r="C169" s="184">
        <f t="shared" si="15"/>
        <v>48580</v>
      </c>
      <c r="D169" s="180">
        <f t="shared" si="16"/>
        <v>395555.55555556674</v>
      </c>
      <c r="E169" s="215">
        <v>8.8999999999999996E-2</v>
      </c>
      <c r="F169" s="180">
        <f t="shared" si="17"/>
        <v>2222222.222222222</v>
      </c>
      <c r="G169" s="180">
        <f t="shared" si="18"/>
        <v>2617777.7777777887</v>
      </c>
      <c r="H169" s="180">
        <f t="shared" si="19"/>
        <v>51111111.111112624</v>
      </c>
      <c r="I169" s="354">
        <v>14</v>
      </c>
      <c r="J169" s="357">
        <f>SUM(G169:G180)</f>
        <v>30325555.555555683</v>
      </c>
    </row>
    <row r="170" spans="2:10">
      <c r="B170" s="185">
        <f t="shared" si="14"/>
        <v>158</v>
      </c>
      <c r="C170" s="186">
        <f t="shared" si="15"/>
        <v>48611</v>
      </c>
      <c r="D170" s="181">
        <f t="shared" si="16"/>
        <v>379074.07407408528</v>
      </c>
      <c r="E170" s="216">
        <v>8.8999999999999996E-2</v>
      </c>
      <c r="F170" s="181">
        <f t="shared" si="17"/>
        <v>2222222.222222222</v>
      </c>
      <c r="G170" s="181">
        <f t="shared" si="18"/>
        <v>2601296.2962963074</v>
      </c>
      <c r="H170" s="181">
        <f t="shared" si="19"/>
        <v>48888888.888890401</v>
      </c>
      <c r="I170" s="355"/>
      <c r="J170" s="358"/>
    </row>
    <row r="171" spans="2:10">
      <c r="B171" s="185">
        <f t="shared" si="14"/>
        <v>159</v>
      </c>
      <c r="C171" s="186">
        <f t="shared" si="15"/>
        <v>48639</v>
      </c>
      <c r="D171" s="181">
        <f t="shared" si="16"/>
        <v>362592.59259260376</v>
      </c>
      <c r="E171" s="216">
        <v>8.8999999999999996E-2</v>
      </c>
      <c r="F171" s="181">
        <f t="shared" si="17"/>
        <v>2222222.222222222</v>
      </c>
      <c r="G171" s="181">
        <f t="shared" si="18"/>
        <v>2584814.8148148255</v>
      </c>
      <c r="H171" s="181">
        <f t="shared" si="19"/>
        <v>46666666.666668177</v>
      </c>
      <c r="I171" s="355"/>
      <c r="J171" s="358"/>
    </row>
    <row r="172" spans="2:10">
      <c r="B172" s="185">
        <f t="shared" si="14"/>
        <v>160</v>
      </c>
      <c r="C172" s="186">
        <f t="shared" si="15"/>
        <v>48670</v>
      </c>
      <c r="D172" s="181">
        <f t="shared" si="16"/>
        <v>346111.1111111223</v>
      </c>
      <c r="E172" s="216">
        <v>8.8999999999999996E-2</v>
      </c>
      <c r="F172" s="181">
        <f t="shared" si="17"/>
        <v>2222222.222222222</v>
      </c>
      <c r="G172" s="181">
        <f t="shared" si="18"/>
        <v>2568333.3333333442</v>
      </c>
      <c r="H172" s="181">
        <f t="shared" si="19"/>
        <v>44444444.444445953</v>
      </c>
      <c r="I172" s="355"/>
      <c r="J172" s="358"/>
    </row>
    <row r="173" spans="2:10">
      <c r="B173" s="185">
        <f t="shared" si="14"/>
        <v>161</v>
      </c>
      <c r="C173" s="186">
        <f t="shared" si="15"/>
        <v>48700</v>
      </c>
      <c r="D173" s="181">
        <f t="shared" si="16"/>
        <v>329629.62962964078</v>
      </c>
      <c r="E173" s="216">
        <v>8.8999999999999996E-2</v>
      </c>
      <c r="F173" s="181">
        <f t="shared" si="17"/>
        <v>2222222.222222222</v>
      </c>
      <c r="G173" s="181">
        <f t="shared" si="18"/>
        <v>2551851.8518518629</v>
      </c>
      <c r="H173" s="181">
        <f t="shared" si="19"/>
        <v>42222222.222223729</v>
      </c>
      <c r="I173" s="355"/>
      <c r="J173" s="358"/>
    </row>
    <row r="174" spans="2:10">
      <c r="B174" s="185">
        <f t="shared" si="14"/>
        <v>162</v>
      </c>
      <c r="C174" s="186">
        <f t="shared" si="15"/>
        <v>48731</v>
      </c>
      <c r="D174" s="181">
        <f t="shared" si="16"/>
        <v>313148.14814815932</v>
      </c>
      <c r="E174" s="216">
        <v>8.8999999999999996E-2</v>
      </c>
      <c r="F174" s="181">
        <f t="shared" si="17"/>
        <v>2222222.222222222</v>
      </c>
      <c r="G174" s="181">
        <f t="shared" si="18"/>
        <v>2535370.3703703815</v>
      </c>
      <c r="H174" s="181">
        <f t="shared" si="19"/>
        <v>40000000.000001505</v>
      </c>
      <c r="I174" s="355"/>
      <c r="J174" s="358"/>
    </row>
    <row r="175" spans="2:10">
      <c r="B175" s="185">
        <f t="shared" si="14"/>
        <v>163</v>
      </c>
      <c r="C175" s="186">
        <f t="shared" si="15"/>
        <v>48761</v>
      </c>
      <c r="D175" s="181">
        <f t="shared" si="16"/>
        <v>296666.6666666778</v>
      </c>
      <c r="E175" s="216">
        <v>8.8999999999999996E-2</v>
      </c>
      <c r="F175" s="181">
        <f t="shared" si="17"/>
        <v>2222222.222222222</v>
      </c>
      <c r="G175" s="181">
        <f t="shared" si="18"/>
        <v>2518888.8888888997</v>
      </c>
      <c r="H175" s="181">
        <f t="shared" si="19"/>
        <v>37777777.777779281</v>
      </c>
      <c r="I175" s="355"/>
      <c r="J175" s="358"/>
    </row>
    <row r="176" spans="2:10">
      <c r="B176" s="185">
        <f t="shared" si="14"/>
        <v>164</v>
      </c>
      <c r="C176" s="186">
        <f t="shared" si="15"/>
        <v>48792</v>
      </c>
      <c r="D176" s="181">
        <f t="shared" si="16"/>
        <v>280185.18518519629</v>
      </c>
      <c r="E176" s="216">
        <v>8.8999999999999996E-2</v>
      </c>
      <c r="F176" s="181">
        <f t="shared" si="17"/>
        <v>2222222.222222222</v>
      </c>
      <c r="G176" s="181">
        <f t="shared" si="18"/>
        <v>2502407.4074074184</v>
      </c>
      <c r="H176" s="181">
        <f t="shared" si="19"/>
        <v>35555555.555557057</v>
      </c>
      <c r="I176" s="355"/>
      <c r="J176" s="358"/>
    </row>
    <row r="177" spans="2:10">
      <c r="B177" s="185">
        <f t="shared" si="14"/>
        <v>165</v>
      </c>
      <c r="C177" s="186">
        <f t="shared" si="15"/>
        <v>48823</v>
      </c>
      <c r="D177" s="181">
        <f t="shared" si="16"/>
        <v>263703.70370371483</v>
      </c>
      <c r="E177" s="216">
        <v>8.8999999999999996E-2</v>
      </c>
      <c r="F177" s="181">
        <f t="shared" si="17"/>
        <v>2222222.222222222</v>
      </c>
      <c r="G177" s="181">
        <f t="shared" si="18"/>
        <v>2485925.925925937</v>
      </c>
      <c r="H177" s="181">
        <f t="shared" si="19"/>
        <v>33333333.333334833</v>
      </c>
      <c r="I177" s="355"/>
      <c r="J177" s="358"/>
    </row>
    <row r="178" spans="2:10">
      <c r="B178" s="185">
        <f t="shared" si="14"/>
        <v>166</v>
      </c>
      <c r="C178" s="186">
        <f t="shared" si="15"/>
        <v>48853</v>
      </c>
      <c r="D178" s="181">
        <f t="shared" si="16"/>
        <v>247222.22222223334</v>
      </c>
      <c r="E178" s="216">
        <v>8.8999999999999996E-2</v>
      </c>
      <c r="F178" s="181">
        <f t="shared" si="17"/>
        <v>2222222.222222222</v>
      </c>
      <c r="G178" s="181">
        <f t="shared" si="18"/>
        <v>2469444.4444444552</v>
      </c>
      <c r="H178" s="181">
        <f t="shared" si="19"/>
        <v>31111111.11111261</v>
      </c>
      <c r="I178" s="355"/>
      <c r="J178" s="358"/>
    </row>
    <row r="179" spans="2:10">
      <c r="B179" s="185">
        <f t="shared" si="14"/>
        <v>167</v>
      </c>
      <c r="C179" s="186">
        <f t="shared" si="15"/>
        <v>48884</v>
      </c>
      <c r="D179" s="181">
        <f t="shared" si="16"/>
        <v>230740.74074075185</v>
      </c>
      <c r="E179" s="216">
        <v>8.8999999999999996E-2</v>
      </c>
      <c r="F179" s="181">
        <f t="shared" si="17"/>
        <v>2222222.222222222</v>
      </c>
      <c r="G179" s="181">
        <f t="shared" si="18"/>
        <v>2452962.9629629739</v>
      </c>
      <c r="H179" s="181">
        <f t="shared" si="19"/>
        <v>28888888.888890386</v>
      </c>
      <c r="I179" s="355"/>
      <c r="J179" s="358"/>
    </row>
    <row r="180" spans="2:10" ht="15" thickBot="1">
      <c r="B180" s="185">
        <f t="shared" si="14"/>
        <v>168</v>
      </c>
      <c r="C180" s="186">
        <f t="shared" si="15"/>
        <v>48914</v>
      </c>
      <c r="D180" s="181">
        <f t="shared" si="16"/>
        <v>214259.25925927036</v>
      </c>
      <c r="E180" s="216">
        <v>8.8999999999999996E-2</v>
      </c>
      <c r="F180" s="181">
        <f t="shared" si="17"/>
        <v>2222222.222222222</v>
      </c>
      <c r="G180" s="181">
        <f t="shared" si="18"/>
        <v>2436481.4814814925</v>
      </c>
      <c r="H180" s="181">
        <f t="shared" si="19"/>
        <v>26666666.666668162</v>
      </c>
      <c r="I180" s="356"/>
      <c r="J180" s="359"/>
    </row>
    <row r="181" spans="2:10">
      <c r="B181" s="183">
        <f t="shared" si="14"/>
        <v>169</v>
      </c>
      <c r="C181" s="184">
        <f t="shared" si="15"/>
        <v>48945</v>
      </c>
      <c r="D181" s="180">
        <f t="shared" si="16"/>
        <v>197777.77777778884</v>
      </c>
      <c r="E181" s="215">
        <v>8.8999999999999996E-2</v>
      </c>
      <c r="F181" s="180">
        <f t="shared" si="17"/>
        <v>2222222.222222222</v>
      </c>
      <c r="G181" s="180">
        <f t="shared" si="18"/>
        <v>2420000.0000000107</v>
      </c>
      <c r="H181" s="180">
        <f t="shared" si="19"/>
        <v>24444444.444445938</v>
      </c>
      <c r="I181" s="354">
        <v>15</v>
      </c>
      <c r="J181" s="357">
        <f>SUM(G181:G192)</f>
        <v>27952222.222222358</v>
      </c>
    </row>
    <row r="182" spans="2:10">
      <c r="B182" s="185">
        <f t="shared" si="14"/>
        <v>170</v>
      </c>
      <c r="C182" s="186">
        <f t="shared" si="15"/>
        <v>48976</v>
      </c>
      <c r="D182" s="181">
        <f t="shared" si="16"/>
        <v>181296.29629630735</v>
      </c>
      <c r="E182" s="216">
        <v>8.8999999999999996E-2</v>
      </c>
      <c r="F182" s="181">
        <f t="shared" si="17"/>
        <v>2222222.222222222</v>
      </c>
      <c r="G182" s="181">
        <f t="shared" si="18"/>
        <v>2403518.5185185294</v>
      </c>
      <c r="H182" s="181">
        <f t="shared" si="19"/>
        <v>22222222.222223714</v>
      </c>
      <c r="I182" s="355"/>
      <c r="J182" s="358"/>
    </row>
    <row r="183" spans="2:10">
      <c r="B183" s="185">
        <f t="shared" si="14"/>
        <v>171</v>
      </c>
      <c r="C183" s="186">
        <f t="shared" si="15"/>
        <v>49004</v>
      </c>
      <c r="D183" s="181">
        <f t="shared" si="16"/>
        <v>164814.81481482586</v>
      </c>
      <c r="E183" s="216">
        <v>8.8999999999999996E-2</v>
      </c>
      <c r="F183" s="181">
        <f t="shared" si="17"/>
        <v>2222222.222222222</v>
      </c>
      <c r="G183" s="181">
        <f t="shared" si="18"/>
        <v>2387037.037037048</v>
      </c>
      <c r="H183" s="181">
        <f t="shared" si="19"/>
        <v>20000000.00000149</v>
      </c>
      <c r="I183" s="355"/>
      <c r="J183" s="358"/>
    </row>
    <row r="184" spans="2:10">
      <c r="B184" s="185">
        <f t="shared" si="14"/>
        <v>172</v>
      </c>
      <c r="C184" s="186">
        <f t="shared" si="15"/>
        <v>49035</v>
      </c>
      <c r="D184" s="181">
        <f t="shared" si="16"/>
        <v>148333.33333334437</v>
      </c>
      <c r="E184" s="216">
        <v>8.8999999999999996E-2</v>
      </c>
      <c r="F184" s="181">
        <f t="shared" si="17"/>
        <v>2222222.222222222</v>
      </c>
      <c r="G184" s="181">
        <f t="shared" si="18"/>
        <v>2370555.5555555662</v>
      </c>
      <c r="H184" s="181">
        <f t="shared" si="19"/>
        <v>17777777.777779266</v>
      </c>
      <c r="I184" s="355"/>
      <c r="J184" s="358"/>
    </row>
    <row r="185" spans="2:10">
      <c r="B185" s="185">
        <f t="shared" si="14"/>
        <v>173</v>
      </c>
      <c r="C185" s="186">
        <f t="shared" si="15"/>
        <v>49065</v>
      </c>
      <c r="D185" s="181">
        <f t="shared" si="16"/>
        <v>131851.85185186288</v>
      </c>
      <c r="E185" s="216">
        <v>8.8999999999999996E-2</v>
      </c>
      <c r="F185" s="181">
        <f t="shared" si="17"/>
        <v>2222222.222222222</v>
      </c>
      <c r="G185" s="181">
        <f t="shared" si="18"/>
        <v>2354074.0740740849</v>
      </c>
      <c r="H185" s="181">
        <f t="shared" si="19"/>
        <v>15555555.555557044</v>
      </c>
      <c r="I185" s="355"/>
      <c r="J185" s="358"/>
    </row>
    <row r="186" spans="2:10">
      <c r="B186" s="185">
        <f t="shared" si="14"/>
        <v>174</v>
      </c>
      <c r="C186" s="186">
        <f t="shared" si="15"/>
        <v>49096</v>
      </c>
      <c r="D186" s="181">
        <f t="shared" si="16"/>
        <v>115370.37037038141</v>
      </c>
      <c r="E186" s="216">
        <v>8.8999999999999996E-2</v>
      </c>
      <c r="F186" s="181">
        <f t="shared" si="17"/>
        <v>2222222.222222222</v>
      </c>
      <c r="G186" s="181">
        <f t="shared" si="18"/>
        <v>2337592.5925926035</v>
      </c>
      <c r="H186" s="181">
        <f t="shared" si="19"/>
        <v>13333333.333334822</v>
      </c>
      <c r="I186" s="355"/>
      <c r="J186" s="358"/>
    </row>
    <row r="187" spans="2:10">
      <c r="B187" s="185">
        <f t="shared" si="14"/>
        <v>175</v>
      </c>
      <c r="C187" s="186">
        <f t="shared" si="15"/>
        <v>49126</v>
      </c>
      <c r="D187" s="181">
        <f t="shared" si="16"/>
        <v>98888.888888899935</v>
      </c>
      <c r="E187" s="216">
        <v>8.8999999999999996E-2</v>
      </c>
      <c r="F187" s="181">
        <f t="shared" si="17"/>
        <v>2222222.222222222</v>
      </c>
      <c r="G187" s="181">
        <f t="shared" si="18"/>
        <v>2321111.1111111222</v>
      </c>
      <c r="H187" s="181">
        <f t="shared" si="19"/>
        <v>11111111.1111126</v>
      </c>
      <c r="I187" s="355"/>
      <c r="J187" s="358"/>
    </row>
    <row r="188" spans="2:10">
      <c r="B188" s="185">
        <f t="shared" si="14"/>
        <v>176</v>
      </c>
      <c r="C188" s="186">
        <f t="shared" si="15"/>
        <v>49157</v>
      </c>
      <c r="D188" s="181">
        <f t="shared" si="16"/>
        <v>82407.407407418446</v>
      </c>
      <c r="E188" s="216">
        <v>8.8999999999999996E-2</v>
      </c>
      <c r="F188" s="181">
        <f t="shared" si="17"/>
        <v>2222222.222222222</v>
      </c>
      <c r="G188" s="181">
        <f t="shared" si="18"/>
        <v>2304629.6296296404</v>
      </c>
      <c r="H188" s="181">
        <f t="shared" si="19"/>
        <v>8888888.8888903782</v>
      </c>
      <c r="I188" s="355"/>
      <c r="J188" s="358"/>
    </row>
    <row r="189" spans="2:10">
      <c r="B189" s="185">
        <f t="shared" si="14"/>
        <v>177</v>
      </c>
      <c r="C189" s="186">
        <f t="shared" si="15"/>
        <v>49188</v>
      </c>
      <c r="D189" s="181">
        <f t="shared" si="16"/>
        <v>65925.925925936972</v>
      </c>
      <c r="E189" s="216">
        <v>8.8999999999999996E-2</v>
      </c>
      <c r="F189" s="181">
        <f t="shared" si="17"/>
        <v>2222222.222222222</v>
      </c>
      <c r="G189" s="181">
        <f t="shared" si="18"/>
        <v>2288148.148148159</v>
      </c>
      <c r="H189" s="181">
        <f t="shared" si="19"/>
        <v>6666666.6666681562</v>
      </c>
      <c r="I189" s="355"/>
      <c r="J189" s="358"/>
    </row>
    <row r="190" spans="2:10">
      <c r="B190" s="185">
        <f t="shared" si="14"/>
        <v>178</v>
      </c>
      <c r="C190" s="186">
        <f t="shared" si="15"/>
        <v>49218</v>
      </c>
      <c r="D190" s="181">
        <f t="shared" si="16"/>
        <v>49444.44444445549</v>
      </c>
      <c r="E190" s="216">
        <v>8.8999999999999996E-2</v>
      </c>
      <c r="F190" s="181">
        <f t="shared" si="17"/>
        <v>2222222.222222222</v>
      </c>
      <c r="G190" s="181">
        <f t="shared" si="18"/>
        <v>2271666.6666666777</v>
      </c>
      <c r="H190" s="181">
        <f t="shared" si="19"/>
        <v>4444444.4444459341</v>
      </c>
      <c r="I190" s="355"/>
      <c r="J190" s="358"/>
    </row>
    <row r="191" spans="2:10">
      <c r="B191" s="185">
        <f t="shared" si="14"/>
        <v>179</v>
      </c>
      <c r="C191" s="186">
        <f t="shared" si="15"/>
        <v>49249</v>
      </c>
      <c r="D191" s="181">
        <f t="shared" si="16"/>
        <v>32962.962962974008</v>
      </c>
      <c r="E191" s="216">
        <v>8.8999999999999996E-2</v>
      </c>
      <c r="F191" s="181">
        <f t="shared" si="17"/>
        <v>2222222.222222222</v>
      </c>
      <c r="G191" s="181">
        <f t="shared" si="18"/>
        <v>2255185.1851851959</v>
      </c>
      <c r="H191" s="181">
        <f t="shared" si="19"/>
        <v>2222222.2222237121</v>
      </c>
      <c r="I191" s="355"/>
      <c r="J191" s="358"/>
    </row>
    <row r="192" spans="2:10" ht="15" thickBot="1">
      <c r="B192" s="185">
        <f t="shared" si="14"/>
        <v>180</v>
      </c>
      <c r="C192" s="186">
        <f t="shared" si="15"/>
        <v>49279</v>
      </c>
      <c r="D192" s="181">
        <f t="shared" si="16"/>
        <v>16481.48148149253</v>
      </c>
      <c r="E192" s="216">
        <v>8.8999999999999996E-2</v>
      </c>
      <c r="F192" s="181">
        <f t="shared" si="17"/>
        <v>2222222.222222222</v>
      </c>
      <c r="G192" s="181">
        <f t="shared" si="18"/>
        <v>2238703.7037037145</v>
      </c>
      <c r="H192" s="181">
        <f t="shared" si="19"/>
        <v>1.4901161193847656E-6</v>
      </c>
      <c r="I192" s="356"/>
      <c r="J192" s="359"/>
    </row>
    <row r="193" spans="2:10">
      <c r="B193" s="183" t="str">
        <f t="shared" si="14"/>
        <v/>
      </c>
      <c r="C193" s="184" t="str">
        <f t="shared" si="15"/>
        <v/>
      </c>
      <c r="D193" s="180">
        <f t="shared" si="16"/>
        <v>0</v>
      </c>
      <c r="E193" s="215">
        <v>8.8999999999999996E-2</v>
      </c>
      <c r="F193" s="180">
        <f t="shared" si="17"/>
        <v>0</v>
      </c>
      <c r="G193" s="180">
        <f t="shared" si="18"/>
        <v>0</v>
      </c>
      <c r="H193" s="180">
        <f t="shared" si="19"/>
        <v>1.4901161193847656E-6</v>
      </c>
      <c r="I193" s="354">
        <v>16</v>
      </c>
      <c r="J193" s="357">
        <f>SUM(G193:G204)</f>
        <v>0</v>
      </c>
    </row>
    <row r="194" spans="2:10">
      <c r="B194" s="185" t="str">
        <f t="shared" si="14"/>
        <v/>
      </c>
      <c r="C194" s="186" t="str">
        <f t="shared" si="15"/>
        <v/>
      </c>
      <c r="D194" s="181">
        <f t="shared" si="16"/>
        <v>0</v>
      </c>
      <c r="E194" s="216">
        <v>8.8999999999999996E-2</v>
      </c>
      <c r="F194" s="181">
        <f t="shared" si="17"/>
        <v>0</v>
      </c>
      <c r="G194" s="181">
        <f t="shared" si="18"/>
        <v>0</v>
      </c>
      <c r="H194" s="181">
        <f t="shared" si="19"/>
        <v>1.4901161193847656E-6</v>
      </c>
      <c r="I194" s="355"/>
      <c r="J194" s="358"/>
    </row>
    <row r="195" spans="2:10">
      <c r="B195" s="185" t="str">
        <f t="shared" si="14"/>
        <v/>
      </c>
      <c r="C195" s="186" t="str">
        <f t="shared" si="15"/>
        <v/>
      </c>
      <c r="D195" s="181">
        <f t="shared" si="16"/>
        <v>0</v>
      </c>
      <c r="E195" s="216">
        <v>8.8999999999999996E-2</v>
      </c>
      <c r="F195" s="181">
        <f t="shared" si="17"/>
        <v>0</v>
      </c>
      <c r="G195" s="181">
        <f t="shared" si="18"/>
        <v>0</v>
      </c>
      <c r="H195" s="181">
        <f t="shared" si="19"/>
        <v>1.4901161193847656E-6</v>
      </c>
      <c r="I195" s="355"/>
      <c r="J195" s="358"/>
    </row>
    <row r="196" spans="2:10">
      <c r="B196" s="185" t="str">
        <f t="shared" si="14"/>
        <v/>
      </c>
      <c r="C196" s="186" t="str">
        <f t="shared" si="15"/>
        <v/>
      </c>
      <c r="D196" s="181">
        <f t="shared" si="16"/>
        <v>0</v>
      </c>
      <c r="E196" s="216">
        <v>8.8999999999999996E-2</v>
      </c>
      <c r="F196" s="181">
        <f t="shared" si="17"/>
        <v>0</v>
      </c>
      <c r="G196" s="181">
        <f t="shared" si="18"/>
        <v>0</v>
      </c>
      <c r="H196" s="181">
        <f t="shared" si="19"/>
        <v>1.4901161193847656E-6</v>
      </c>
      <c r="I196" s="355"/>
      <c r="J196" s="358"/>
    </row>
    <row r="197" spans="2:10">
      <c r="B197" s="185" t="str">
        <f t="shared" si="14"/>
        <v/>
      </c>
      <c r="C197" s="186" t="str">
        <f t="shared" si="15"/>
        <v/>
      </c>
      <c r="D197" s="181">
        <f t="shared" si="16"/>
        <v>0</v>
      </c>
      <c r="E197" s="216">
        <v>8.8999999999999996E-2</v>
      </c>
      <c r="F197" s="181">
        <f t="shared" si="17"/>
        <v>0</v>
      </c>
      <c r="G197" s="181">
        <f t="shared" si="18"/>
        <v>0</v>
      </c>
      <c r="H197" s="181">
        <f t="shared" si="19"/>
        <v>1.4901161193847656E-6</v>
      </c>
      <c r="I197" s="355"/>
      <c r="J197" s="358"/>
    </row>
    <row r="198" spans="2:10">
      <c r="B198" s="185" t="str">
        <f t="shared" si="14"/>
        <v/>
      </c>
      <c r="C198" s="186" t="str">
        <f t="shared" si="15"/>
        <v/>
      </c>
      <c r="D198" s="181">
        <f t="shared" si="16"/>
        <v>0</v>
      </c>
      <c r="E198" s="216">
        <v>8.8999999999999996E-2</v>
      </c>
      <c r="F198" s="181">
        <f t="shared" si="17"/>
        <v>0</v>
      </c>
      <c r="G198" s="181">
        <f t="shared" si="18"/>
        <v>0</v>
      </c>
      <c r="H198" s="181">
        <f t="shared" si="19"/>
        <v>1.4901161193847656E-6</v>
      </c>
      <c r="I198" s="355"/>
      <c r="J198" s="358"/>
    </row>
    <row r="199" spans="2:10">
      <c r="B199" s="185" t="str">
        <f t="shared" si="14"/>
        <v/>
      </c>
      <c r="C199" s="186" t="str">
        <f t="shared" si="15"/>
        <v/>
      </c>
      <c r="D199" s="181">
        <f t="shared" si="16"/>
        <v>0</v>
      </c>
      <c r="E199" s="216">
        <v>8.8999999999999996E-2</v>
      </c>
      <c r="F199" s="181">
        <f t="shared" si="17"/>
        <v>0</v>
      </c>
      <c r="G199" s="181">
        <f t="shared" si="18"/>
        <v>0</v>
      </c>
      <c r="H199" s="181">
        <f t="shared" si="19"/>
        <v>1.4901161193847656E-6</v>
      </c>
      <c r="I199" s="355"/>
      <c r="J199" s="358"/>
    </row>
    <row r="200" spans="2:10">
      <c r="B200" s="185" t="str">
        <f t="shared" si="14"/>
        <v/>
      </c>
      <c r="C200" s="186" t="str">
        <f t="shared" si="15"/>
        <v/>
      </c>
      <c r="D200" s="181">
        <f t="shared" si="16"/>
        <v>0</v>
      </c>
      <c r="E200" s="216">
        <v>8.8999999999999996E-2</v>
      </c>
      <c r="F200" s="181">
        <f t="shared" si="17"/>
        <v>0</v>
      </c>
      <c r="G200" s="181">
        <f t="shared" si="18"/>
        <v>0</v>
      </c>
      <c r="H200" s="181">
        <f t="shared" si="19"/>
        <v>1.4901161193847656E-6</v>
      </c>
      <c r="I200" s="355"/>
      <c r="J200" s="358"/>
    </row>
    <row r="201" spans="2:10">
      <c r="B201" s="185" t="str">
        <f t="shared" si="14"/>
        <v/>
      </c>
      <c r="C201" s="186" t="str">
        <f t="shared" si="15"/>
        <v/>
      </c>
      <c r="D201" s="181">
        <f t="shared" si="16"/>
        <v>0</v>
      </c>
      <c r="E201" s="216">
        <v>8.8999999999999996E-2</v>
      </c>
      <c r="F201" s="181">
        <f t="shared" si="17"/>
        <v>0</v>
      </c>
      <c r="G201" s="181">
        <f t="shared" si="18"/>
        <v>0</v>
      </c>
      <c r="H201" s="181">
        <f t="shared" si="19"/>
        <v>1.4901161193847656E-6</v>
      </c>
      <c r="I201" s="355"/>
      <c r="J201" s="358"/>
    </row>
    <row r="202" spans="2:10">
      <c r="B202" s="185" t="str">
        <f t="shared" si="14"/>
        <v/>
      </c>
      <c r="C202" s="186" t="str">
        <f t="shared" si="15"/>
        <v/>
      </c>
      <c r="D202" s="181">
        <f t="shared" si="16"/>
        <v>0</v>
      </c>
      <c r="E202" s="216">
        <v>8.8999999999999996E-2</v>
      </c>
      <c r="F202" s="181">
        <f t="shared" si="17"/>
        <v>0</v>
      </c>
      <c r="G202" s="181">
        <f t="shared" si="18"/>
        <v>0</v>
      </c>
      <c r="H202" s="181">
        <f t="shared" si="19"/>
        <v>1.4901161193847656E-6</v>
      </c>
      <c r="I202" s="355"/>
      <c r="J202" s="358"/>
    </row>
    <row r="203" spans="2:10">
      <c r="B203" s="185" t="str">
        <f t="shared" si="14"/>
        <v/>
      </c>
      <c r="C203" s="186" t="str">
        <f t="shared" si="15"/>
        <v/>
      </c>
      <c r="D203" s="181">
        <f t="shared" si="16"/>
        <v>0</v>
      </c>
      <c r="E203" s="216">
        <v>8.8999999999999996E-2</v>
      </c>
      <c r="F203" s="181">
        <f t="shared" si="17"/>
        <v>0</v>
      </c>
      <c r="G203" s="181">
        <f t="shared" si="18"/>
        <v>0</v>
      </c>
      <c r="H203" s="181">
        <f t="shared" si="19"/>
        <v>1.4901161193847656E-6</v>
      </c>
      <c r="I203" s="355"/>
      <c r="J203" s="358"/>
    </row>
    <row r="204" spans="2:10" ht="15" thickBot="1">
      <c r="B204" s="185" t="str">
        <f t="shared" si="14"/>
        <v/>
      </c>
      <c r="C204" s="186" t="str">
        <f t="shared" si="15"/>
        <v/>
      </c>
      <c r="D204" s="181">
        <f t="shared" si="16"/>
        <v>0</v>
      </c>
      <c r="E204" s="216">
        <v>8.8999999999999996E-2</v>
      </c>
      <c r="F204" s="181">
        <f t="shared" si="17"/>
        <v>0</v>
      </c>
      <c r="G204" s="181">
        <f t="shared" si="18"/>
        <v>0</v>
      </c>
      <c r="H204" s="181">
        <f t="shared" si="19"/>
        <v>1.4901161193847656E-6</v>
      </c>
      <c r="I204" s="356"/>
      <c r="J204" s="359"/>
    </row>
    <row r="205" spans="2:10">
      <c r="B205" s="183" t="str">
        <f t="shared" si="14"/>
        <v/>
      </c>
      <c r="C205" s="184" t="str">
        <f t="shared" si="15"/>
        <v/>
      </c>
      <c r="D205" s="180">
        <f t="shared" si="16"/>
        <v>0</v>
      </c>
      <c r="E205" s="215">
        <v>8.8999999999999996E-2</v>
      </c>
      <c r="F205" s="180">
        <f t="shared" si="17"/>
        <v>0</v>
      </c>
      <c r="G205" s="180">
        <f t="shared" si="18"/>
        <v>0</v>
      </c>
      <c r="H205" s="180">
        <f t="shared" si="19"/>
        <v>1.4901161193847656E-6</v>
      </c>
      <c r="I205" s="354">
        <v>17</v>
      </c>
      <c r="J205" s="357">
        <f>SUM(G205:G216)</f>
        <v>0</v>
      </c>
    </row>
    <row r="206" spans="2:10">
      <c r="B206" s="185" t="str">
        <f t="shared" si="14"/>
        <v/>
      </c>
      <c r="C206" s="186" t="str">
        <f t="shared" si="15"/>
        <v/>
      </c>
      <c r="D206" s="181">
        <f t="shared" si="16"/>
        <v>0</v>
      </c>
      <c r="E206" s="216">
        <v>8.8999999999999996E-2</v>
      </c>
      <c r="F206" s="181">
        <f t="shared" si="17"/>
        <v>0</v>
      </c>
      <c r="G206" s="181">
        <f t="shared" si="18"/>
        <v>0</v>
      </c>
      <c r="H206" s="181">
        <f t="shared" si="19"/>
        <v>1.4901161193847656E-6</v>
      </c>
      <c r="I206" s="355"/>
      <c r="J206" s="358"/>
    </row>
    <row r="207" spans="2:10">
      <c r="B207" s="185" t="str">
        <f t="shared" ref="B207:B270" si="20">IF(B206&lt;$D$7,B206+1,"")</f>
        <v/>
      </c>
      <c r="C207" s="186" t="str">
        <f t="shared" ref="C207:C270" si="21">IF(B207&lt;&gt;"",EDATE(C206,1),"")</f>
        <v/>
      </c>
      <c r="D207" s="181">
        <f t="shared" ref="D207:D270" si="22">IFERROR(IF(B207&lt;=$D$7,H206*E207/12,0),0)</f>
        <v>0</v>
      </c>
      <c r="E207" s="216">
        <v>8.8999999999999996E-2</v>
      </c>
      <c r="F207" s="181">
        <f t="shared" ref="F207:F270" si="23">IFERROR(IF(B207&lt;=$D$7,$D$6/$D$7,0),0)</f>
        <v>0</v>
      </c>
      <c r="G207" s="181">
        <f t="shared" ref="G207:G270" si="24">D207+F207</f>
        <v>0</v>
      </c>
      <c r="H207" s="181">
        <f t="shared" ref="H207:H270" si="25">H206-F207</f>
        <v>1.4901161193847656E-6</v>
      </c>
      <c r="I207" s="355"/>
      <c r="J207" s="358"/>
    </row>
    <row r="208" spans="2:10">
      <c r="B208" s="185" t="str">
        <f t="shared" si="20"/>
        <v/>
      </c>
      <c r="C208" s="186" t="str">
        <f t="shared" si="21"/>
        <v/>
      </c>
      <c r="D208" s="181">
        <f t="shared" si="22"/>
        <v>0</v>
      </c>
      <c r="E208" s="216">
        <v>8.8999999999999996E-2</v>
      </c>
      <c r="F208" s="181">
        <f t="shared" si="23"/>
        <v>0</v>
      </c>
      <c r="G208" s="181">
        <f t="shared" si="24"/>
        <v>0</v>
      </c>
      <c r="H208" s="181">
        <f t="shared" si="25"/>
        <v>1.4901161193847656E-6</v>
      </c>
      <c r="I208" s="355"/>
      <c r="J208" s="358"/>
    </row>
    <row r="209" spans="2:10">
      <c r="B209" s="185" t="str">
        <f t="shared" si="20"/>
        <v/>
      </c>
      <c r="C209" s="186" t="str">
        <f t="shared" si="21"/>
        <v/>
      </c>
      <c r="D209" s="181">
        <f t="shared" si="22"/>
        <v>0</v>
      </c>
      <c r="E209" s="216">
        <v>8.8999999999999996E-2</v>
      </c>
      <c r="F209" s="181">
        <f t="shared" si="23"/>
        <v>0</v>
      </c>
      <c r="G209" s="181">
        <f t="shared" si="24"/>
        <v>0</v>
      </c>
      <c r="H209" s="181">
        <f t="shared" si="25"/>
        <v>1.4901161193847656E-6</v>
      </c>
      <c r="I209" s="355"/>
      <c r="J209" s="358"/>
    </row>
    <row r="210" spans="2:10">
      <c r="B210" s="185" t="str">
        <f t="shared" si="20"/>
        <v/>
      </c>
      <c r="C210" s="186" t="str">
        <f t="shared" si="21"/>
        <v/>
      </c>
      <c r="D210" s="181">
        <f t="shared" si="22"/>
        <v>0</v>
      </c>
      <c r="E210" s="216">
        <v>8.8999999999999996E-2</v>
      </c>
      <c r="F210" s="181">
        <f t="shared" si="23"/>
        <v>0</v>
      </c>
      <c r="G210" s="181">
        <f t="shared" si="24"/>
        <v>0</v>
      </c>
      <c r="H210" s="181">
        <f t="shared" si="25"/>
        <v>1.4901161193847656E-6</v>
      </c>
      <c r="I210" s="355"/>
      <c r="J210" s="358"/>
    </row>
    <row r="211" spans="2:10">
      <c r="B211" s="185" t="str">
        <f t="shared" si="20"/>
        <v/>
      </c>
      <c r="C211" s="186" t="str">
        <f t="shared" si="21"/>
        <v/>
      </c>
      <c r="D211" s="181">
        <f t="shared" si="22"/>
        <v>0</v>
      </c>
      <c r="E211" s="216">
        <v>8.8999999999999996E-2</v>
      </c>
      <c r="F211" s="181">
        <f t="shared" si="23"/>
        <v>0</v>
      </c>
      <c r="G211" s="181">
        <f t="shared" si="24"/>
        <v>0</v>
      </c>
      <c r="H211" s="181">
        <f t="shared" si="25"/>
        <v>1.4901161193847656E-6</v>
      </c>
      <c r="I211" s="355"/>
      <c r="J211" s="358"/>
    </row>
    <row r="212" spans="2:10">
      <c r="B212" s="185" t="str">
        <f t="shared" si="20"/>
        <v/>
      </c>
      <c r="C212" s="186" t="str">
        <f t="shared" si="21"/>
        <v/>
      </c>
      <c r="D212" s="181">
        <f t="shared" si="22"/>
        <v>0</v>
      </c>
      <c r="E212" s="216">
        <v>8.8999999999999996E-2</v>
      </c>
      <c r="F212" s="181">
        <f t="shared" si="23"/>
        <v>0</v>
      </c>
      <c r="G212" s="181">
        <f t="shared" si="24"/>
        <v>0</v>
      </c>
      <c r="H212" s="181">
        <f t="shared" si="25"/>
        <v>1.4901161193847656E-6</v>
      </c>
      <c r="I212" s="355"/>
      <c r="J212" s="358"/>
    </row>
    <row r="213" spans="2:10">
      <c r="B213" s="185" t="str">
        <f t="shared" si="20"/>
        <v/>
      </c>
      <c r="C213" s="186" t="str">
        <f t="shared" si="21"/>
        <v/>
      </c>
      <c r="D213" s="181">
        <f t="shared" si="22"/>
        <v>0</v>
      </c>
      <c r="E213" s="216">
        <v>8.8999999999999996E-2</v>
      </c>
      <c r="F213" s="181">
        <f t="shared" si="23"/>
        <v>0</v>
      </c>
      <c r="G213" s="181">
        <f t="shared" si="24"/>
        <v>0</v>
      </c>
      <c r="H213" s="181">
        <f t="shared" si="25"/>
        <v>1.4901161193847656E-6</v>
      </c>
      <c r="I213" s="355"/>
      <c r="J213" s="358"/>
    </row>
    <row r="214" spans="2:10">
      <c r="B214" s="185" t="str">
        <f t="shared" si="20"/>
        <v/>
      </c>
      <c r="C214" s="186" t="str">
        <f t="shared" si="21"/>
        <v/>
      </c>
      <c r="D214" s="181">
        <f t="shared" si="22"/>
        <v>0</v>
      </c>
      <c r="E214" s="216">
        <v>8.8999999999999996E-2</v>
      </c>
      <c r="F214" s="181">
        <f t="shared" si="23"/>
        <v>0</v>
      </c>
      <c r="G214" s="181">
        <f t="shared" si="24"/>
        <v>0</v>
      </c>
      <c r="H214" s="181">
        <f t="shared" si="25"/>
        <v>1.4901161193847656E-6</v>
      </c>
      <c r="I214" s="355"/>
      <c r="J214" s="358"/>
    </row>
    <row r="215" spans="2:10">
      <c r="B215" s="185" t="str">
        <f t="shared" si="20"/>
        <v/>
      </c>
      <c r="C215" s="186" t="str">
        <f t="shared" si="21"/>
        <v/>
      </c>
      <c r="D215" s="181">
        <f t="shared" si="22"/>
        <v>0</v>
      </c>
      <c r="E215" s="216">
        <v>8.8999999999999996E-2</v>
      </c>
      <c r="F215" s="181">
        <f t="shared" si="23"/>
        <v>0</v>
      </c>
      <c r="G215" s="181">
        <f t="shared" si="24"/>
        <v>0</v>
      </c>
      <c r="H215" s="181">
        <f t="shared" si="25"/>
        <v>1.4901161193847656E-6</v>
      </c>
      <c r="I215" s="355"/>
      <c r="J215" s="358"/>
    </row>
    <row r="216" spans="2:10" ht="15" thickBot="1">
      <c r="B216" s="185" t="str">
        <f t="shared" si="20"/>
        <v/>
      </c>
      <c r="C216" s="186" t="str">
        <f t="shared" si="21"/>
        <v/>
      </c>
      <c r="D216" s="181">
        <f t="shared" si="22"/>
        <v>0</v>
      </c>
      <c r="E216" s="216">
        <v>8.8999999999999996E-2</v>
      </c>
      <c r="F216" s="181">
        <f t="shared" si="23"/>
        <v>0</v>
      </c>
      <c r="G216" s="181">
        <f t="shared" si="24"/>
        <v>0</v>
      </c>
      <c r="H216" s="181">
        <f t="shared" si="25"/>
        <v>1.4901161193847656E-6</v>
      </c>
      <c r="I216" s="356"/>
      <c r="J216" s="359"/>
    </row>
    <row r="217" spans="2:10">
      <c r="B217" s="183" t="str">
        <f t="shared" si="20"/>
        <v/>
      </c>
      <c r="C217" s="184" t="str">
        <f t="shared" si="21"/>
        <v/>
      </c>
      <c r="D217" s="180">
        <f t="shared" si="22"/>
        <v>0</v>
      </c>
      <c r="E217" s="215">
        <v>8.8999999999999996E-2</v>
      </c>
      <c r="F217" s="180">
        <f t="shared" si="23"/>
        <v>0</v>
      </c>
      <c r="G217" s="180">
        <f t="shared" si="24"/>
        <v>0</v>
      </c>
      <c r="H217" s="180">
        <f t="shared" si="25"/>
        <v>1.4901161193847656E-6</v>
      </c>
      <c r="I217" s="354">
        <v>18</v>
      </c>
      <c r="J217" s="357">
        <f>SUM(G217:G228)</f>
        <v>0</v>
      </c>
    </row>
    <row r="218" spans="2:10">
      <c r="B218" s="185" t="str">
        <f t="shared" si="20"/>
        <v/>
      </c>
      <c r="C218" s="186" t="str">
        <f t="shared" si="21"/>
        <v/>
      </c>
      <c r="D218" s="181">
        <f t="shared" si="22"/>
        <v>0</v>
      </c>
      <c r="E218" s="216">
        <v>8.8999999999999996E-2</v>
      </c>
      <c r="F218" s="181">
        <f t="shared" si="23"/>
        <v>0</v>
      </c>
      <c r="G218" s="181">
        <f t="shared" si="24"/>
        <v>0</v>
      </c>
      <c r="H218" s="181">
        <f t="shared" si="25"/>
        <v>1.4901161193847656E-6</v>
      </c>
      <c r="I218" s="355"/>
      <c r="J218" s="358"/>
    </row>
    <row r="219" spans="2:10">
      <c r="B219" s="185" t="str">
        <f t="shared" si="20"/>
        <v/>
      </c>
      <c r="C219" s="186" t="str">
        <f t="shared" si="21"/>
        <v/>
      </c>
      <c r="D219" s="181">
        <f t="shared" si="22"/>
        <v>0</v>
      </c>
      <c r="E219" s="216">
        <v>8.8999999999999996E-2</v>
      </c>
      <c r="F219" s="181">
        <f t="shared" si="23"/>
        <v>0</v>
      </c>
      <c r="G219" s="181">
        <f t="shared" si="24"/>
        <v>0</v>
      </c>
      <c r="H219" s="181">
        <f t="shared" si="25"/>
        <v>1.4901161193847656E-6</v>
      </c>
      <c r="I219" s="355"/>
      <c r="J219" s="358"/>
    </row>
    <row r="220" spans="2:10">
      <c r="B220" s="185" t="str">
        <f t="shared" si="20"/>
        <v/>
      </c>
      <c r="C220" s="186" t="str">
        <f t="shared" si="21"/>
        <v/>
      </c>
      <c r="D220" s="181">
        <f t="shared" si="22"/>
        <v>0</v>
      </c>
      <c r="E220" s="216">
        <v>8.8999999999999996E-2</v>
      </c>
      <c r="F220" s="181">
        <f t="shared" si="23"/>
        <v>0</v>
      </c>
      <c r="G220" s="181">
        <f t="shared" si="24"/>
        <v>0</v>
      </c>
      <c r="H220" s="181">
        <f t="shared" si="25"/>
        <v>1.4901161193847656E-6</v>
      </c>
      <c r="I220" s="355"/>
      <c r="J220" s="358"/>
    </row>
    <row r="221" spans="2:10">
      <c r="B221" s="185" t="str">
        <f t="shared" si="20"/>
        <v/>
      </c>
      <c r="C221" s="186" t="str">
        <f t="shared" si="21"/>
        <v/>
      </c>
      <c r="D221" s="181">
        <f t="shared" si="22"/>
        <v>0</v>
      </c>
      <c r="E221" s="216">
        <v>8.8999999999999996E-2</v>
      </c>
      <c r="F221" s="181">
        <f t="shared" si="23"/>
        <v>0</v>
      </c>
      <c r="G221" s="181">
        <f t="shared" si="24"/>
        <v>0</v>
      </c>
      <c r="H221" s="181">
        <f t="shared" si="25"/>
        <v>1.4901161193847656E-6</v>
      </c>
      <c r="I221" s="355"/>
      <c r="J221" s="358"/>
    </row>
    <row r="222" spans="2:10">
      <c r="B222" s="185" t="str">
        <f t="shared" si="20"/>
        <v/>
      </c>
      <c r="C222" s="186" t="str">
        <f t="shared" si="21"/>
        <v/>
      </c>
      <c r="D222" s="181">
        <f t="shared" si="22"/>
        <v>0</v>
      </c>
      <c r="E222" s="216">
        <v>8.8999999999999996E-2</v>
      </c>
      <c r="F222" s="181">
        <f t="shared" si="23"/>
        <v>0</v>
      </c>
      <c r="G222" s="181">
        <f t="shared" si="24"/>
        <v>0</v>
      </c>
      <c r="H222" s="181">
        <f t="shared" si="25"/>
        <v>1.4901161193847656E-6</v>
      </c>
      <c r="I222" s="355"/>
      <c r="J222" s="358"/>
    </row>
    <row r="223" spans="2:10">
      <c r="B223" s="185" t="str">
        <f t="shared" si="20"/>
        <v/>
      </c>
      <c r="C223" s="186" t="str">
        <f t="shared" si="21"/>
        <v/>
      </c>
      <c r="D223" s="181">
        <f t="shared" si="22"/>
        <v>0</v>
      </c>
      <c r="E223" s="216">
        <v>8.8999999999999996E-2</v>
      </c>
      <c r="F223" s="181">
        <f t="shared" si="23"/>
        <v>0</v>
      </c>
      <c r="G223" s="181">
        <f t="shared" si="24"/>
        <v>0</v>
      </c>
      <c r="H223" s="181">
        <f t="shared" si="25"/>
        <v>1.4901161193847656E-6</v>
      </c>
      <c r="I223" s="355"/>
      <c r="J223" s="358"/>
    </row>
    <row r="224" spans="2:10">
      <c r="B224" s="185" t="str">
        <f t="shared" si="20"/>
        <v/>
      </c>
      <c r="C224" s="186" t="str">
        <f t="shared" si="21"/>
        <v/>
      </c>
      <c r="D224" s="181">
        <f t="shared" si="22"/>
        <v>0</v>
      </c>
      <c r="E224" s="216">
        <v>8.8999999999999996E-2</v>
      </c>
      <c r="F224" s="181">
        <f t="shared" si="23"/>
        <v>0</v>
      </c>
      <c r="G224" s="181">
        <f t="shared" si="24"/>
        <v>0</v>
      </c>
      <c r="H224" s="181">
        <f t="shared" si="25"/>
        <v>1.4901161193847656E-6</v>
      </c>
      <c r="I224" s="355"/>
      <c r="J224" s="358"/>
    </row>
    <row r="225" spans="2:10">
      <c r="B225" s="185" t="str">
        <f t="shared" si="20"/>
        <v/>
      </c>
      <c r="C225" s="186" t="str">
        <f t="shared" si="21"/>
        <v/>
      </c>
      <c r="D225" s="181">
        <f t="shared" si="22"/>
        <v>0</v>
      </c>
      <c r="E225" s="216">
        <v>8.8999999999999996E-2</v>
      </c>
      <c r="F225" s="181">
        <f t="shared" si="23"/>
        <v>0</v>
      </c>
      <c r="G225" s="181">
        <f t="shared" si="24"/>
        <v>0</v>
      </c>
      <c r="H225" s="181">
        <f t="shared" si="25"/>
        <v>1.4901161193847656E-6</v>
      </c>
      <c r="I225" s="355"/>
      <c r="J225" s="358"/>
    </row>
    <row r="226" spans="2:10">
      <c r="B226" s="185" t="str">
        <f t="shared" si="20"/>
        <v/>
      </c>
      <c r="C226" s="186" t="str">
        <f t="shared" si="21"/>
        <v/>
      </c>
      <c r="D226" s="181">
        <f t="shared" si="22"/>
        <v>0</v>
      </c>
      <c r="E226" s="216">
        <v>8.8999999999999996E-2</v>
      </c>
      <c r="F226" s="181">
        <f t="shared" si="23"/>
        <v>0</v>
      </c>
      <c r="G226" s="181">
        <f t="shared" si="24"/>
        <v>0</v>
      </c>
      <c r="H226" s="181">
        <f t="shared" si="25"/>
        <v>1.4901161193847656E-6</v>
      </c>
      <c r="I226" s="355"/>
      <c r="J226" s="358"/>
    </row>
    <row r="227" spans="2:10">
      <c r="B227" s="185" t="str">
        <f t="shared" si="20"/>
        <v/>
      </c>
      <c r="C227" s="186" t="str">
        <f t="shared" si="21"/>
        <v/>
      </c>
      <c r="D227" s="181">
        <f t="shared" si="22"/>
        <v>0</v>
      </c>
      <c r="E227" s="216">
        <v>8.8999999999999996E-2</v>
      </c>
      <c r="F227" s="181">
        <f t="shared" si="23"/>
        <v>0</v>
      </c>
      <c r="G227" s="181">
        <f t="shared" si="24"/>
        <v>0</v>
      </c>
      <c r="H227" s="181">
        <f t="shared" si="25"/>
        <v>1.4901161193847656E-6</v>
      </c>
      <c r="I227" s="355"/>
      <c r="J227" s="358"/>
    </row>
    <row r="228" spans="2:10" ht="15" thickBot="1">
      <c r="B228" s="185" t="str">
        <f t="shared" si="20"/>
        <v/>
      </c>
      <c r="C228" s="186" t="str">
        <f t="shared" si="21"/>
        <v/>
      </c>
      <c r="D228" s="181">
        <f t="shared" si="22"/>
        <v>0</v>
      </c>
      <c r="E228" s="216">
        <v>8.8999999999999996E-2</v>
      </c>
      <c r="F228" s="181">
        <f t="shared" si="23"/>
        <v>0</v>
      </c>
      <c r="G228" s="181">
        <f t="shared" si="24"/>
        <v>0</v>
      </c>
      <c r="H228" s="181">
        <f t="shared" si="25"/>
        <v>1.4901161193847656E-6</v>
      </c>
      <c r="I228" s="356"/>
      <c r="J228" s="359"/>
    </row>
    <row r="229" spans="2:10">
      <c r="B229" s="183" t="str">
        <f t="shared" si="20"/>
        <v/>
      </c>
      <c r="C229" s="184" t="str">
        <f t="shared" si="21"/>
        <v/>
      </c>
      <c r="D229" s="180">
        <f t="shared" si="22"/>
        <v>0</v>
      </c>
      <c r="E229" s="215">
        <v>8.8999999999999996E-2</v>
      </c>
      <c r="F229" s="180">
        <f t="shared" si="23"/>
        <v>0</v>
      </c>
      <c r="G229" s="180">
        <f t="shared" si="24"/>
        <v>0</v>
      </c>
      <c r="H229" s="180">
        <f t="shared" si="25"/>
        <v>1.4901161193847656E-6</v>
      </c>
      <c r="I229" s="354">
        <v>19</v>
      </c>
      <c r="J229" s="357">
        <f>SUM(G229:G240)</f>
        <v>0</v>
      </c>
    </row>
    <row r="230" spans="2:10">
      <c r="B230" s="185" t="str">
        <f t="shared" si="20"/>
        <v/>
      </c>
      <c r="C230" s="186" t="str">
        <f t="shared" si="21"/>
        <v/>
      </c>
      <c r="D230" s="181">
        <f t="shared" si="22"/>
        <v>0</v>
      </c>
      <c r="E230" s="216">
        <v>8.8999999999999996E-2</v>
      </c>
      <c r="F230" s="181">
        <f t="shared" si="23"/>
        <v>0</v>
      </c>
      <c r="G230" s="181">
        <f t="shared" si="24"/>
        <v>0</v>
      </c>
      <c r="H230" s="181">
        <f t="shared" si="25"/>
        <v>1.4901161193847656E-6</v>
      </c>
      <c r="I230" s="355"/>
      <c r="J230" s="358"/>
    </row>
    <row r="231" spans="2:10">
      <c r="B231" s="185" t="str">
        <f t="shared" si="20"/>
        <v/>
      </c>
      <c r="C231" s="186" t="str">
        <f t="shared" si="21"/>
        <v/>
      </c>
      <c r="D231" s="181">
        <f t="shared" si="22"/>
        <v>0</v>
      </c>
      <c r="E231" s="216">
        <v>8.8999999999999996E-2</v>
      </c>
      <c r="F231" s="181">
        <f t="shared" si="23"/>
        <v>0</v>
      </c>
      <c r="G231" s="181">
        <f t="shared" si="24"/>
        <v>0</v>
      </c>
      <c r="H231" s="181">
        <f t="shared" si="25"/>
        <v>1.4901161193847656E-6</v>
      </c>
      <c r="I231" s="355"/>
      <c r="J231" s="358"/>
    </row>
    <row r="232" spans="2:10">
      <c r="B232" s="185" t="str">
        <f t="shared" si="20"/>
        <v/>
      </c>
      <c r="C232" s="186" t="str">
        <f t="shared" si="21"/>
        <v/>
      </c>
      <c r="D232" s="181">
        <f t="shared" si="22"/>
        <v>0</v>
      </c>
      <c r="E232" s="216">
        <v>8.8999999999999996E-2</v>
      </c>
      <c r="F232" s="181">
        <f t="shared" si="23"/>
        <v>0</v>
      </c>
      <c r="G232" s="181">
        <f t="shared" si="24"/>
        <v>0</v>
      </c>
      <c r="H232" s="181">
        <f t="shared" si="25"/>
        <v>1.4901161193847656E-6</v>
      </c>
      <c r="I232" s="355"/>
      <c r="J232" s="358"/>
    </row>
    <row r="233" spans="2:10">
      <c r="B233" s="185" t="str">
        <f t="shared" si="20"/>
        <v/>
      </c>
      <c r="C233" s="186" t="str">
        <f t="shared" si="21"/>
        <v/>
      </c>
      <c r="D233" s="181">
        <f t="shared" si="22"/>
        <v>0</v>
      </c>
      <c r="E233" s="216">
        <v>8.8999999999999996E-2</v>
      </c>
      <c r="F233" s="181">
        <f t="shared" si="23"/>
        <v>0</v>
      </c>
      <c r="G233" s="181">
        <f t="shared" si="24"/>
        <v>0</v>
      </c>
      <c r="H233" s="181">
        <f t="shared" si="25"/>
        <v>1.4901161193847656E-6</v>
      </c>
      <c r="I233" s="355"/>
      <c r="J233" s="358"/>
    </row>
    <row r="234" spans="2:10">
      <c r="B234" s="185" t="str">
        <f t="shared" si="20"/>
        <v/>
      </c>
      <c r="C234" s="186" t="str">
        <f t="shared" si="21"/>
        <v/>
      </c>
      <c r="D234" s="181">
        <f t="shared" si="22"/>
        <v>0</v>
      </c>
      <c r="E234" s="216">
        <v>8.8999999999999996E-2</v>
      </c>
      <c r="F234" s="181">
        <f t="shared" si="23"/>
        <v>0</v>
      </c>
      <c r="G234" s="181">
        <f t="shared" si="24"/>
        <v>0</v>
      </c>
      <c r="H234" s="181">
        <f t="shared" si="25"/>
        <v>1.4901161193847656E-6</v>
      </c>
      <c r="I234" s="355"/>
      <c r="J234" s="358"/>
    </row>
    <row r="235" spans="2:10">
      <c r="B235" s="185" t="str">
        <f t="shared" si="20"/>
        <v/>
      </c>
      <c r="C235" s="186" t="str">
        <f t="shared" si="21"/>
        <v/>
      </c>
      <c r="D235" s="181">
        <f t="shared" si="22"/>
        <v>0</v>
      </c>
      <c r="E235" s="216">
        <v>8.8999999999999996E-2</v>
      </c>
      <c r="F235" s="181">
        <f t="shared" si="23"/>
        <v>0</v>
      </c>
      <c r="G235" s="181">
        <f t="shared" si="24"/>
        <v>0</v>
      </c>
      <c r="H235" s="181">
        <f t="shared" si="25"/>
        <v>1.4901161193847656E-6</v>
      </c>
      <c r="I235" s="355"/>
      <c r="J235" s="358"/>
    </row>
    <row r="236" spans="2:10">
      <c r="B236" s="185" t="str">
        <f t="shared" si="20"/>
        <v/>
      </c>
      <c r="C236" s="186" t="str">
        <f t="shared" si="21"/>
        <v/>
      </c>
      <c r="D236" s="181">
        <f t="shared" si="22"/>
        <v>0</v>
      </c>
      <c r="E236" s="216">
        <v>8.8999999999999996E-2</v>
      </c>
      <c r="F236" s="181">
        <f t="shared" si="23"/>
        <v>0</v>
      </c>
      <c r="G236" s="181">
        <f t="shared" si="24"/>
        <v>0</v>
      </c>
      <c r="H236" s="181">
        <f t="shared" si="25"/>
        <v>1.4901161193847656E-6</v>
      </c>
      <c r="I236" s="355"/>
      <c r="J236" s="358"/>
    </row>
    <row r="237" spans="2:10">
      <c r="B237" s="185" t="str">
        <f t="shared" si="20"/>
        <v/>
      </c>
      <c r="C237" s="186" t="str">
        <f t="shared" si="21"/>
        <v/>
      </c>
      <c r="D237" s="181">
        <f t="shared" si="22"/>
        <v>0</v>
      </c>
      <c r="E237" s="216">
        <v>8.8999999999999996E-2</v>
      </c>
      <c r="F237" s="181">
        <f t="shared" si="23"/>
        <v>0</v>
      </c>
      <c r="G237" s="181">
        <f t="shared" si="24"/>
        <v>0</v>
      </c>
      <c r="H237" s="181">
        <f t="shared" si="25"/>
        <v>1.4901161193847656E-6</v>
      </c>
      <c r="I237" s="355"/>
      <c r="J237" s="358"/>
    </row>
    <row r="238" spans="2:10">
      <c r="B238" s="185" t="str">
        <f t="shared" si="20"/>
        <v/>
      </c>
      <c r="C238" s="186" t="str">
        <f t="shared" si="21"/>
        <v/>
      </c>
      <c r="D238" s="181">
        <f t="shared" si="22"/>
        <v>0</v>
      </c>
      <c r="E238" s="216">
        <v>8.8999999999999996E-2</v>
      </c>
      <c r="F238" s="181">
        <f t="shared" si="23"/>
        <v>0</v>
      </c>
      <c r="G238" s="181">
        <f t="shared" si="24"/>
        <v>0</v>
      </c>
      <c r="H238" s="181">
        <f t="shared" si="25"/>
        <v>1.4901161193847656E-6</v>
      </c>
      <c r="I238" s="355"/>
      <c r="J238" s="358"/>
    </row>
    <row r="239" spans="2:10">
      <c r="B239" s="185" t="str">
        <f t="shared" si="20"/>
        <v/>
      </c>
      <c r="C239" s="186" t="str">
        <f t="shared" si="21"/>
        <v/>
      </c>
      <c r="D239" s="181">
        <f t="shared" si="22"/>
        <v>0</v>
      </c>
      <c r="E239" s="216">
        <v>8.8999999999999996E-2</v>
      </c>
      <c r="F239" s="181">
        <f t="shared" si="23"/>
        <v>0</v>
      </c>
      <c r="G239" s="181">
        <f t="shared" si="24"/>
        <v>0</v>
      </c>
      <c r="H239" s="181">
        <f t="shared" si="25"/>
        <v>1.4901161193847656E-6</v>
      </c>
      <c r="I239" s="355"/>
      <c r="J239" s="358"/>
    </row>
    <row r="240" spans="2:10" ht="15" thickBot="1">
      <c r="B240" s="185" t="str">
        <f t="shared" si="20"/>
        <v/>
      </c>
      <c r="C240" s="186" t="str">
        <f t="shared" si="21"/>
        <v/>
      </c>
      <c r="D240" s="181">
        <f t="shared" si="22"/>
        <v>0</v>
      </c>
      <c r="E240" s="216">
        <v>8.8999999999999996E-2</v>
      </c>
      <c r="F240" s="181">
        <f t="shared" si="23"/>
        <v>0</v>
      </c>
      <c r="G240" s="181">
        <f t="shared" si="24"/>
        <v>0</v>
      </c>
      <c r="H240" s="181">
        <f t="shared" si="25"/>
        <v>1.4901161193847656E-6</v>
      </c>
      <c r="I240" s="356"/>
      <c r="J240" s="359"/>
    </row>
    <row r="241" spans="2:10">
      <c r="B241" s="183" t="str">
        <f t="shared" si="20"/>
        <v/>
      </c>
      <c r="C241" s="184" t="str">
        <f t="shared" si="21"/>
        <v/>
      </c>
      <c r="D241" s="180">
        <f t="shared" si="22"/>
        <v>0</v>
      </c>
      <c r="E241" s="215">
        <v>8.8999999999999996E-2</v>
      </c>
      <c r="F241" s="180">
        <f t="shared" si="23"/>
        <v>0</v>
      </c>
      <c r="G241" s="180">
        <f t="shared" si="24"/>
        <v>0</v>
      </c>
      <c r="H241" s="180">
        <f t="shared" si="25"/>
        <v>1.4901161193847656E-6</v>
      </c>
      <c r="I241" s="354">
        <v>20</v>
      </c>
      <c r="J241" s="357">
        <f>SUM(G241:G252)</f>
        <v>0</v>
      </c>
    </row>
    <row r="242" spans="2:10">
      <c r="B242" s="185" t="str">
        <f t="shared" si="20"/>
        <v/>
      </c>
      <c r="C242" s="186" t="str">
        <f t="shared" si="21"/>
        <v/>
      </c>
      <c r="D242" s="181">
        <f t="shared" si="22"/>
        <v>0</v>
      </c>
      <c r="E242" s="216">
        <v>8.8999999999999996E-2</v>
      </c>
      <c r="F242" s="181">
        <f t="shared" si="23"/>
        <v>0</v>
      </c>
      <c r="G242" s="181">
        <f t="shared" si="24"/>
        <v>0</v>
      </c>
      <c r="H242" s="181">
        <f t="shared" si="25"/>
        <v>1.4901161193847656E-6</v>
      </c>
      <c r="I242" s="355"/>
      <c r="J242" s="358"/>
    </row>
    <row r="243" spans="2:10">
      <c r="B243" s="185" t="str">
        <f t="shared" si="20"/>
        <v/>
      </c>
      <c r="C243" s="186" t="str">
        <f t="shared" si="21"/>
        <v/>
      </c>
      <c r="D243" s="181">
        <f t="shared" si="22"/>
        <v>0</v>
      </c>
      <c r="E243" s="216">
        <v>8.8999999999999996E-2</v>
      </c>
      <c r="F243" s="181">
        <f t="shared" si="23"/>
        <v>0</v>
      </c>
      <c r="G243" s="181">
        <f t="shared" si="24"/>
        <v>0</v>
      </c>
      <c r="H243" s="181">
        <f t="shared" si="25"/>
        <v>1.4901161193847656E-6</v>
      </c>
      <c r="I243" s="355"/>
      <c r="J243" s="358"/>
    </row>
    <row r="244" spans="2:10">
      <c r="B244" s="185" t="str">
        <f t="shared" si="20"/>
        <v/>
      </c>
      <c r="C244" s="186" t="str">
        <f t="shared" si="21"/>
        <v/>
      </c>
      <c r="D244" s="181">
        <f t="shared" si="22"/>
        <v>0</v>
      </c>
      <c r="E244" s="216">
        <v>8.8999999999999996E-2</v>
      </c>
      <c r="F244" s="181">
        <f t="shared" si="23"/>
        <v>0</v>
      </c>
      <c r="G244" s="181">
        <f t="shared" si="24"/>
        <v>0</v>
      </c>
      <c r="H244" s="181">
        <f t="shared" si="25"/>
        <v>1.4901161193847656E-6</v>
      </c>
      <c r="I244" s="355"/>
      <c r="J244" s="358"/>
    </row>
    <row r="245" spans="2:10">
      <c r="B245" s="185" t="str">
        <f t="shared" si="20"/>
        <v/>
      </c>
      <c r="C245" s="186" t="str">
        <f t="shared" si="21"/>
        <v/>
      </c>
      <c r="D245" s="181">
        <f t="shared" si="22"/>
        <v>0</v>
      </c>
      <c r="E245" s="216">
        <v>8.8999999999999996E-2</v>
      </c>
      <c r="F245" s="181">
        <f t="shared" si="23"/>
        <v>0</v>
      </c>
      <c r="G245" s="181">
        <f t="shared" si="24"/>
        <v>0</v>
      </c>
      <c r="H245" s="181">
        <f t="shared" si="25"/>
        <v>1.4901161193847656E-6</v>
      </c>
      <c r="I245" s="355"/>
      <c r="J245" s="358"/>
    </row>
    <row r="246" spans="2:10">
      <c r="B246" s="185" t="str">
        <f t="shared" si="20"/>
        <v/>
      </c>
      <c r="C246" s="186" t="str">
        <f t="shared" si="21"/>
        <v/>
      </c>
      <c r="D246" s="181">
        <f t="shared" si="22"/>
        <v>0</v>
      </c>
      <c r="E246" s="216">
        <v>8.8999999999999996E-2</v>
      </c>
      <c r="F246" s="181">
        <f t="shared" si="23"/>
        <v>0</v>
      </c>
      <c r="G246" s="181">
        <f t="shared" si="24"/>
        <v>0</v>
      </c>
      <c r="H246" s="181">
        <f t="shared" si="25"/>
        <v>1.4901161193847656E-6</v>
      </c>
      <c r="I246" s="355"/>
      <c r="J246" s="358"/>
    </row>
    <row r="247" spans="2:10">
      <c r="B247" s="185" t="str">
        <f t="shared" si="20"/>
        <v/>
      </c>
      <c r="C247" s="186" t="str">
        <f t="shared" si="21"/>
        <v/>
      </c>
      <c r="D247" s="181">
        <f t="shared" si="22"/>
        <v>0</v>
      </c>
      <c r="E247" s="216">
        <v>8.8999999999999996E-2</v>
      </c>
      <c r="F247" s="181">
        <f t="shared" si="23"/>
        <v>0</v>
      </c>
      <c r="G247" s="181">
        <f t="shared" si="24"/>
        <v>0</v>
      </c>
      <c r="H247" s="181">
        <f t="shared" si="25"/>
        <v>1.4901161193847656E-6</v>
      </c>
      <c r="I247" s="355"/>
      <c r="J247" s="358"/>
    </row>
    <row r="248" spans="2:10">
      <c r="B248" s="185" t="str">
        <f t="shared" si="20"/>
        <v/>
      </c>
      <c r="C248" s="186" t="str">
        <f t="shared" si="21"/>
        <v/>
      </c>
      <c r="D248" s="181">
        <f t="shared" si="22"/>
        <v>0</v>
      </c>
      <c r="E248" s="216">
        <v>8.8999999999999996E-2</v>
      </c>
      <c r="F248" s="181">
        <f t="shared" si="23"/>
        <v>0</v>
      </c>
      <c r="G248" s="181">
        <f t="shared" si="24"/>
        <v>0</v>
      </c>
      <c r="H248" s="181">
        <f t="shared" si="25"/>
        <v>1.4901161193847656E-6</v>
      </c>
      <c r="I248" s="355"/>
      <c r="J248" s="358"/>
    </row>
    <row r="249" spans="2:10">
      <c r="B249" s="185" t="str">
        <f t="shared" si="20"/>
        <v/>
      </c>
      <c r="C249" s="186" t="str">
        <f t="shared" si="21"/>
        <v/>
      </c>
      <c r="D249" s="181">
        <f t="shared" si="22"/>
        <v>0</v>
      </c>
      <c r="E249" s="216">
        <v>8.8999999999999996E-2</v>
      </c>
      <c r="F249" s="181">
        <f t="shared" si="23"/>
        <v>0</v>
      </c>
      <c r="G249" s="181">
        <f t="shared" si="24"/>
        <v>0</v>
      </c>
      <c r="H249" s="181">
        <f t="shared" si="25"/>
        <v>1.4901161193847656E-6</v>
      </c>
      <c r="I249" s="355"/>
      <c r="J249" s="358"/>
    </row>
    <row r="250" spans="2:10">
      <c r="B250" s="185" t="str">
        <f t="shared" si="20"/>
        <v/>
      </c>
      <c r="C250" s="186" t="str">
        <f t="shared" si="21"/>
        <v/>
      </c>
      <c r="D250" s="181">
        <f t="shared" si="22"/>
        <v>0</v>
      </c>
      <c r="E250" s="216">
        <v>8.8999999999999996E-2</v>
      </c>
      <c r="F250" s="181">
        <f t="shared" si="23"/>
        <v>0</v>
      </c>
      <c r="G250" s="181">
        <f t="shared" si="24"/>
        <v>0</v>
      </c>
      <c r="H250" s="181">
        <f t="shared" si="25"/>
        <v>1.4901161193847656E-6</v>
      </c>
      <c r="I250" s="355"/>
      <c r="J250" s="358"/>
    </row>
    <row r="251" spans="2:10">
      <c r="B251" s="185" t="str">
        <f t="shared" si="20"/>
        <v/>
      </c>
      <c r="C251" s="186" t="str">
        <f t="shared" si="21"/>
        <v/>
      </c>
      <c r="D251" s="181">
        <f t="shared" si="22"/>
        <v>0</v>
      </c>
      <c r="E251" s="216">
        <v>8.8999999999999996E-2</v>
      </c>
      <c r="F251" s="181">
        <f t="shared" si="23"/>
        <v>0</v>
      </c>
      <c r="G251" s="181">
        <f t="shared" si="24"/>
        <v>0</v>
      </c>
      <c r="H251" s="181">
        <f t="shared" si="25"/>
        <v>1.4901161193847656E-6</v>
      </c>
      <c r="I251" s="355"/>
      <c r="J251" s="358"/>
    </row>
    <row r="252" spans="2:10" ht="15" thickBot="1">
      <c r="B252" s="185" t="str">
        <f t="shared" si="20"/>
        <v/>
      </c>
      <c r="C252" s="186" t="str">
        <f t="shared" si="21"/>
        <v/>
      </c>
      <c r="D252" s="181">
        <f t="shared" si="22"/>
        <v>0</v>
      </c>
      <c r="E252" s="216">
        <v>8.8999999999999996E-2</v>
      </c>
      <c r="F252" s="181">
        <f t="shared" si="23"/>
        <v>0</v>
      </c>
      <c r="G252" s="181">
        <f t="shared" si="24"/>
        <v>0</v>
      </c>
      <c r="H252" s="181">
        <f t="shared" si="25"/>
        <v>1.4901161193847656E-6</v>
      </c>
      <c r="I252" s="356"/>
      <c r="J252" s="359"/>
    </row>
    <row r="253" spans="2:10">
      <c r="B253" s="183" t="str">
        <f t="shared" si="20"/>
        <v/>
      </c>
      <c r="C253" s="184" t="str">
        <f t="shared" si="21"/>
        <v/>
      </c>
      <c r="D253" s="180">
        <f t="shared" si="22"/>
        <v>0</v>
      </c>
      <c r="E253" s="215">
        <v>8.8999999999999996E-2</v>
      </c>
      <c r="F253" s="180">
        <f t="shared" si="23"/>
        <v>0</v>
      </c>
      <c r="G253" s="180">
        <f t="shared" si="24"/>
        <v>0</v>
      </c>
      <c r="H253" s="180">
        <f t="shared" si="25"/>
        <v>1.4901161193847656E-6</v>
      </c>
      <c r="I253" s="354">
        <v>21</v>
      </c>
      <c r="J253" s="357">
        <f>SUM(G253:G264)</f>
        <v>0</v>
      </c>
    </row>
    <row r="254" spans="2:10">
      <c r="B254" s="185" t="str">
        <f t="shared" si="20"/>
        <v/>
      </c>
      <c r="C254" s="186" t="str">
        <f t="shared" si="21"/>
        <v/>
      </c>
      <c r="D254" s="181">
        <f t="shared" si="22"/>
        <v>0</v>
      </c>
      <c r="E254" s="216">
        <v>8.8999999999999996E-2</v>
      </c>
      <c r="F254" s="181">
        <f t="shared" si="23"/>
        <v>0</v>
      </c>
      <c r="G254" s="181">
        <f t="shared" si="24"/>
        <v>0</v>
      </c>
      <c r="H254" s="181">
        <f t="shared" si="25"/>
        <v>1.4901161193847656E-6</v>
      </c>
      <c r="I254" s="355"/>
      <c r="J254" s="358"/>
    </row>
    <row r="255" spans="2:10">
      <c r="B255" s="185" t="str">
        <f t="shared" si="20"/>
        <v/>
      </c>
      <c r="C255" s="186" t="str">
        <f t="shared" si="21"/>
        <v/>
      </c>
      <c r="D255" s="181">
        <f t="shared" si="22"/>
        <v>0</v>
      </c>
      <c r="E255" s="216">
        <v>8.8999999999999996E-2</v>
      </c>
      <c r="F255" s="181">
        <f t="shared" si="23"/>
        <v>0</v>
      </c>
      <c r="G255" s="181">
        <f t="shared" si="24"/>
        <v>0</v>
      </c>
      <c r="H255" s="181">
        <f t="shared" si="25"/>
        <v>1.4901161193847656E-6</v>
      </c>
      <c r="I255" s="355"/>
      <c r="J255" s="358"/>
    </row>
    <row r="256" spans="2:10">
      <c r="B256" s="185" t="str">
        <f t="shared" si="20"/>
        <v/>
      </c>
      <c r="C256" s="186" t="str">
        <f t="shared" si="21"/>
        <v/>
      </c>
      <c r="D256" s="181">
        <f t="shared" si="22"/>
        <v>0</v>
      </c>
      <c r="E256" s="216">
        <v>8.8999999999999996E-2</v>
      </c>
      <c r="F256" s="181">
        <f t="shared" si="23"/>
        <v>0</v>
      </c>
      <c r="G256" s="181">
        <f t="shared" si="24"/>
        <v>0</v>
      </c>
      <c r="H256" s="181">
        <f t="shared" si="25"/>
        <v>1.4901161193847656E-6</v>
      </c>
      <c r="I256" s="355"/>
      <c r="J256" s="358"/>
    </row>
    <row r="257" spans="2:10">
      <c r="B257" s="185" t="str">
        <f t="shared" si="20"/>
        <v/>
      </c>
      <c r="C257" s="186" t="str">
        <f t="shared" si="21"/>
        <v/>
      </c>
      <c r="D257" s="181">
        <f t="shared" si="22"/>
        <v>0</v>
      </c>
      <c r="E257" s="216">
        <v>8.8999999999999996E-2</v>
      </c>
      <c r="F257" s="181">
        <f t="shared" si="23"/>
        <v>0</v>
      </c>
      <c r="G257" s="181">
        <f t="shared" si="24"/>
        <v>0</v>
      </c>
      <c r="H257" s="181">
        <f t="shared" si="25"/>
        <v>1.4901161193847656E-6</v>
      </c>
      <c r="I257" s="355"/>
      <c r="J257" s="358"/>
    </row>
    <row r="258" spans="2:10">
      <c r="B258" s="185" t="str">
        <f t="shared" si="20"/>
        <v/>
      </c>
      <c r="C258" s="186" t="str">
        <f t="shared" si="21"/>
        <v/>
      </c>
      <c r="D258" s="181">
        <f t="shared" si="22"/>
        <v>0</v>
      </c>
      <c r="E258" s="216">
        <v>8.8999999999999996E-2</v>
      </c>
      <c r="F258" s="181">
        <f t="shared" si="23"/>
        <v>0</v>
      </c>
      <c r="G258" s="181">
        <f t="shared" si="24"/>
        <v>0</v>
      </c>
      <c r="H258" s="181">
        <f t="shared" si="25"/>
        <v>1.4901161193847656E-6</v>
      </c>
      <c r="I258" s="355"/>
      <c r="J258" s="358"/>
    </row>
    <row r="259" spans="2:10">
      <c r="B259" s="185" t="str">
        <f t="shared" si="20"/>
        <v/>
      </c>
      <c r="C259" s="186" t="str">
        <f t="shared" si="21"/>
        <v/>
      </c>
      <c r="D259" s="181">
        <f t="shared" si="22"/>
        <v>0</v>
      </c>
      <c r="E259" s="216">
        <v>8.8999999999999996E-2</v>
      </c>
      <c r="F259" s="181">
        <f t="shared" si="23"/>
        <v>0</v>
      </c>
      <c r="G259" s="181">
        <f t="shared" si="24"/>
        <v>0</v>
      </c>
      <c r="H259" s="181">
        <f t="shared" si="25"/>
        <v>1.4901161193847656E-6</v>
      </c>
      <c r="I259" s="355"/>
      <c r="J259" s="358"/>
    </row>
    <row r="260" spans="2:10">
      <c r="B260" s="185" t="str">
        <f t="shared" si="20"/>
        <v/>
      </c>
      <c r="C260" s="186" t="str">
        <f t="shared" si="21"/>
        <v/>
      </c>
      <c r="D260" s="181">
        <f t="shared" si="22"/>
        <v>0</v>
      </c>
      <c r="E260" s="216">
        <v>8.8999999999999996E-2</v>
      </c>
      <c r="F260" s="181">
        <f t="shared" si="23"/>
        <v>0</v>
      </c>
      <c r="G260" s="181">
        <f t="shared" si="24"/>
        <v>0</v>
      </c>
      <c r="H260" s="181">
        <f t="shared" si="25"/>
        <v>1.4901161193847656E-6</v>
      </c>
      <c r="I260" s="355"/>
      <c r="J260" s="358"/>
    </row>
    <row r="261" spans="2:10">
      <c r="B261" s="185" t="str">
        <f t="shared" si="20"/>
        <v/>
      </c>
      <c r="C261" s="186" t="str">
        <f t="shared" si="21"/>
        <v/>
      </c>
      <c r="D261" s="181">
        <f t="shared" si="22"/>
        <v>0</v>
      </c>
      <c r="E261" s="216">
        <v>8.8999999999999996E-2</v>
      </c>
      <c r="F261" s="181">
        <f t="shared" si="23"/>
        <v>0</v>
      </c>
      <c r="G261" s="181">
        <f t="shared" si="24"/>
        <v>0</v>
      </c>
      <c r="H261" s="181">
        <f t="shared" si="25"/>
        <v>1.4901161193847656E-6</v>
      </c>
      <c r="I261" s="355"/>
      <c r="J261" s="358"/>
    </row>
    <row r="262" spans="2:10">
      <c r="B262" s="185" t="str">
        <f t="shared" si="20"/>
        <v/>
      </c>
      <c r="C262" s="186" t="str">
        <f t="shared" si="21"/>
        <v/>
      </c>
      <c r="D262" s="181">
        <f t="shared" si="22"/>
        <v>0</v>
      </c>
      <c r="E262" s="216">
        <v>8.8999999999999996E-2</v>
      </c>
      <c r="F262" s="181">
        <f t="shared" si="23"/>
        <v>0</v>
      </c>
      <c r="G262" s="181">
        <f t="shared" si="24"/>
        <v>0</v>
      </c>
      <c r="H262" s="181">
        <f t="shared" si="25"/>
        <v>1.4901161193847656E-6</v>
      </c>
      <c r="I262" s="355"/>
      <c r="J262" s="358"/>
    </row>
    <row r="263" spans="2:10">
      <c r="B263" s="185" t="str">
        <f t="shared" si="20"/>
        <v/>
      </c>
      <c r="C263" s="186" t="str">
        <f t="shared" si="21"/>
        <v/>
      </c>
      <c r="D263" s="181">
        <f t="shared" si="22"/>
        <v>0</v>
      </c>
      <c r="E263" s="216">
        <v>8.8999999999999996E-2</v>
      </c>
      <c r="F263" s="181">
        <f t="shared" si="23"/>
        <v>0</v>
      </c>
      <c r="G263" s="181">
        <f t="shared" si="24"/>
        <v>0</v>
      </c>
      <c r="H263" s="181">
        <f t="shared" si="25"/>
        <v>1.4901161193847656E-6</v>
      </c>
      <c r="I263" s="355"/>
      <c r="J263" s="358"/>
    </row>
    <row r="264" spans="2:10" ht="15" thickBot="1">
      <c r="B264" s="185" t="str">
        <f t="shared" si="20"/>
        <v/>
      </c>
      <c r="C264" s="186" t="str">
        <f t="shared" si="21"/>
        <v/>
      </c>
      <c r="D264" s="181">
        <f t="shared" si="22"/>
        <v>0</v>
      </c>
      <c r="E264" s="216">
        <v>8.8999999999999996E-2</v>
      </c>
      <c r="F264" s="181">
        <f t="shared" si="23"/>
        <v>0</v>
      </c>
      <c r="G264" s="181">
        <f t="shared" si="24"/>
        <v>0</v>
      </c>
      <c r="H264" s="181">
        <f t="shared" si="25"/>
        <v>1.4901161193847656E-6</v>
      </c>
      <c r="I264" s="356"/>
      <c r="J264" s="359"/>
    </row>
    <row r="265" spans="2:10">
      <c r="B265" s="183" t="str">
        <f t="shared" si="20"/>
        <v/>
      </c>
      <c r="C265" s="184" t="str">
        <f t="shared" si="21"/>
        <v/>
      </c>
      <c r="D265" s="180">
        <f t="shared" si="22"/>
        <v>0</v>
      </c>
      <c r="E265" s="215">
        <v>8.8999999999999996E-2</v>
      </c>
      <c r="F265" s="180">
        <f t="shared" si="23"/>
        <v>0</v>
      </c>
      <c r="G265" s="180">
        <f t="shared" si="24"/>
        <v>0</v>
      </c>
      <c r="H265" s="180">
        <f t="shared" si="25"/>
        <v>1.4901161193847656E-6</v>
      </c>
      <c r="I265" s="354">
        <v>22</v>
      </c>
      <c r="J265" s="357">
        <f>SUM(G265:G276)</f>
        <v>0</v>
      </c>
    </row>
    <row r="266" spans="2:10">
      <c r="B266" s="185" t="str">
        <f t="shared" si="20"/>
        <v/>
      </c>
      <c r="C266" s="186" t="str">
        <f t="shared" si="21"/>
        <v/>
      </c>
      <c r="D266" s="181">
        <f t="shared" si="22"/>
        <v>0</v>
      </c>
      <c r="E266" s="216">
        <v>8.8999999999999996E-2</v>
      </c>
      <c r="F266" s="181">
        <f t="shared" si="23"/>
        <v>0</v>
      </c>
      <c r="G266" s="181">
        <f t="shared" si="24"/>
        <v>0</v>
      </c>
      <c r="H266" s="181">
        <f t="shared" si="25"/>
        <v>1.4901161193847656E-6</v>
      </c>
      <c r="I266" s="355"/>
      <c r="J266" s="358"/>
    </row>
    <row r="267" spans="2:10">
      <c r="B267" s="185" t="str">
        <f t="shared" si="20"/>
        <v/>
      </c>
      <c r="C267" s="186" t="str">
        <f t="shared" si="21"/>
        <v/>
      </c>
      <c r="D267" s="181">
        <f t="shared" si="22"/>
        <v>0</v>
      </c>
      <c r="E267" s="216">
        <v>8.8999999999999996E-2</v>
      </c>
      <c r="F267" s="181">
        <f t="shared" si="23"/>
        <v>0</v>
      </c>
      <c r="G267" s="181">
        <f t="shared" si="24"/>
        <v>0</v>
      </c>
      <c r="H267" s="181">
        <f t="shared" si="25"/>
        <v>1.4901161193847656E-6</v>
      </c>
      <c r="I267" s="355"/>
      <c r="J267" s="358"/>
    </row>
    <row r="268" spans="2:10">
      <c r="B268" s="185" t="str">
        <f t="shared" si="20"/>
        <v/>
      </c>
      <c r="C268" s="186" t="str">
        <f t="shared" si="21"/>
        <v/>
      </c>
      <c r="D268" s="181">
        <f t="shared" si="22"/>
        <v>0</v>
      </c>
      <c r="E268" s="216">
        <v>8.8999999999999996E-2</v>
      </c>
      <c r="F268" s="181">
        <f t="shared" si="23"/>
        <v>0</v>
      </c>
      <c r="G268" s="181">
        <f t="shared" si="24"/>
        <v>0</v>
      </c>
      <c r="H268" s="181">
        <f t="shared" si="25"/>
        <v>1.4901161193847656E-6</v>
      </c>
      <c r="I268" s="355"/>
      <c r="J268" s="358"/>
    </row>
    <row r="269" spans="2:10">
      <c r="B269" s="185" t="str">
        <f t="shared" si="20"/>
        <v/>
      </c>
      <c r="C269" s="186" t="str">
        <f t="shared" si="21"/>
        <v/>
      </c>
      <c r="D269" s="181">
        <f t="shared" si="22"/>
        <v>0</v>
      </c>
      <c r="E269" s="216">
        <v>8.8999999999999996E-2</v>
      </c>
      <c r="F269" s="181">
        <f t="shared" si="23"/>
        <v>0</v>
      </c>
      <c r="G269" s="181">
        <f t="shared" si="24"/>
        <v>0</v>
      </c>
      <c r="H269" s="181">
        <f t="shared" si="25"/>
        <v>1.4901161193847656E-6</v>
      </c>
      <c r="I269" s="355"/>
      <c r="J269" s="358"/>
    </row>
    <row r="270" spans="2:10">
      <c r="B270" s="185" t="str">
        <f t="shared" si="20"/>
        <v/>
      </c>
      <c r="C270" s="186" t="str">
        <f t="shared" si="21"/>
        <v/>
      </c>
      <c r="D270" s="181">
        <f t="shared" si="22"/>
        <v>0</v>
      </c>
      <c r="E270" s="216">
        <v>8.8999999999999996E-2</v>
      </c>
      <c r="F270" s="181">
        <f t="shared" si="23"/>
        <v>0</v>
      </c>
      <c r="G270" s="181">
        <f t="shared" si="24"/>
        <v>0</v>
      </c>
      <c r="H270" s="181">
        <f t="shared" si="25"/>
        <v>1.4901161193847656E-6</v>
      </c>
      <c r="I270" s="355"/>
      <c r="J270" s="358"/>
    </row>
    <row r="271" spans="2:10">
      <c r="B271" s="185" t="str">
        <f t="shared" ref="B271:B334" si="26">IF(B270&lt;$D$7,B270+1,"")</f>
        <v/>
      </c>
      <c r="C271" s="186" t="str">
        <f t="shared" ref="C271:C334" si="27">IF(B271&lt;&gt;"",EDATE(C270,1),"")</f>
        <v/>
      </c>
      <c r="D271" s="181">
        <f t="shared" ref="D271:D334" si="28">IFERROR(IF(B271&lt;=$D$7,H270*E271/12,0),0)</f>
        <v>0</v>
      </c>
      <c r="E271" s="216">
        <v>8.8999999999999996E-2</v>
      </c>
      <c r="F271" s="181">
        <f t="shared" ref="F271:F334" si="29">IFERROR(IF(B271&lt;=$D$7,$D$6/$D$7,0),0)</f>
        <v>0</v>
      </c>
      <c r="G271" s="181">
        <f t="shared" ref="G271:G334" si="30">D271+F271</f>
        <v>0</v>
      </c>
      <c r="H271" s="181">
        <f t="shared" ref="H271:H334" si="31">H270-F271</f>
        <v>1.4901161193847656E-6</v>
      </c>
      <c r="I271" s="355"/>
      <c r="J271" s="358"/>
    </row>
    <row r="272" spans="2:10">
      <c r="B272" s="185" t="str">
        <f t="shared" si="26"/>
        <v/>
      </c>
      <c r="C272" s="186" t="str">
        <f t="shared" si="27"/>
        <v/>
      </c>
      <c r="D272" s="181">
        <f t="shared" si="28"/>
        <v>0</v>
      </c>
      <c r="E272" s="216">
        <v>8.8999999999999996E-2</v>
      </c>
      <c r="F272" s="181">
        <f t="shared" si="29"/>
        <v>0</v>
      </c>
      <c r="G272" s="181">
        <f t="shared" si="30"/>
        <v>0</v>
      </c>
      <c r="H272" s="181">
        <f t="shared" si="31"/>
        <v>1.4901161193847656E-6</v>
      </c>
      <c r="I272" s="355"/>
      <c r="J272" s="358"/>
    </row>
    <row r="273" spans="2:10">
      <c r="B273" s="185" t="str">
        <f t="shared" si="26"/>
        <v/>
      </c>
      <c r="C273" s="186" t="str">
        <f t="shared" si="27"/>
        <v/>
      </c>
      <c r="D273" s="181">
        <f t="shared" si="28"/>
        <v>0</v>
      </c>
      <c r="E273" s="216">
        <v>8.8999999999999996E-2</v>
      </c>
      <c r="F273" s="181">
        <f t="shared" si="29"/>
        <v>0</v>
      </c>
      <c r="G273" s="181">
        <f t="shared" si="30"/>
        <v>0</v>
      </c>
      <c r="H273" s="181">
        <f t="shared" si="31"/>
        <v>1.4901161193847656E-6</v>
      </c>
      <c r="I273" s="355"/>
      <c r="J273" s="358"/>
    </row>
    <row r="274" spans="2:10">
      <c r="B274" s="185" t="str">
        <f t="shared" si="26"/>
        <v/>
      </c>
      <c r="C274" s="186" t="str">
        <f t="shared" si="27"/>
        <v/>
      </c>
      <c r="D274" s="181">
        <f t="shared" si="28"/>
        <v>0</v>
      </c>
      <c r="E274" s="216">
        <v>8.8999999999999996E-2</v>
      </c>
      <c r="F274" s="181">
        <f t="shared" si="29"/>
        <v>0</v>
      </c>
      <c r="G274" s="181">
        <f t="shared" si="30"/>
        <v>0</v>
      </c>
      <c r="H274" s="181">
        <f t="shared" si="31"/>
        <v>1.4901161193847656E-6</v>
      </c>
      <c r="I274" s="355"/>
      <c r="J274" s="358"/>
    </row>
    <row r="275" spans="2:10">
      <c r="B275" s="185" t="str">
        <f t="shared" si="26"/>
        <v/>
      </c>
      <c r="C275" s="186" t="str">
        <f t="shared" si="27"/>
        <v/>
      </c>
      <c r="D275" s="181">
        <f t="shared" si="28"/>
        <v>0</v>
      </c>
      <c r="E275" s="216">
        <v>8.8999999999999996E-2</v>
      </c>
      <c r="F275" s="181">
        <f t="shared" si="29"/>
        <v>0</v>
      </c>
      <c r="G275" s="181">
        <f t="shared" si="30"/>
        <v>0</v>
      </c>
      <c r="H275" s="181">
        <f t="shared" si="31"/>
        <v>1.4901161193847656E-6</v>
      </c>
      <c r="I275" s="355"/>
      <c r="J275" s="358"/>
    </row>
    <row r="276" spans="2:10" ht="15" thickBot="1">
      <c r="B276" s="185" t="str">
        <f t="shared" si="26"/>
        <v/>
      </c>
      <c r="C276" s="186" t="str">
        <f t="shared" si="27"/>
        <v/>
      </c>
      <c r="D276" s="181">
        <f t="shared" si="28"/>
        <v>0</v>
      </c>
      <c r="E276" s="216">
        <v>8.8999999999999996E-2</v>
      </c>
      <c r="F276" s="181">
        <f t="shared" si="29"/>
        <v>0</v>
      </c>
      <c r="G276" s="181">
        <f t="shared" si="30"/>
        <v>0</v>
      </c>
      <c r="H276" s="181">
        <f t="shared" si="31"/>
        <v>1.4901161193847656E-6</v>
      </c>
      <c r="I276" s="356"/>
      <c r="J276" s="359"/>
    </row>
    <row r="277" spans="2:10">
      <c r="B277" s="183" t="str">
        <f t="shared" si="26"/>
        <v/>
      </c>
      <c r="C277" s="184" t="str">
        <f t="shared" si="27"/>
        <v/>
      </c>
      <c r="D277" s="180">
        <f t="shared" si="28"/>
        <v>0</v>
      </c>
      <c r="E277" s="215">
        <v>8.8999999999999996E-2</v>
      </c>
      <c r="F277" s="180">
        <f t="shared" si="29"/>
        <v>0</v>
      </c>
      <c r="G277" s="180">
        <f t="shared" si="30"/>
        <v>0</v>
      </c>
      <c r="H277" s="180">
        <f t="shared" si="31"/>
        <v>1.4901161193847656E-6</v>
      </c>
      <c r="I277" s="354">
        <v>23</v>
      </c>
      <c r="J277" s="357">
        <f>SUM(G277:G288)</f>
        <v>0</v>
      </c>
    </row>
    <row r="278" spans="2:10">
      <c r="B278" s="185" t="str">
        <f t="shared" si="26"/>
        <v/>
      </c>
      <c r="C278" s="186" t="str">
        <f t="shared" si="27"/>
        <v/>
      </c>
      <c r="D278" s="181">
        <f t="shared" si="28"/>
        <v>0</v>
      </c>
      <c r="E278" s="216">
        <v>8.8999999999999996E-2</v>
      </c>
      <c r="F278" s="181">
        <f t="shared" si="29"/>
        <v>0</v>
      </c>
      <c r="G278" s="181">
        <f t="shared" si="30"/>
        <v>0</v>
      </c>
      <c r="H278" s="181">
        <f t="shared" si="31"/>
        <v>1.4901161193847656E-6</v>
      </c>
      <c r="I278" s="355"/>
      <c r="J278" s="358"/>
    </row>
    <row r="279" spans="2:10">
      <c r="B279" s="185" t="str">
        <f t="shared" si="26"/>
        <v/>
      </c>
      <c r="C279" s="186" t="str">
        <f t="shared" si="27"/>
        <v/>
      </c>
      <c r="D279" s="181">
        <f t="shared" si="28"/>
        <v>0</v>
      </c>
      <c r="E279" s="216">
        <v>8.8999999999999996E-2</v>
      </c>
      <c r="F279" s="181">
        <f t="shared" si="29"/>
        <v>0</v>
      </c>
      <c r="G279" s="181">
        <f t="shared" si="30"/>
        <v>0</v>
      </c>
      <c r="H279" s="181">
        <f t="shared" si="31"/>
        <v>1.4901161193847656E-6</v>
      </c>
      <c r="I279" s="355"/>
      <c r="J279" s="358"/>
    </row>
    <row r="280" spans="2:10">
      <c r="B280" s="185" t="str">
        <f t="shared" si="26"/>
        <v/>
      </c>
      <c r="C280" s="186" t="str">
        <f t="shared" si="27"/>
        <v/>
      </c>
      <c r="D280" s="181">
        <f t="shared" si="28"/>
        <v>0</v>
      </c>
      <c r="E280" s="216">
        <v>8.8999999999999996E-2</v>
      </c>
      <c r="F280" s="181">
        <f t="shared" si="29"/>
        <v>0</v>
      </c>
      <c r="G280" s="181">
        <f t="shared" si="30"/>
        <v>0</v>
      </c>
      <c r="H280" s="181">
        <f t="shared" si="31"/>
        <v>1.4901161193847656E-6</v>
      </c>
      <c r="I280" s="355"/>
      <c r="J280" s="358"/>
    </row>
    <row r="281" spans="2:10">
      <c r="B281" s="185" t="str">
        <f t="shared" si="26"/>
        <v/>
      </c>
      <c r="C281" s="186" t="str">
        <f t="shared" si="27"/>
        <v/>
      </c>
      <c r="D281" s="181">
        <f t="shared" si="28"/>
        <v>0</v>
      </c>
      <c r="E281" s="216">
        <v>8.8999999999999996E-2</v>
      </c>
      <c r="F281" s="181">
        <f t="shared" si="29"/>
        <v>0</v>
      </c>
      <c r="G281" s="181">
        <f t="shared" si="30"/>
        <v>0</v>
      </c>
      <c r="H281" s="181">
        <f t="shared" si="31"/>
        <v>1.4901161193847656E-6</v>
      </c>
      <c r="I281" s="355"/>
      <c r="J281" s="358"/>
    </row>
    <row r="282" spans="2:10">
      <c r="B282" s="185" t="str">
        <f t="shared" si="26"/>
        <v/>
      </c>
      <c r="C282" s="186" t="str">
        <f t="shared" si="27"/>
        <v/>
      </c>
      <c r="D282" s="181">
        <f t="shared" si="28"/>
        <v>0</v>
      </c>
      <c r="E282" s="216">
        <v>8.8999999999999996E-2</v>
      </c>
      <c r="F282" s="181">
        <f t="shared" si="29"/>
        <v>0</v>
      </c>
      <c r="G282" s="181">
        <f t="shared" si="30"/>
        <v>0</v>
      </c>
      <c r="H282" s="181">
        <f t="shared" si="31"/>
        <v>1.4901161193847656E-6</v>
      </c>
      <c r="I282" s="355"/>
      <c r="J282" s="358"/>
    </row>
    <row r="283" spans="2:10">
      <c r="B283" s="185" t="str">
        <f t="shared" si="26"/>
        <v/>
      </c>
      <c r="C283" s="186" t="str">
        <f t="shared" si="27"/>
        <v/>
      </c>
      <c r="D283" s="181">
        <f t="shared" si="28"/>
        <v>0</v>
      </c>
      <c r="E283" s="216">
        <v>8.8999999999999996E-2</v>
      </c>
      <c r="F283" s="181">
        <f t="shared" si="29"/>
        <v>0</v>
      </c>
      <c r="G283" s="181">
        <f t="shared" si="30"/>
        <v>0</v>
      </c>
      <c r="H283" s="181">
        <f t="shared" si="31"/>
        <v>1.4901161193847656E-6</v>
      </c>
      <c r="I283" s="355"/>
      <c r="J283" s="358"/>
    </row>
    <row r="284" spans="2:10">
      <c r="B284" s="185" t="str">
        <f t="shared" si="26"/>
        <v/>
      </c>
      <c r="C284" s="186" t="str">
        <f t="shared" si="27"/>
        <v/>
      </c>
      <c r="D284" s="181">
        <f t="shared" si="28"/>
        <v>0</v>
      </c>
      <c r="E284" s="216">
        <v>8.8999999999999996E-2</v>
      </c>
      <c r="F284" s="181">
        <f t="shared" si="29"/>
        <v>0</v>
      </c>
      <c r="G284" s="181">
        <f t="shared" si="30"/>
        <v>0</v>
      </c>
      <c r="H284" s="181">
        <f t="shared" si="31"/>
        <v>1.4901161193847656E-6</v>
      </c>
      <c r="I284" s="355"/>
      <c r="J284" s="358"/>
    </row>
    <row r="285" spans="2:10">
      <c r="B285" s="185" t="str">
        <f t="shared" si="26"/>
        <v/>
      </c>
      <c r="C285" s="186" t="str">
        <f t="shared" si="27"/>
        <v/>
      </c>
      <c r="D285" s="181">
        <f t="shared" si="28"/>
        <v>0</v>
      </c>
      <c r="E285" s="216">
        <v>8.8999999999999996E-2</v>
      </c>
      <c r="F285" s="181">
        <f t="shared" si="29"/>
        <v>0</v>
      </c>
      <c r="G285" s="181">
        <f t="shared" si="30"/>
        <v>0</v>
      </c>
      <c r="H285" s="181">
        <f t="shared" si="31"/>
        <v>1.4901161193847656E-6</v>
      </c>
      <c r="I285" s="355"/>
      <c r="J285" s="358"/>
    </row>
    <row r="286" spans="2:10">
      <c r="B286" s="185" t="str">
        <f t="shared" si="26"/>
        <v/>
      </c>
      <c r="C286" s="186" t="str">
        <f t="shared" si="27"/>
        <v/>
      </c>
      <c r="D286" s="181">
        <f t="shared" si="28"/>
        <v>0</v>
      </c>
      <c r="E286" s="216">
        <v>8.8999999999999996E-2</v>
      </c>
      <c r="F286" s="181">
        <f t="shared" si="29"/>
        <v>0</v>
      </c>
      <c r="G286" s="181">
        <f t="shared" si="30"/>
        <v>0</v>
      </c>
      <c r="H286" s="181">
        <f t="shared" si="31"/>
        <v>1.4901161193847656E-6</v>
      </c>
      <c r="I286" s="355"/>
      <c r="J286" s="358"/>
    </row>
    <row r="287" spans="2:10">
      <c r="B287" s="185" t="str">
        <f t="shared" si="26"/>
        <v/>
      </c>
      <c r="C287" s="186" t="str">
        <f t="shared" si="27"/>
        <v/>
      </c>
      <c r="D287" s="181">
        <f t="shared" si="28"/>
        <v>0</v>
      </c>
      <c r="E287" s="216">
        <v>8.8999999999999996E-2</v>
      </c>
      <c r="F287" s="181">
        <f t="shared" si="29"/>
        <v>0</v>
      </c>
      <c r="G287" s="181">
        <f t="shared" si="30"/>
        <v>0</v>
      </c>
      <c r="H287" s="181">
        <f t="shared" si="31"/>
        <v>1.4901161193847656E-6</v>
      </c>
      <c r="I287" s="355"/>
      <c r="J287" s="358"/>
    </row>
    <row r="288" spans="2:10" ht="15" thickBot="1">
      <c r="B288" s="185" t="str">
        <f t="shared" si="26"/>
        <v/>
      </c>
      <c r="C288" s="186" t="str">
        <f t="shared" si="27"/>
        <v/>
      </c>
      <c r="D288" s="181">
        <f t="shared" si="28"/>
        <v>0</v>
      </c>
      <c r="E288" s="216">
        <v>8.8999999999999996E-2</v>
      </c>
      <c r="F288" s="181">
        <f t="shared" si="29"/>
        <v>0</v>
      </c>
      <c r="G288" s="181">
        <f t="shared" si="30"/>
        <v>0</v>
      </c>
      <c r="H288" s="181">
        <f t="shared" si="31"/>
        <v>1.4901161193847656E-6</v>
      </c>
      <c r="I288" s="356"/>
      <c r="J288" s="359"/>
    </row>
    <row r="289" spans="2:10">
      <c r="B289" s="183" t="str">
        <f t="shared" si="26"/>
        <v/>
      </c>
      <c r="C289" s="184" t="str">
        <f t="shared" si="27"/>
        <v/>
      </c>
      <c r="D289" s="180">
        <f t="shared" si="28"/>
        <v>0</v>
      </c>
      <c r="E289" s="215">
        <v>8.8999999999999996E-2</v>
      </c>
      <c r="F289" s="180">
        <f t="shared" si="29"/>
        <v>0</v>
      </c>
      <c r="G289" s="180">
        <f t="shared" si="30"/>
        <v>0</v>
      </c>
      <c r="H289" s="180">
        <f t="shared" si="31"/>
        <v>1.4901161193847656E-6</v>
      </c>
      <c r="I289" s="354">
        <v>24</v>
      </c>
      <c r="J289" s="357">
        <f>SUM(G289:G300)</f>
        <v>0</v>
      </c>
    </row>
    <row r="290" spans="2:10">
      <c r="B290" s="185" t="str">
        <f t="shared" si="26"/>
        <v/>
      </c>
      <c r="C290" s="186" t="str">
        <f t="shared" si="27"/>
        <v/>
      </c>
      <c r="D290" s="181">
        <f t="shared" si="28"/>
        <v>0</v>
      </c>
      <c r="E290" s="216">
        <v>8.8999999999999996E-2</v>
      </c>
      <c r="F290" s="181">
        <f t="shared" si="29"/>
        <v>0</v>
      </c>
      <c r="G290" s="181">
        <f t="shared" si="30"/>
        <v>0</v>
      </c>
      <c r="H290" s="181">
        <f t="shared" si="31"/>
        <v>1.4901161193847656E-6</v>
      </c>
      <c r="I290" s="355"/>
      <c r="J290" s="358"/>
    </row>
    <row r="291" spans="2:10">
      <c r="B291" s="185" t="str">
        <f t="shared" si="26"/>
        <v/>
      </c>
      <c r="C291" s="186" t="str">
        <f t="shared" si="27"/>
        <v/>
      </c>
      <c r="D291" s="181">
        <f t="shared" si="28"/>
        <v>0</v>
      </c>
      <c r="E291" s="216">
        <v>8.8999999999999996E-2</v>
      </c>
      <c r="F291" s="181">
        <f t="shared" si="29"/>
        <v>0</v>
      </c>
      <c r="G291" s="181">
        <f t="shared" si="30"/>
        <v>0</v>
      </c>
      <c r="H291" s="181">
        <f t="shared" si="31"/>
        <v>1.4901161193847656E-6</v>
      </c>
      <c r="I291" s="355"/>
      <c r="J291" s="358"/>
    </row>
    <row r="292" spans="2:10">
      <c r="B292" s="185" t="str">
        <f t="shared" si="26"/>
        <v/>
      </c>
      <c r="C292" s="186" t="str">
        <f t="shared" si="27"/>
        <v/>
      </c>
      <c r="D292" s="181">
        <f t="shared" si="28"/>
        <v>0</v>
      </c>
      <c r="E292" s="216">
        <v>8.8999999999999996E-2</v>
      </c>
      <c r="F292" s="181">
        <f t="shared" si="29"/>
        <v>0</v>
      </c>
      <c r="G292" s="181">
        <f t="shared" si="30"/>
        <v>0</v>
      </c>
      <c r="H292" s="181">
        <f t="shared" si="31"/>
        <v>1.4901161193847656E-6</v>
      </c>
      <c r="I292" s="355"/>
      <c r="J292" s="358"/>
    </row>
    <row r="293" spans="2:10">
      <c r="B293" s="185" t="str">
        <f t="shared" si="26"/>
        <v/>
      </c>
      <c r="C293" s="186" t="str">
        <f t="shared" si="27"/>
        <v/>
      </c>
      <c r="D293" s="181">
        <f t="shared" si="28"/>
        <v>0</v>
      </c>
      <c r="E293" s="216">
        <v>8.8999999999999996E-2</v>
      </c>
      <c r="F293" s="181">
        <f t="shared" si="29"/>
        <v>0</v>
      </c>
      <c r="G293" s="181">
        <f t="shared" si="30"/>
        <v>0</v>
      </c>
      <c r="H293" s="181">
        <f t="shared" si="31"/>
        <v>1.4901161193847656E-6</v>
      </c>
      <c r="I293" s="355"/>
      <c r="J293" s="358"/>
    </row>
    <row r="294" spans="2:10">
      <c r="B294" s="185" t="str">
        <f t="shared" si="26"/>
        <v/>
      </c>
      <c r="C294" s="186" t="str">
        <f t="shared" si="27"/>
        <v/>
      </c>
      <c r="D294" s="181">
        <f t="shared" si="28"/>
        <v>0</v>
      </c>
      <c r="E294" s="216">
        <v>8.8999999999999996E-2</v>
      </c>
      <c r="F294" s="181">
        <f t="shared" si="29"/>
        <v>0</v>
      </c>
      <c r="G294" s="181">
        <f t="shared" si="30"/>
        <v>0</v>
      </c>
      <c r="H294" s="181">
        <f t="shared" si="31"/>
        <v>1.4901161193847656E-6</v>
      </c>
      <c r="I294" s="355"/>
      <c r="J294" s="358"/>
    </row>
    <row r="295" spans="2:10">
      <c r="B295" s="185" t="str">
        <f t="shared" si="26"/>
        <v/>
      </c>
      <c r="C295" s="186" t="str">
        <f t="shared" si="27"/>
        <v/>
      </c>
      <c r="D295" s="181">
        <f t="shared" si="28"/>
        <v>0</v>
      </c>
      <c r="E295" s="216">
        <v>8.8999999999999996E-2</v>
      </c>
      <c r="F295" s="181">
        <f t="shared" si="29"/>
        <v>0</v>
      </c>
      <c r="G295" s="181">
        <f t="shared" si="30"/>
        <v>0</v>
      </c>
      <c r="H295" s="181">
        <f t="shared" si="31"/>
        <v>1.4901161193847656E-6</v>
      </c>
      <c r="I295" s="355"/>
      <c r="J295" s="358"/>
    </row>
    <row r="296" spans="2:10">
      <c r="B296" s="185" t="str">
        <f t="shared" si="26"/>
        <v/>
      </c>
      <c r="C296" s="186" t="str">
        <f t="shared" si="27"/>
        <v/>
      </c>
      <c r="D296" s="181">
        <f t="shared" si="28"/>
        <v>0</v>
      </c>
      <c r="E296" s="216">
        <v>8.8999999999999996E-2</v>
      </c>
      <c r="F296" s="181">
        <f t="shared" si="29"/>
        <v>0</v>
      </c>
      <c r="G296" s="181">
        <f t="shared" si="30"/>
        <v>0</v>
      </c>
      <c r="H296" s="181">
        <f t="shared" si="31"/>
        <v>1.4901161193847656E-6</v>
      </c>
      <c r="I296" s="355"/>
      <c r="J296" s="358"/>
    </row>
    <row r="297" spans="2:10">
      <c r="B297" s="185" t="str">
        <f t="shared" si="26"/>
        <v/>
      </c>
      <c r="C297" s="186" t="str">
        <f t="shared" si="27"/>
        <v/>
      </c>
      <c r="D297" s="181">
        <f t="shared" si="28"/>
        <v>0</v>
      </c>
      <c r="E297" s="216">
        <v>8.8999999999999996E-2</v>
      </c>
      <c r="F297" s="181">
        <f t="shared" si="29"/>
        <v>0</v>
      </c>
      <c r="G297" s="181">
        <f t="shared" si="30"/>
        <v>0</v>
      </c>
      <c r="H297" s="181">
        <f t="shared" si="31"/>
        <v>1.4901161193847656E-6</v>
      </c>
      <c r="I297" s="355"/>
      <c r="J297" s="358"/>
    </row>
    <row r="298" spans="2:10">
      <c r="B298" s="185" t="str">
        <f t="shared" si="26"/>
        <v/>
      </c>
      <c r="C298" s="186" t="str">
        <f t="shared" si="27"/>
        <v/>
      </c>
      <c r="D298" s="181">
        <f t="shared" si="28"/>
        <v>0</v>
      </c>
      <c r="E298" s="216">
        <v>8.8999999999999996E-2</v>
      </c>
      <c r="F298" s="181">
        <f t="shared" si="29"/>
        <v>0</v>
      </c>
      <c r="G298" s="181">
        <f t="shared" si="30"/>
        <v>0</v>
      </c>
      <c r="H298" s="181">
        <f t="shared" si="31"/>
        <v>1.4901161193847656E-6</v>
      </c>
      <c r="I298" s="355"/>
      <c r="J298" s="358"/>
    </row>
    <row r="299" spans="2:10">
      <c r="B299" s="185" t="str">
        <f t="shared" si="26"/>
        <v/>
      </c>
      <c r="C299" s="186" t="str">
        <f t="shared" si="27"/>
        <v/>
      </c>
      <c r="D299" s="181">
        <f t="shared" si="28"/>
        <v>0</v>
      </c>
      <c r="E299" s="216">
        <v>8.8999999999999996E-2</v>
      </c>
      <c r="F299" s="181">
        <f t="shared" si="29"/>
        <v>0</v>
      </c>
      <c r="G299" s="181">
        <f t="shared" si="30"/>
        <v>0</v>
      </c>
      <c r="H299" s="181">
        <f t="shared" si="31"/>
        <v>1.4901161193847656E-6</v>
      </c>
      <c r="I299" s="355"/>
      <c r="J299" s="358"/>
    </row>
    <row r="300" spans="2:10" ht="15" thickBot="1">
      <c r="B300" s="185" t="str">
        <f t="shared" si="26"/>
        <v/>
      </c>
      <c r="C300" s="186" t="str">
        <f t="shared" si="27"/>
        <v/>
      </c>
      <c r="D300" s="181">
        <f t="shared" si="28"/>
        <v>0</v>
      </c>
      <c r="E300" s="216">
        <v>8.8999999999999996E-2</v>
      </c>
      <c r="F300" s="181">
        <f t="shared" si="29"/>
        <v>0</v>
      </c>
      <c r="G300" s="181">
        <f t="shared" si="30"/>
        <v>0</v>
      </c>
      <c r="H300" s="181">
        <f t="shared" si="31"/>
        <v>1.4901161193847656E-6</v>
      </c>
      <c r="I300" s="356"/>
      <c r="J300" s="359"/>
    </row>
    <row r="301" spans="2:10">
      <c r="B301" s="183" t="str">
        <f t="shared" si="26"/>
        <v/>
      </c>
      <c r="C301" s="184" t="str">
        <f t="shared" si="27"/>
        <v/>
      </c>
      <c r="D301" s="180">
        <f t="shared" si="28"/>
        <v>0</v>
      </c>
      <c r="E301" s="215">
        <v>8.8999999999999996E-2</v>
      </c>
      <c r="F301" s="180">
        <f t="shared" si="29"/>
        <v>0</v>
      </c>
      <c r="G301" s="180">
        <f t="shared" si="30"/>
        <v>0</v>
      </c>
      <c r="H301" s="180">
        <f t="shared" si="31"/>
        <v>1.4901161193847656E-6</v>
      </c>
      <c r="I301" s="354">
        <v>25</v>
      </c>
      <c r="J301" s="357">
        <f>SUM(G301:G312)</f>
        <v>0</v>
      </c>
    </row>
    <row r="302" spans="2:10">
      <c r="B302" s="185" t="str">
        <f t="shared" si="26"/>
        <v/>
      </c>
      <c r="C302" s="186" t="str">
        <f t="shared" si="27"/>
        <v/>
      </c>
      <c r="D302" s="181">
        <f t="shared" si="28"/>
        <v>0</v>
      </c>
      <c r="E302" s="216">
        <v>8.8999999999999996E-2</v>
      </c>
      <c r="F302" s="181">
        <f t="shared" si="29"/>
        <v>0</v>
      </c>
      <c r="G302" s="181">
        <f t="shared" si="30"/>
        <v>0</v>
      </c>
      <c r="H302" s="181">
        <f t="shared" si="31"/>
        <v>1.4901161193847656E-6</v>
      </c>
      <c r="I302" s="355"/>
      <c r="J302" s="358"/>
    </row>
    <row r="303" spans="2:10">
      <c r="B303" s="185" t="str">
        <f t="shared" si="26"/>
        <v/>
      </c>
      <c r="C303" s="186" t="str">
        <f t="shared" si="27"/>
        <v/>
      </c>
      <c r="D303" s="181">
        <f t="shared" si="28"/>
        <v>0</v>
      </c>
      <c r="E303" s="216">
        <v>8.8999999999999996E-2</v>
      </c>
      <c r="F303" s="181">
        <f t="shared" si="29"/>
        <v>0</v>
      </c>
      <c r="G303" s="181">
        <f t="shared" si="30"/>
        <v>0</v>
      </c>
      <c r="H303" s="181">
        <f t="shared" si="31"/>
        <v>1.4901161193847656E-6</v>
      </c>
      <c r="I303" s="355"/>
      <c r="J303" s="358"/>
    </row>
    <row r="304" spans="2:10">
      <c r="B304" s="185" t="str">
        <f t="shared" si="26"/>
        <v/>
      </c>
      <c r="C304" s="186" t="str">
        <f t="shared" si="27"/>
        <v/>
      </c>
      <c r="D304" s="181">
        <f t="shared" si="28"/>
        <v>0</v>
      </c>
      <c r="E304" s="216">
        <v>8.8999999999999996E-2</v>
      </c>
      <c r="F304" s="181">
        <f t="shared" si="29"/>
        <v>0</v>
      </c>
      <c r="G304" s="181">
        <f t="shared" si="30"/>
        <v>0</v>
      </c>
      <c r="H304" s="181">
        <f t="shared" si="31"/>
        <v>1.4901161193847656E-6</v>
      </c>
      <c r="I304" s="355"/>
      <c r="J304" s="358"/>
    </row>
    <row r="305" spans="2:10">
      <c r="B305" s="185" t="str">
        <f t="shared" si="26"/>
        <v/>
      </c>
      <c r="C305" s="186" t="str">
        <f t="shared" si="27"/>
        <v/>
      </c>
      <c r="D305" s="181">
        <f t="shared" si="28"/>
        <v>0</v>
      </c>
      <c r="E305" s="216">
        <v>8.8999999999999996E-2</v>
      </c>
      <c r="F305" s="181">
        <f t="shared" si="29"/>
        <v>0</v>
      </c>
      <c r="G305" s="181">
        <f t="shared" si="30"/>
        <v>0</v>
      </c>
      <c r="H305" s="181">
        <f t="shared" si="31"/>
        <v>1.4901161193847656E-6</v>
      </c>
      <c r="I305" s="355"/>
      <c r="J305" s="358"/>
    </row>
    <row r="306" spans="2:10">
      <c r="B306" s="185" t="str">
        <f t="shared" si="26"/>
        <v/>
      </c>
      <c r="C306" s="186" t="str">
        <f t="shared" si="27"/>
        <v/>
      </c>
      <c r="D306" s="181">
        <f t="shared" si="28"/>
        <v>0</v>
      </c>
      <c r="E306" s="216">
        <v>8.8999999999999996E-2</v>
      </c>
      <c r="F306" s="181">
        <f t="shared" si="29"/>
        <v>0</v>
      </c>
      <c r="G306" s="181">
        <f t="shared" si="30"/>
        <v>0</v>
      </c>
      <c r="H306" s="181">
        <f t="shared" si="31"/>
        <v>1.4901161193847656E-6</v>
      </c>
      <c r="I306" s="355"/>
      <c r="J306" s="358"/>
    </row>
    <row r="307" spans="2:10">
      <c r="B307" s="185" t="str">
        <f t="shared" si="26"/>
        <v/>
      </c>
      <c r="C307" s="186" t="str">
        <f t="shared" si="27"/>
        <v/>
      </c>
      <c r="D307" s="181">
        <f t="shared" si="28"/>
        <v>0</v>
      </c>
      <c r="E307" s="216">
        <v>8.8999999999999996E-2</v>
      </c>
      <c r="F307" s="181">
        <f t="shared" si="29"/>
        <v>0</v>
      </c>
      <c r="G307" s="181">
        <f t="shared" si="30"/>
        <v>0</v>
      </c>
      <c r="H307" s="181">
        <f t="shared" si="31"/>
        <v>1.4901161193847656E-6</v>
      </c>
      <c r="I307" s="355"/>
      <c r="J307" s="358"/>
    </row>
    <row r="308" spans="2:10">
      <c r="B308" s="185" t="str">
        <f t="shared" si="26"/>
        <v/>
      </c>
      <c r="C308" s="186" t="str">
        <f t="shared" si="27"/>
        <v/>
      </c>
      <c r="D308" s="181">
        <f t="shared" si="28"/>
        <v>0</v>
      </c>
      <c r="E308" s="216">
        <v>8.8999999999999996E-2</v>
      </c>
      <c r="F308" s="181">
        <f t="shared" si="29"/>
        <v>0</v>
      </c>
      <c r="G308" s="181">
        <f t="shared" si="30"/>
        <v>0</v>
      </c>
      <c r="H308" s="181">
        <f t="shared" si="31"/>
        <v>1.4901161193847656E-6</v>
      </c>
      <c r="I308" s="355"/>
      <c r="J308" s="358"/>
    </row>
    <row r="309" spans="2:10">
      <c r="B309" s="185" t="str">
        <f t="shared" si="26"/>
        <v/>
      </c>
      <c r="C309" s="186" t="str">
        <f t="shared" si="27"/>
        <v/>
      </c>
      <c r="D309" s="181">
        <f t="shared" si="28"/>
        <v>0</v>
      </c>
      <c r="E309" s="216">
        <v>8.8999999999999996E-2</v>
      </c>
      <c r="F309" s="181">
        <f t="shared" si="29"/>
        <v>0</v>
      </c>
      <c r="G309" s="181">
        <f t="shared" si="30"/>
        <v>0</v>
      </c>
      <c r="H309" s="181">
        <f t="shared" si="31"/>
        <v>1.4901161193847656E-6</v>
      </c>
      <c r="I309" s="355"/>
      <c r="J309" s="358"/>
    </row>
    <row r="310" spans="2:10">
      <c r="B310" s="185" t="str">
        <f t="shared" si="26"/>
        <v/>
      </c>
      <c r="C310" s="186" t="str">
        <f t="shared" si="27"/>
        <v/>
      </c>
      <c r="D310" s="181">
        <f t="shared" si="28"/>
        <v>0</v>
      </c>
      <c r="E310" s="216">
        <v>8.8999999999999996E-2</v>
      </c>
      <c r="F310" s="181">
        <f t="shared" si="29"/>
        <v>0</v>
      </c>
      <c r="G310" s="181">
        <f t="shared" si="30"/>
        <v>0</v>
      </c>
      <c r="H310" s="181">
        <f t="shared" si="31"/>
        <v>1.4901161193847656E-6</v>
      </c>
      <c r="I310" s="355"/>
      <c r="J310" s="358"/>
    </row>
    <row r="311" spans="2:10">
      <c r="B311" s="185" t="str">
        <f t="shared" si="26"/>
        <v/>
      </c>
      <c r="C311" s="186" t="str">
        <f t="shared" si="27"/>
        <v/>
      </c>
      <c r="D311" s="181">
        <f t="shared" si="28"/>
        <v>0</v>
      </c>
      <c r="E311" s="216">
        <v>8.8999999999999996E-2</v>
      </c>
      <c r="F311" s="181">
        <f t="shared" si="29"/>
        <v>0</v>
      </c>
      <c r="G311" s="181">
        <f t="shared" si="30"/>
        <v>0</v>
      </c>
      <c r="H311" s="181">
        <f t="shared" si="31"/>
        <v>1.4901161193847656E-6</v>
      </c>
      <c r="I311" s="355"/>
      <c r="J311" s="358"/>
    </row>
    <row r="312" spans="2:10" ht="15" thickBot="1">
      <c r="B312" s="185" t="str">
        <f t="shared" si="26"/>
        <v/>
      </c>
      <c r="C312" s="186" t="str">
        <f t="shared" si="27"/>
        <v/>
      </c>
      <c r="D312" s="181">
        <f t="shared" si="28"/>
        <v>0</v>
      </c>
      <c r="E312" s="216">
        <v>8.8999999999999996E-2</v>
      </c>
      <c r="F312" s="181">
        <f t="shared" si="29"/>
        <v>0</v>
      </c>
      <c r="G312" s="181">
        <f t="shared" si="30"/>
        <v>0</v>
      </c>
      <c r="H312" s="181">
        <f t="shared" si="31"/>
        <v>1.4901161193847656E-6</v>
      </c>
      <c r="I312" s="356"/>
      <c r="J312" s="359"/>
    </row>
    <row r="313" spans="2:10">
      <c r="B313" s="183" t="str">
        <f t="shared" si="26"/>
        <v/>
      </c>
      <c r="C313" s="184" t="str">
        <f t="shared" si="27"/>
        <v/>
      </c>
      <c r="D313" s="180">
        <f t="shared" si="28"/>
        <v>0</v>
      </c>
      <c r="E313" s="215">
        <v>8.8999999999999996E-2</v>
      </c>
      <c r="F313" s="180">
        <f t="shared" si="29"/>
        <v>0</v>
      </c>
      <c r="G313" s="180">
        <f t="shared" si="30"/>
        <v>0</v>
      </c>
      <c r="H313" s="180">
        <f t="shared" si="31"/>
        <v>1.4901161193847656E-6</v>
      </c>
      <c r="I313" s="354">
        <v>26</v>
      </c>
      <c r="J313" s="357">
        <f>SUM(G313:G324)</f>
        <v>0</v>
      </c>
    </row>
    <row r="314" spans="2:10">
      <c r="B314" s="185" t="str">
        <f t="shared" si="26"/>
        <v/>
      </c>
      <c r="C314" s="186" t="str">
        <f t="shared" si="27"/>
        <v/>
      </c>
      <c r="D314" s="181">
        <f t="shared" si="28"/>
        <v>0</v>
      </c>
      <c r="E314" s="216">
        <v>8.8999999999999996E-2</v>
      </c>
      <c r="F314" s="181">
        <f t="shared" si="29"/>
        <v>0</v>
      </c>
      <c r="G314" s="181">
        <f t="shared" si="30"/>
        <v>0</v>
      </c>
      <c r="H314" s="181">
        <f t="shared" si="31"/>
        <v>1.4901161193847656E-6</v>
      </c>
      <c r="I314" s="355"/>
      <c r="J314" s="358"/>
    </row>
    <row r="315" spans="2:10">
      <c r="B315" s="185" t="str">
        <f t="shared" si="26"/>
        <v/>
      </c>
      <c r="C315" s="186" t="str">
        <f t="shared" si="27"/>
        <v/>
      </c>
      <c r="D315" s="181">
        <f t="shared" si="28"/>
        <v>0</v>
      </c>
      <c r="E315" s="216">
        <v>8.8999999999999996E-2</v>
      </c>
      <c r="F315" s="181">
        <f t="shared" si="29"/>
        <v>0</v>
      </c>
      <c r="G315" s="181">
        <f t="shared" si="30"/>
        <v>0</v>
      </c>
      <c r="H315" s="181">
        <f t="shared" si="31"/>
        <v>1.4901161193847656E-6</v>
      </c>
      <c r="I315" s="355"/>
      <c r="J315" s="358"/>
    </row>
    <row r="316" spans="2:10">
      <c r="B316" s="185" t="str">
        <f t="shared" si="26"/>
        <v/>
      </c>
      <c r="C316" s="186" t="str">
        <f t="shared" si="27"/>
        <v/>
      </c>
      <c r="D316" s="181">
        <f t="shared" si="28"/>
        <v>0</v>
      </c>
      <c r="E316" s="216">
        <v>8.8999999999999996E-2</v>
      </c>
      <c r="F316" s="181">
        <f t="shared" si="29"/>
        <v>0</v>
      </c>
      <c r="G316" s="181">
        <f t="shared" si="30"/>
        <v>0</v>
      </c>
      <c r="H316" s="181">
        <f t="shared" si="31"/>
        <v>1.4901161193847656E-6</v>
      </c>
      <c r="I316" s="355"/>
      <c r="J316" s="358"/>
    </row>
    <row r="317" spans="2:10">
      <c r="B317" s="185" t="str">
        <f t="shared" si="26"/>
        <v/>
      </c>
      <c r="C317" s="186" t="str">
        <f t="shared" si="27"/>
        <v/>
      </c>
      <c r="D317" s="181">
        <f t="shared" si="28"/>
        <v>0</v>
      </c>
      <c r="E317" s="216">
        <v>8.8999999999999996E-2</v>
      </c>
      <c r="F317" s="181">
        <f t="shared" si="29"/>
        <v>0</v>
      </c>
      <c r="G317" s="181">
        <f t="shared" si="30"/>
        <v>0</v>
      </c>
      <c r="H317" s="181">
        <f t="shared" si="31"/>
        <v>1.4901161193847656E-6</v>
      </c>
      <c r="I317" s="355"/>
      <c r="J317" s="358"/>
    </row>
    <row r="318" spans="2:10">
      <c r="B318" s="185" t="str">
        <f t="shared" si="26"/>
        <v/>
      </c>
      <c r="C318" s="186" t="str">
        <f t="shared" si="27"/>
        <v/>
      </c>
      <c r="D318" s="181">
        <f t="shared" si="28"/>
        <v>0</v>
      </c>
      <c r="E318" s="216">
        <v>8.8999999999999996E-2</v>
      </c>
      <c r="F318" s="181">
        <f t="shared" si="29"/>
        <v>0</v>
      </c>
      <c r="G318" s="181">
        <f t="shared" si="30"/>
        <v>0</v>
      </c>
      <c r="H318" s="181">
        <f t="shared" si="31"/>
        <v>1.4901161193847656E-6</v>
      </c>
      <c r="I318" s="355"/>
      <c r="J318" s="358"/>
    </row>
    <row r="319" spans="2:10">
      <c r="B319" s="185" t="str">
        <f t="shared" si="26"/>
        <v/>
      </c>
      <c r="C319" s="186" t="str">
        <f t="shared" si="27"/>
        <v/>
      </c>
      <c r="D319" s="181">
        <f t="shared" si="28"/>
        <v>0</v>
      </c>
      <c r="E319" s="216">
        <v>8.8999999999999996E-2</v>
      </c>
      <c r="F319" s="181">
        <f t="shared" si="29"/>
        <v>0</v>
      </c>
      <c r="G319" s="181">
        <f t="shared" si="30"/>
        <v>0</v>
      </c>
      <c r="H319" s="181">
        <f t="shared" si="31"/>
        <v>1.4901161193847656E-6</v>
      </c>
      <c r="I319" s="355"/>
      <c r="J319" s="358"/>
    </row>
    <row r="320" spans="2:10">
      <c r="B320" s="185" t="str">
        <f t="shared" si="26"/>
        <v/>
      </c>
      <c r="C320" s="186" t="str">
        <f t="shared" si="27"/>
        <v/>
      </c>
      <c r="D320" s="181">
        <f t="shared" si="28"/>
        <v>0</v>
      </c>
      <c r="E320" s="216">
        <v>8.8999999999999996E-2</v>
      </c>
      <c r="F320" s="181">
        <f t="shared" si="29"/>
        <v>0</v>
      </c>
      <c r="G320" s="181">
        <f t="shared" si="30"/>
        <v>0</v>
      </c>
      <c r="H320" s="181">
        <f t="shared" si="31"/>
        <v>1.4901161193847656E-6</v>
      </c>
      <c r="I320" s="355"/>
      <c r="J320" s="358"/>
    </row>
    <row r="321" spans="2:10">
      <c r="B321" s="185" t="str">
        <f t="shared" si="26"/>
        <v/>
      </c>
      <c r="C321" s="186" t="str">
        <f t="shared" si="27"/>
        <v/>
      </c>
      <c r="D321" s="181">
        <f t="shared" si="28"/>
        <v>0</v>
      </c>
      <c r="E321" s="216">
        <v>8.8999999999999996E-2</v>
      </c>
      <c r="F321" s="181">
        <f t="shared" si="29"/>
        <v>0</v>
      </c>
      <c r="G321" s="181">
        <f t="shared" si="30"/>
        <v>0</v>
      </c>
      <c r="H321" s="181">
        <f t="shared" si="31"/>
        <v>1.4901161193847656E-6</v>
      </c>
      <c r="I321" s="355"/>
      <c r="J321" s="358"/>
    </row>
    <row r="322" spans="2:10">
      <c r="B322" s="185" t="str">
        <f t="shared" si="26"/>
        <v/>
      </c>
      <c r="C322" s="186" t="str">
        <f t="shared" si="27"/>
        <v/>
      </c>
      <c r="D322" s="181">
        <f t="shared" si="28"/>
        <v>0</v>
      </c>
      <c r="E322" s="216">
        <v>8.8999999999999996E-2</v>
      </c>
      <c r="F322" s="181">
        <f t="shared" si="29"/>
        <v>0</v>
      </c>
      <c r="G322" s="181">
        <f t="shared" si="30"/>
        <v>0</v>
      </c>
      <c r="H322" s="181">
        <f t="shared" si="31"/>
        <v>1.4901161193847656E-6</v>
      </c>
      <c r="I322" s="355"/>
      <c r="J322" s="358"/>
    </row>
    <row r="323" spans="2:10">
      <c r="B323" s="185" t="str">
        <f t="shared" si="26"/>
        <v/>
      </c>
      <c r="C323" s="186" t="str">
        <f t="shared" si="27"/>
        <v/>
      </c>
      <c r="D323" s="181">
        <f t="shared" si="28"/>
        <v>0</v>
      </c>
      <c r="E323" s="216">
        <v>8.8999999999999996E-2</v>
      </c>
      <c r="F323" s="181">
        <f t="shared" si="29"/>
        <v>0</v>
      </c>
      <c r="G323" s="181">
        <f t="shared" si="30"/>
        <v>0</v>
      </c>
      <c r="H323" s="181">
        <f t="shared" si="31"/>
        <v>1.4901161193847656E-6</v>
      </c>
      <c r="I323" s="355"/>
      <c r="J323" s="358"/>
    </row>
    <row r="324" spans="2:10" ht="15" thickBot="1">
      <c r="B324" s="185" t="str">
        <f t="shared" si="26"/>
        <v/>
      </c>
      <c r="C324" s="186" t="str">
        <f t="shared" si="27"/>
        <v/>
      </c>
      <c r="D324" s="181">
        <f t="shared" si="28"/>
        <v>0</v>
      </c>
      <c r="E324" s="216">
        <v>8.8999999999999996E-2</v>
      </c>
      <c r="F324" s="181">
        <f t="shared" si="29"/>
        <v>0</v>
      </c>
      <c r="G324" s="181">
        <f t="shared" si="30"/>
        <v>0</v>
      </c>
      <c r="H324" s="181">
        <f t="shared" si="31"/>
        <v>1.4901161193847656E-6</v>
      </c>
      <c r="I324" s="356"/>
      <c r="J324" s="359"/>
    </row>
    <row r="325" spans="2:10">
      <c r="B325" s="183" t="str">
        <f t="shared" si="26"/>
        <v/>
      </c>
      <c r="C325" s="184" t="str">
        <f t="shared" si="27"/>
        <v/>
      </c>
      <c r="D325" s="180">
        <f t="shared" si="28"/>
        <v>0</v>
      </c>
      <c r="E325" s="215">
        <v>8.8999999999999996E-2</v>
      </c>
      <c r="F325" s="180">
        <f t="shared" si="29"/>
        <v>0</v>
      </c>
      <c r="G325" s="180">
        <f t="shared" si="30"/>
        <v>0</v>
      </c>
      <c r="H325" s="180">
        <f t="shared" si="31"/>
        <v>1.4901161193847656E-6</v>
      </c>
      <c r="I325" s="354">
        <v>27</v>
      </c>
      <c r="J325" s="357">
        <f>SUM(G325:G336)</f>
        <v>0</v>
      </c>
    </row>
    <row r="326" spans="2:10">
      <c r="B326" s="185" t="str">
        <f t="shared" si="26"/>
        <v/>
      </c>
      <c r="C326" s="186" t="str">
        <f t="shared" si="27"/>
        <v/>
      </c>
      <c r="D326" s="181">
        <f t="shared" si="28"/>
        <v>0</v>
      </c>
      <c r="E326" s="216">
        <v>8.8999999999999996E-2</v>
      </c>
      <c r="F326" s="181">
        <f t="shared" si="29"/>
        <v>0</v>
      </c>
      <c r="G326" s="181">
        <f t="shared" si="30"/>
        <v>0</v>
      </c>
      <c r="H326" s="181">
        <f t="shared" si="31"/>
        <v>1.4901161193847656E-6</v>
      </c>
      <c r="I326" s="355"/>
      <c r="J326" s="358"/>
    </row>
    <row r="327" spans="2:10">
      <c r="B327" s="185" t="str">
        <f t="shared" si="26"/>
        <v/>
      </c>
      <c r="C327" s="186" t="str">
        <f t="shared" si="27"/>
        <v/>
      </c>
      <c r="D327" s="181">
        <f t="shared" si="28"/>
        <v>0</v>
      </c>
      <c r="E327" s="216">
        <v>8.8999999999999996E-2</v>
      </c>
      <c r="F327" s="181">
        <f t="shared" si="29"/>
        <v>0</v>
      </c>
      <c r="G327" s="181">
        <f t="shared" si="30"/>
        <v>0</v>
      </c>
      <c r="H327" s="181">
        <f t="shared" si="31"/>
        <v>1.4901161193847656E-6</v>
      </c>
      <c r="I327" s="355"/>
      <c r="J327" s="358"/>
    </row>
    <row r="328" spans="2:10">
      <c r="B328" s="185" t="str">
        <f t="shared" si="26"/>
        <v/>
      </c>
      <c r="C328" s="186" t="str">
        <f t="shared" si="27"/>
        <v/>
      </c>
      <c r="D328" s="181">
        <f t="shared" si="28"/>
        <v>0</v>
      </c>
      <c r="E328" s="216">
        <v>8.8999999999999996E-2</v>
      </c>
      <c r="F328" s="181">
        <f t="shared" si="29"/>
        <v>0</v>
      </c>
      <c r="G328" s="181">
        <f t="shared" si="30"/>
        <v>0</v>
      </c>
      <c r="H328" s="181">
        <f t="shared" si="31"/>
        <v>1.4901161193847656E-6</v>
      </c>
      <c r="I328" s="355"/>
      <c r="J328" s="358"/>
    </row>
    <row r="329" spans="2:10">
      <c r="B329" s="185" t="str">
        <f t="shared" si="26"/>
        <v/>
      </c>
      <c r="C329" s="186" t="str">
        <f t="shared" si="27"/>
        <v/>
      </c>
      <c r="D329" s="181">
        <f t="shared" si="28"/>
        <v>0</v>
      </c>
      <c r="E329" s="216">
        <v>8.8999999999999996E-2</v>
      </c>
      <c r="F329" s="181">
        <f t="shared" si="29"/>
        <v>0</v>
      </c>
      <c r="G329" s="181">
        <f t="shared" si="30"/>
        <v>0</v>
      </c>
      <c r="H329" s="181">
        <f t="shared" si="31"/>
        <v>1.4901161193847656E-6</v>
      </c>
      <c r="I329" s="355"/>
      <c r="J329" s="358"/>
    </row>
    <row r="330" spans="2:10">
      <c r="B330" s="185" t="str">
        <f t="shared" si="26"/>
        <v/>
      </c>
      <c r="C330" s="186" t="str">
        <f t="shared" si="27"/>
        <v/>
      </c>
      <c r="D330" s="181">
        <f t="shared" si="28"/>
        <v>0</v>
      </c>
      <c r="E330" s="216">
        <v>8.8999999999999996E-2</v>
      </c>
      <c r="F330" s="181">
        <f t="shared" si="29"/>
        <v>0</v>
      </c>
      <c r="G330" s="181">
        <f t="shared" si="30"/>
        <v>0</v>
      </c>
      <c r="H330" s="181">
        <f t="shared" si="31"/>
        <v>1.4901161193847656E-6</v>
      </c>
      <c r="I330" s="355"/>
      <c r="J330" s="358"/>
    </row>
    <row r="331" spans="2:10">
      <c r="B331" s="185" t="str">
        <f t="shared" si="26"/>
        <v/>
      </c>
      <c r="C331" s="186" t="str">
        <f t="shared" si="27"/>
        <v/>
      </c>
      <c r="D331" s="181">
        <f t="shared" si="28"/>
        <v>0</v>
      </c>
      <c r="E331" s="216">
        <v>8.8999999999999996E-2</v>
      </c>
      <c r="F331" s="181">
        <f t="shared" si="29"/>
        <v>0</v>
      </c>
      <c r="G331" s="181">
        <f t="shared" si="30"/>
        <v>0</v>
      </c>
      <c r="H331" s="181">
        <f t="shared" si="31"/>
        <v>1.4901161193847656E-6</v>
      </c>
      <c r="I331" s="355"/>
      <c r="J331" s="358"/>
    </row>
    <row r="332" spans="2:10">
      <c r="B332" s="185" t="str">
        <f t="shared" si="26"/>
        <v/>
      </c>
      <c r="C332" s="186" t="str">
        <f t="shared" si="27"/>
        <v/>
      </c>
      <c r="D332" s="181">
        <f t="shared" si="28"/>
        <v>0</v>
      </c>
      <c r="E332" s="216">
        <v>8.8999999999999996E-2</v>
      </c>
      <c r="F332" s="181">
        <f t="shared" si="29"/>
        <v>0</v>
      </c>
      <c r="G332" s="181">
        <f t="shared" si="30"/>
        <v>0</v>
      </c>
      <c r="H332" s="181">
        <f t="shared" si="31"/>
        <v>1.4901161193847656E-6</v>
      </c>
      <c r="I332" s="355"/>
      <c r="J332" s="358"/>
    </row>
    <row r="333" spans="2:10">
      <c r="B333" s="185" t="str">
        <f t="shared" si="26"/>
        <v/>
      </c>
      <c r="C333" s="186" t="str">
        <f t="shared" si="27"/>
        <v/>
      </c>
      <c r="D333" s="181">
        <f t="shared" si="28"/>
        <v>0</v>
      </c>
      <c r="E333" s="216">
        <v>8.8999999999999996E-2</v>
      </c>
      <c r="F333" s="181">
        <f t="shared" si="29"/>
        <v>0</v>
      </c>
      <c r="G333" s="181">
        <f t="shared" si="30"/>
        <v>0</v>
      </c>
      <c r="H333" s="181">
        <f t="shared" si="31"/>
        <v>1.4901161193847656E-6</v>
      </c>
      <c r="I333" s="355"/>
      <c r="J333" s="358"/>
    </row>
    <row r="334" spans="2:10">
      <c r="B334" s="185" t="str">
        <f t="shared" si="26"/>
        <v/>
      </c>
      <c r="C334" s="186" t="str">
        <f t="shared" si="27"/>
        <v/>
      </c>
      <c r="D334" s="181">
        <f t="shared" si="28"/>
        <v>0</v>
      </c>
      <c r="E334" s="216">
        <v>8.8999999999999996E-2</v>
      </c>
      <c r="F334" s="181">
        <f t="shared" si="29"/>
        <v>0</v>
      </c>
      <c r="G334" s="181">
        <f t="shared" si="30"/>
        <v>0</v>
      </c>
      <c r="H334" s="181">
        <f t="shared" si="31"/>
        <v>1.4901161193847656E-6</v>
      </c>
      <c r="I334" s="355"/>
      <c r="J334" s="358"/>
    </row>
    <row r="335" spans="2:10">
      <c r="B335" s="185" t="str">
        <f t="shared" ref="B335:B398" si="32">IF(B334&lt;$D$7,B334+1,"")</f>
        <v/>
      </c>
      <c r="C335" s="186" t="str">
        <f t="shared" ref="C335:C398" si="33">IF(B335&lt;&gt;"",EDATE(C334,1),"")</f>
        <v/>
      </c>
      <c r="D335" s="181">
        <f t="shared" ref="D335:D398" si="34">IFERROR(IF(B335&lt;=$D$7,H334*E335/12,0),0)</f>
        <v>0</v>
      </c>
      <c r="E335" s="216">
        <v>8.8999999999999996E-2</v>
      </c>
      <c r="F335" s="181">
        <f t="shared" ref="F335:F398" si="35">IFERROR(IF(B335&lt;=$D$7,$D$6/$D$7,0),0)</f>
        <v>0</v>
      </c>
      <c r="G335" s="181">
        <f t="shared" ref="G335:G398" si="36">D335+F335</f>
        <v>0</v>
      </c>
      <c r="H335" s="181">
        <f t="shared" ref="H335:H398" si="37">H334-F335</f>
        <v>1.4901161193847656E-6</v>
      </c>
      <c r="I335" s="355"/>
      <c r="J335" s="358"/>
    </row>
    <row r="336" spans="2:10" ht="15" thickBot="1">
      <c r="B336" s="185" t="str">
        <f t="shared" si="32"/>
        <v/>
      </c>
      <c r="C336" s="186" t="str">
        <f t="shared" si="33"/>
        <v/>
      </c>
      <c r="D336" s="181">
        <f t="shared" si="34"/>
        <v>0</v>
      </c>
      <c r="E336" s="216">
        <v>8.8999999999999996E-2</v>
      </c>
      <c r="F336" s="181">
        <f t="shared" si="35"/>
        <v>0</v>
      </c>
      <c r="G336" s="181">
        <f t="shared" si="36"/>
        <v>0</v>
      </c>
      <c r="H336" s="181">
        <f t="shared" si="37"/>
        <v>1.4901161193847656E-6</v>
      </c>
      <c r="I336" s="356"/>
      <c r="J336" s="359"/>
    </row>
    <row r="337" spans="2:10">
      <c r="B337" s="183" t="str">
        <f t="shared" si="32"/>
        <v/>
      </c>
      <c r="C337" s="184" t="str">
        <f t="shared" si="33"/>
        <v/>
      </c>
      <c r="D337" s="180">
        <f t="shared" si="34"/>
        <v>0</v>
      </c>
      <c r="E337" s="215">
        <v>8.8999999999999996E-2</v>
      </c>
      <c r="F337" s="180">
        <f t="shared" si="35"/>
        <v>0</v>
      </c>
      <c r="G337" s="180">
        <f t="shared" si="36"/>
        <v>0</v>
      </c>
      <c r="H337" s="180">
        <f t="shared" si="37"/>
        <v>1.4901161193847656E-6</v>
      </c>
      <c r="I337" s="354">
        <v>28</v>
      </c>
      <c r="J337" s="357">
        <f>SUM(G337:G348)</f>
        <v>0</v>
      </c>
    </row>
    <row r="338" spans="2:10">
      <c r="B338" s="185" t="str">
        <f t="shared" si="32"/>
        <v/>
      </c>
      <c r="C338" s="186" t="str">
        <f t="shared" si="33"/>
        <v/>
      </c>
      <c r="D338" s="181">
        <f t="shared" si="34"/>
        <v>0</v>
      </c>
      <c r="E338" s="216">
        <v>8.8999999999999996E-2</v>
      </c>
      <c r="F338" s="181">
        <f t="shared" si="35"/>
        <v>0</v>
      </c>
      <c r="G338" s="181">
        <f t="shared" si="36"/>
        <v>0</v>
      </c>
      <c r="H338" s="181">
        <f t="shared" si="37"/>
        <v>1.4901161193847656E-6</v>
      </c>
      <c r="I338" s="355"/>
      <c r="J338" s="358"/>
    </row>
    <row r="339" spans="2:10">
      <c r="B339" s="185" t="str">
        <f t="shared" si="32"/>
        <v/>
      </c>
      <c r="C339" s="186" t="str">
        <f t="shared" si="33"/>
        <v/>
      </c>
      <c r="D339" s="181">
        <f t="shared" si="34"/>
        <v>0</v>
      </c>
      <c r="E339" s="216">
        <v>8.8999999999999996E-2</v>
      </c>
      <c r="F339" s="181">
        <f t="shared" si="35"/>
        <v>0</v>
      </c>
      <c r="G339" s="181">
        <f t="shared" si="36"/>
        <v>0</v>
      </c>
      <c r="H339" s="181">
        <f t="shared" si="37"/>
        <v>1.4901161193847656E-6</v>
      </c>
      <c r="I339" s="355"/>
      <c r="J339" s="358"/>
    </row>
    <row r="340" spans="2:10">
      <c r="B340" s="185" t="str">
        <f t="shared" si="32"/>
        <v/>
      </c>
      <c r="C340" s="186" t="str">
        <f t="shared" si="33"/>
        <v/>
      </c>
      <c r="D340" s="181">
        <f t="shared" si="34"/>
        <v>0</v>
      </c>
      <c r="E340" s="216">
        <v>8.8999999999999996E-2</v>
      </c>
      <c r="F340" s="181">
        <f t="shared" si="35"/>
        <v>0</v>
      </c>
      <c r="G340" s="181">
        <f t="shared" si="36"/>
        <v>0</v>
      </c>
      <c r="H340" s="181">
        <f t="shared" si="37"/>
        <v>1.4901161193847656E-6</v>
      </c>
      <c r="I340" s="355"/>
      <c r="J340" s="358"/>
    </row>
    <row r="341" spans="2:10">
      <c r="B341" s="185" t="str">
        <f t="shared" si="32"/>
        <v/>
      </c>
      <c r="C341" s="186" t="str">
        <f t="shared" si="33"/>
        <v/>
      </c>
      <c r="D341" s="181">
        <f t="shared" si="34"/>
        <v>0</v>
      </c>
      <c r="E341" s="216">
        <v>8.8999999999999996E-2</v>
      </c>
      <c r="F341" s="181">
        <f t="shared" si="35"/>
        <v>0</v>
      </c>
      <c r="G341" s="181">
        <f t="shared" si="36"/>
        <v>0</v>
      </c>
      <c r="H341" s="181">
        <f t="shared" si="37"/>
        <v>1.4901161193847656E-6</v>
      </c>
      <c r="I341" s="355"/>
      <c r="J341" s="358"/>
    </row>
    <row r="342" spans="2:10">
      <c r="B342" s="185" t="str">
        <f t="shared" si="32"/>
        <v/>
      </c>
      <c r="C342" s="186" t="str">
        <f t="shared" si="33"/>
        <v/>
      </c>
      <c r="D342" s="181">
        <f t="shared" si="34"/>
        <v>0</v>
      </c>
      <c r="E342" s="216">
        <v>8.8999999999999996E-2</v>
      </c>
      <c r="F342" s="181">
        <f t="shared" si="35"/>
        <v>0</v>
      </c>
      <c r="G342" s="181">
        <f t="shared" si="36"/>
        <v>0</v>
      </c>
      <c r="H342" s="181">
        <f t="shared" si="37"/>
        <v>1.4901161193847656E-6</v>
      </c>
      <c r="I342" s="355"/>
      <c r="J342" s="358"/>
    </row>
    <row r="343" spans="2:10">
      <c r="B343" s="185" t="str">
        <f t="shared" si="32"/>
        <v/>
      </c>
      <c r="C343" s="186" t="str">
        <f t="shared" si="33"/>
        <v/>
      </c>
      <c r="D343" s="181">
        <f t="shared" si="34"/>
        <v>0</v>
      </c>
      <c r="E343" s="216">
        <v>8.8999999999999996E-2</v>
      </c>
      <c r="F343" s="181">
        <f t="shared" si="35"/>
        <v>0</v>
      </c>
      <c r="G343" s="181">
        <f t="shared" si="36"/>
        <v>0</v>
      </c>
      <c r="H343" s="181">
        <f t="shared" si="37"/>
        <v>1.4901161193847656E-6</v>
      </c>
      <c r="I343" s="355"/>
      <c r="J343" s="358"/>
    </row>
    <row r="344" spans="2:10">
      <c r="B344" s="185" t="str">
        <f t="shared" si="32"/>
        <v/>
      </c>
      <c r="C344" s="186" t="str">
        <f t="shared" si="33"/>
        <v/>
      </c>
      <c r="D344" s="181">
        <f t="shared" si="34"/>
        <v>0</v>
      </c>
      <c r="E344" s="216">
        <v>8.8999999999999996E-2</v>
      </c>
      <c r="F344" s="181">
        <f t="shared" si="35"/>
        <v>0</v>
      </c>
      <c r="G344" s="181">
        <f t="shared" si="36"/>
        <v>0</v>
      </c>
      <c r="H344" s="181">
        <f t="shared" si="37"/>
        <v>1.4901161193847656E-6</v>
      </c>
      <c r="I344" s="355"/>
      <c r="J344" s="358"/>
    </row>
    <row r="345" spans="2:10">
      <c r="B345" s="185" t="str">
        <f t="shared" si="32"/>
        <v/>
      </c>
      <c r="C345" s="186" t="str">
        <f t="shared" si="33"/>
        <v/>
      </c>
      <c r="D345" s="181">
        <f t="shared" si="34"/>
        <v>0</v>
      </c>
      <c r="E345" s="216">
        <v>8.8999999999999996E-2</v>
      </c>
      <c r="F345" s="181">
        <f t="shared" si="35"/>
        <v>0</v>
      </c>
      <c r="G345" s="181">
        <f t="shared" si="36"/>
        <v>0</v>
      </c>
      <c r="H345" s="181">
        <f t="shared" si="37"/>
        <v>1.4901161193847656E-6</v>
      </c>
      <c r="I345" s="355"/>
      <c r="J345" s="358"/>
    </row>
    <row r="346" spans="2:10">
      <c r="B346" s="185" t="str">
        <f t="shared" si="32"/>
        <v/>
      </c>
      <c r="C346" s="186" t="str">
        <f t="shared" si="33"/>
        <v/>
      </c>
      <c r="D346" s="181">
        <f t="shared" si="34"/>
        <v>0</v>
      </c>
      <c r="E346" s="216">
        <v>8.8999999999999996E-2</v>
      </c>
      <c r="F346" s="181">
        <f t="shared" si="35"/>
        <v>0</v>
      </c>
      <c r="G346" s="181">
        <f t="shared" si="36"/>
        <v>0</v>
      </c>
      <c r="H346" s="181">
        <f t="shared" si="37"/>
        <v>1.4901161193847656E-6</v>
      </c>
      <c r="I346" s="355"/>
      <c r="J346" s="358"/>
    </row>
    <row r="347" spans="2:10">
      <c r="B347" s="185" t="str">
        <f t="shared" si="32"/>
        <v/>
      </c>
      <c r="C347" s="186" t="str">
        <f t="shared" si="33"/>
        <v/>
      </c>
      <c r="D347" s="181">
        <f t="shared" si="34"/>
        <v>0</v>
      </c>
      <c r="E347" s="216">
        <v>8.8999999999999996E-2</v>
      </c>
      <c r="F347" s="181">
        <f t="shared" si="35"/>
        <v>0</v>
      </c>
      <c r="G347" s="181">
        <f t="shared" si="36"/>
        <v>0</v>
      </c>
      <c r="H347" s="181">
        <f t="shared" si="37"/>
        <v>1.4901161193847656E-6</v>
      </c>
      <c r="I347" s="355"/>
      <c r="J347" s="358"/>
    </row>
    <row r="348" spans="2:10" ht="15" thickBot="1">
      <c r="B348" s="185" t="str">
        <f t="shared" si="32"/>
        <v/>
      </c>
      <c r="C348" s="186" t="str">
        <f t="shared" si="33"/>
        <v/>
      </c>
      <c r="D348" s="181">
        <f t="shared" si="34"/>
        <v>0</v>
      </c>
      <c r="E348" s="216">
        <v>8.8999999999999996E-2</v>
      </c>
      <c r="F348" s="181">
        <f t="shared" si="35"/>
        <v>0</v>
      </c>
      <c r="G348" s="181">
        <f t="shared" si="36"/>
        <v>0</v>
      </c>
      <c r="H348" s="181">
        <f t="shared" si="37"/>
        <v>1.4901161193847656E-6</v>
      </c>
      <c r="I348" s="356"/>
      <c r="J348" s="359"/>
    </row>
    <row r="349" spans="2:10">
      <c r="B349" s="183" t="str">
        <f t="shared" si="32"/>
        <v/>
      </c>
      <c r="C349" s="184" t="str">
        <f t="shared" si="33"/>
        <v/>
      </c>
      <c r="D349" s="180">
        <f t="shared" si="34"/>
        <v>0</v>
      </c>
      <c r="E349" s="215">
        <v>8.8999999999999996E-2</v>
      </c>
      <c r="F349" s="180">
        <f t="shared" si="35"/>
        <v>0</v>
      </c>
      <c r="G349" s="180">
        <f t="shared" si="36"/>
        <v>0</v>
      </c>
      <c r="H349" s="180">
        <f t="shared" si="37"/>
        <v>1.4901161193847656E-6</v>
      </c>
      <c r="I349" s="354">
        <v>29</v>
      </c>
      <c r="J349" s="357">
        <f>SUM(G349:G360)</f>
        <v>0</v>
      </c>
    </row>
    <row r="350" spans="2:10">
      <c r="B350" s="185" t="str">
        <f t="shared" si="32"/>
        <v/>
      </c>
      <c r="C350" s="186" t="str">
        <f t="shared" si="33"/>
        <v/>
      </c>
      <c r="D350" s="181">
        <f t="shared" si="34"/>
        <v>0</v>
      </c>
      <c r="E350" s="216">
        <v>8.8999999999999996E-2</v>
      </c>
      <c r="F350" s="181">
        <f t="shared" si="35"/>
        <v>0</v>
      </c>
      <c r="G350" s="181">
        <f t="shared" si="36"/>
        <v>0</v>
      </c>
      <c r="H350" s="181">
        <f t="shared" si="37"/>
        <v>1.4901161193847656E-6</v>
      </c>
      <c r="I350" s="355"/>
      <c r="J350" s="358"/>
    </row>
    <row r="351" spans="2:10">
      <c r="B351" s="185" t="str">
        <f t="shared" si="32"/>
        <v/>
      </c>
      <c r="C351" s="186" t="str">
        <f t="shared" si="33"/>
        <v/>
      </c>
      <c r="D351" s="181">
        <f t="shared" si="34"/>
        <v>0</v>
      </c>
      <c r="E351" s="216">
        <v>8.8999999999999996E-2</v>
      </c>
      <c r="F351" s="181">
        <f t="shared" si="35"/>
        <v>0</v>
      </c>
      <c r="G351" s="181">
        <f t="shared" si="36"/>
        <v>0</v>
      </c>
      <c r="H351" s="181">
        <f t="shared" si="37"/>
        <v>1.4901161193847656E-6</v>
      </c>
      <c r="I351" s="355"/>
      <c r="J351" s="358"/>
    </row>
    <row r="352" spans="2:10">
      <c r="B352" s="185" t="str">
        <f t="shared" si="32"/>
        <v/>
      </c>
      <c r="C352" s="186" t="str">
        <f t="shared" si="33"/>
        <v/>
      </c>
      <c r="D352" s="181">
        <f t="shared" si="34"/>
        <v>0</v>
      </c>
      <c r="E352" s="216">
        <v>8.8999999999999996E-2</v>
      </c>
      <c r="F352" s="181">
        <f t="shared" si="35"/>
        <v>0</v>
      </c>
      <c r="G352" s="181">
        <f t="shared" si="36"/>
        <v>0</v>
      </c>
      <c r="H352" s="181">
        <f t="shared" si="37"/>
        <v>1.4901161193847656E-6</v>
      </c>
      <c r="I352" s="355"/>
      <c r="J352" s="358"/>
    </row>
    <row r="353" spans="2:10">
      <c r="B353" s="185" t="str">
        <f t="shared" si="32"/>
        <v/>
      </c>
      <c r="C353" s="186" t="str">
        <f t="shared" si="33"/>
        <v/>
      </c>
      <c r="D353" s="181">
        <f t="shared" si="34"/>
        <v>0</v>
      </c>
      <c r="E353" s="216">
        <v>8.8999999999999996E-2</v>
      </c>
      <c r="F353" s="181">
        <f t="shared" si="35"/>
        <v>0</v>
      </c>
      <c r="G353" s="181">
        <f t="shared" si="36"/>
        <v>0</v>
      </c>
      <c r="H353" s="181">
        <f t="shared" si="37"/>
        <v>1.4901161193847656E-6</v>
      </c>
      <c r="I353" s="355"/>
      <c r="J353" s="358"/>
    </row>
    <row r="354" spans="2:10">
      <c r="B354" s="185" t="str">
        <f t="shared" si="32"/>
        <v/>
      </c>
      <c r="C354" s="186" t="str">
        <f t="shared" si="33"/>
        <v/>
      </c>
      <c r="D354" s="181">
        <f t="shared" si="34"/>
        <v>0</v>
      </c>
      <c r="E354" s="216">
        <v>8.8999999999999996E-2</v>
      </c>
      <c r="F354" s="181">
        <f t="shared" si="35"/>
        <v>0</v>
      </c>
      <c r="G354" s="181">
        <f t="shared" si="36"/>
        <v>0</v>
      </c>
      <c r="H354" s="181">
        <f t="shared" si="37"/>
        <v>1.4901161193847656E-6</v>
      </c>
      <c r="I354" s="355"/>
      <c r="J354" s="358"/>
    </row>
    <row r="355" spans="2:10">
      <c r="B355" s="185" t="str">
        <f t="shared" si="32"/>
        <v/>
      </c>
      <c r="C355" s="186" t="str">
        <f t="shared" si="33"/>
        <v/>
      </c>
      <c r="D355" s="181">
        <f t="shared" si="34"/>
        <v>0</v>
      </c>
      <c r="E355" s="216">
        <v>8.8999999999999996E-2</v>
      </c>
      <c r="F355" s="181">
        <f t="shared" si="35"/>
        <v>0</v>
      </c>
      <c r="G355" s="181">
        <f t="shared" si="36"/>
        <v>0</v>
      </c>
      <c r="H355" s="181">
        <f t="shared" si="37"/>
        <v>1.4901161193847656E-6</v>
      </c>
      <c r="I355" s="355"/>
      <c r="J355" s="358"/>
    </row>
    <row r="356" spans="2:10">
      <c r="B356" s="185" t="str">
        <f t="shared" si="32"/>
        <v/>
      </c>
      <c r="C356" s="186" t="str">
        <f t="shared" si="33"/>
        <v/>
      </c>
      <c r="D356" s="181">
        <f t="shared" si="34"/>
        <v>0</v>
      </c>
      <c r="E356" s="216">
        <v>8.8999999999999996E-2</v>
      </c>
      <c r="F356" s="181">
        <f t="shared" si="35"/>
        <v>0</v>
      </c>
      <c r="G356" s="181">
        <f t="shared" si="36"/>
        <v>0</v>
      </c>
      <c r="H356" s="181">
        <f t="shared" si="37"/>
        <v>1.4901161193847656E-6</v>
      </c>
      <c r="I356" s="355"/>
      <c r="J356" s="358"/>
    </row>
    <row r="357" spans="2:10">
      <c r="B357" s="185" t="str">
        <f t="shared" si="32"/>
        <v/>
      </c>
      <c r="C357" s="186" t="str">
        <f t="shared" si="33"/>
        <v/>
      </c>
      <c r="D357" s="181">
        <f t="shared" si="34"/>
        <v>0</v>
      </c>
      <c r="E357" s="216">
        <v>8.8999999999999996E-2</v>
      </c>
      <c r="F357" s="181">
        <f t="shared" si="35"/>
        <v>0</v>
      </c>
      <c r="G357" s="181">
        <f t="shared" si="36"/>
        <v>0</v>
      </c>
      <c r="H357" s="181">
        <f t="shared" si="37"/>
        <v>1.4901161193847656E-6</v>
      </c>
      <c r="I357" s="355"/>
      <c r="J357" s="358"/>
    </row>
    <row r="358" spans="2:10">
      <c r="B358" s="185" t="str">
        <f t="shared" si="32"/>
        <v/>
      </c>
      <c r="C358" s="186" t="str">
        <f t="shared" si="33"/>
        <v/>
      </c>
      <c r="D358" s="181">
        <f t="shared" si="34"/>
        <v>0</v>
      </c>
      <c r="E358" s="216">
        <v>8.8999999999999996E-2</v>
      </c>
      <c r="F358" s="181">
        <f t="shared" si="35"/>
        <v>0</v>
      </c>
      <c r="G358" s="181">
        <f t="shared" si="36"/>
        <v>0</v>
      </c>
      <c r="H358" s="181">
        <f t="shared" si="37"/>
        <v>1.4901161193847656E-6</v>
      </c>
      <c r="I358" s="355"/>
      <c r="J358" s="358"/>
    </row>
    <row r="359" spans="2:10">
      <c r="B359" s="185" t="str">
        <f t="shared" si="32"/>
        <v/>
      </c>
      <c r="C359" s="186" t="str">
        <f t="shared" si="33"/>
        <v/>
      </c>
      <c r="D359" s="181">
        <f t="shared" si="34"/>
        <v>0</v>
      </c>
      <c r="E359" s="216">
        <v>8.8999999999999996E-2</v>
      </c>
      <c r="F359" s="181">
        <f t="shared" si="35"/>
        <v>0</v>
      </c>
      <c r="G359" s="181">
        <f t="shared" si="36"/>
        <v>0</v>
      </c>
      <c r="H359" s="181">
        <f t="shared" si="37"/>
        <v>1.4901161193847656E-6</v>
      </c>
      <c r="I359" s="355"/>
      <c r="J359" s="358"/>
    </row>
    <row r="360" spans="2:10" ht="15" thickBot="1">
      <c r="B360" s="185" t="str">
        <f t="shared" si="32"/>
        <v/>
      </c>
      <c r="C360" s="186" t="str">
        <f t="shared" si="33"/>
        <v/>
      </c>
      <c r="D360" s="181">
        <f t="shared" si="34"/>
        <v>0</v>
      </c>
      <c r="E360" s="216">
        <v>8.8999999999999996E-2</v>
      </c>
      <c r="F360" s="181">
        <f t="shared" si="35"/>
        <v>0</v>
      </c>
      <c r="G360" s="181">
        <f t="shared" si="36"/>
        <v>0</v>
      </c>
      <c r="H360" s="181">
        <f t="shared" si="37"/>
        <v>1.4901161193847656E-6</v>
      </c>
      <c r="I360" s="356"/>
      <c r="J360" s="359"/>
    </row>
    <row r="361" spans="2:10">
      <c r="B361" s="183" t="str">
        <f t="shared" si="32"/>
        <v/>
      </c>
      <c r="C361" s="184" t="str">
        <f t="shared" si="33"/>
        <v/>
      </c>
      <c r="D361" s="180">
        <f t="shared" si="34"/>
        <v>0</v>
      </c>
      <c r="E361" s="215">
        <v>8.8999999999999996E-2</v>
      </c>
      <c r="F361" s="180">
        <f t="shared" si="35"/>
        <v>0</v>
      </c>
      <c r="G361" s="180">
        <f t="shared" si="36"/>
        <v>0</v>
      </c>
      <c r="H361" s="180">
        <f t="shared" si="37"/>
        <v>1.4901161193847656E-6</v>
      </c>
      <c r="I361" s="354">
        <v>30</v>
      </c>
      <c r="J361" s="357">
        <f>SUM(G361:G372)</f>
        <v>0</v>
      </c>
    </row>
    <row r="362" spans="2:10">
      <c r="B362" s="185" t="str">
        <f t="shared" si="32"/>
        <v/>
      </c>
      <c r="C362" s="186" t="str">
        <f t="shared" si="33"/>
        <v/>
      </c>
      <c r="D362" s="181">
        <f t="shared" si="34"/>
        <v>0</v>
      </c>
      <c r="E362" s="216">
        <v>8.8999999999999996E-2</v>
      </c>
      <c r="F362" s="181">
        <f t="shared" si="35"/>
        <v>0</v>
      </c>
      <c r="G362" s="181">
        <f t="shared" si="36"/>
        <v>0</v>
      </c>
      <c r="H362" s="181">
        <f t="shared" si="37"/>
        <v>1.4901161193847656E-6</v>
      </c>
      <c r="I362" s="355"/>
      <c r="J362" s="358"/>
    </row>
    <row r="363" spans="2:10">
      <c r="B363" s="185" t="str">
        <f t="shared" si="32"/>
        <v/>
      </c>
      <c r="C363" s="186" t="str">
        <f t="shared" si="33"/>
        <v/>
      </c>
      <c r="D363" s="181">
        <f t="shared" si="34"/>
        <v>0</v>
      </c>
      <c r="E363" s="216">
        <v>8.8999999999999996E-2</v>
      </c>
      <c r="F363" s="181">
        <f t="shared" si="35"/>
        <v>0</v>
      </c>
      <c r="G363" s="181">
        <f t="shared" si="36"/>
        <v>0</v>
      </c>
      <c r="H363" s="181">
        <f t="shared" si="37"/>
        <v>1.4901161193847656E-6</v>
      </c>
      <c r="I363" s="355"/>
      <c r="J363" s="358"/>
    </row>
    <row r="364" spans="2:10">
      <c r="B364" s="185" t="str">
        <f t="shared" si="32"/>
        <v/>
      </c>
      <c r="C364" s="186" t="str">
        <f t="shared" si="33"/>
        <v/>
      </c>
      <c r="D364" s="181">
        <f t="shared" si="34"/>
        <v>0</v>
      </c>
      <c r="E364" s="216">
        <v>8.8999999999999996E-2</v>
      </c>
      <c r="F364" s="181">
        <f t="shared" si="35"/>
        <v>0</v>
      </c>
      <c r="G364" s="181">
        <f t="shared" si="36"/>
        <v>0</v>
      </c>
      <c r="H364" s="181">
        <f t="shared" si="37"/>
        <v>1.4901161193847656E-6</v>
      </c>
      <c r="I364" s="355"/>
      <c r="J364" s="358"/>
    </row>
    <row r="365" spans="2:10">
      <c r="B365" s="185" t="str">
        <f t="shared" si="32"/>
        <v/>
      </c>
      <c r="C365" s="186" t="str">
        <f t="shared" si="33"/>
        <v/>
      </c>
      <c r="D365" s="181">
        <f t="shared" si="34"/>
        <v>0</v>
      </c>
      <c r="E365" s="216">
        <v>8.8999999999999996E-2</v>
      </c>
      <c r="F365" s="181">
        <f t="shared" si="35"/>
        <v>0</v>
      </c>
      <c r="G365" s="181">
        <f t="shared" si="36"/>
        <v>0</v>
      </c>
      <c r="H365" s="181">
        <f t="shared" si="37"/>
        <v>1.4901161193847656E-6</v>
      </c>
      <c r="I365" s="355"/>
      <c r="J365" s="358"/>
    </row>
    <row r="366" spans="2:10">
      <c r="B366" s="185" t="str">
        <f t="shared" si="32"/>
        <v/>
      </c>
      <c r="C366" s="186" t="str">
        <f t="shared" si="33"/>
        <v/>
      </c>
      <c r="D366" s="181">
        <f t="shared" si="34"/>
        <v>0</v>
      </c>
      <c r="E366" s="216">
        <v>8.8999999999999996E-2</v>
      </c>
      <c r="F366" s="181">
        <f t="shared" si="35"/>
        <v>0</v>
      </c>
      <c r="G366" s="181">
        <f t="shared" si="36"/>
        <v>0</v>
      </c>
      <c r="H366" s="181">
        <f t="shared" si="37"/>
        <v>1.4901161193847656E-6</v>
      </c>
      <c r="I366" s="355"/>
      <c r="J366" s="358"/>
    </row>
    <row r="367" spans="2:10">
      <c r="B367" s="185" t="str">
        <f t="shared" si="32"/>
        <v/>
      </c>
      <c r="C367" s="186" t="str">
        <f t="shared" si="33"/>
        <v/>
      </c>
      <c r="D367" s="181">
        <f t="shared" si="34"/>
        <v>0</v>
      </c>
      <c r="E367" s="216">
        <v>8.8999999999999996E-2</v>
      </c>
      <c r="F367" s="181">
        <f t="shared" si="35"/>
        <v>0</v>
      </c>
      <c r="G367" s="181">
        <f t="shared" si="36"/>
        <v>0</v>
      </c>
      <c r="H367" s="181">
        <f t="shared" si="37"/>
        <v>1.4901161193847656E-6</v>
      </c>
      <c r="I367" s="355"/>
      <c r="J367" s="358"/>
    </row>
    <row r="368" spans="2:10">
      <c r="B368" s="185" t="str">
        <f t="shared" si="32"/>
        <v/>
      </c>
      <c r="C368" s="186" t="str">
        <f t="shared" si="33"/>
        <v/>
      </c>
      <c r="D368" s="181">
        <f t="shared" si="34"/>
        <v>0</v>
      </c>
      <c r="E368" s="216">
        <v>8.8999999999999996E-2</v>
      </c>
      <c r="F368" s="181">
        <f t="shared" si="35"/>
        <v>0</v>
      </c>
      <c r="G368" s="181">
        <f t="shared" si="36"/>
        <v>0</v>
      </c>
      <c r="H368" s="181">
        <f t="shared" si="37"/>
        <v>1.4901161193847656E-6</v>
      </c>
      <c r="I368" s="355"/>
      <c r="J368" s="358"/>
    </row>
    <row r="369" spans="2:10">
      <c r="B369" s="185" t="str">
        <f t="shared" si="32"/>
        <v/>
      </c>
      <c r="C369" s="186" t="str">
        <f t="shared" si="33"/>
        <v/>
      </c>
      <c r="D369" s="181">
        <f t="shared" si="34"/>
        <v>0</v>
      </c>
      <c r="E369" s="216">
        <v>8.8999999999999996E-2</v>
      </c>
      <c r="F369" s="181">
        <f t="shared" si="35"/>
        <v>0</v>
      </c>
      <c r="G369" s="181">
        <f t="shared" si="36"/>
        <v>0</v>
      </c>
      <c r="H369" s="181">
        <f t="shared" si="37"/>
        <v>1.4901161193847656E-6</v>
      </c>
      <c r="I369" s="355"/>
      <c r="J369" s="358"/>
    </row>
    <row r="370" spans="2:10">
      <c r="B370" s="185" t="str">
        <f t="shared" si="32"/>
        <v/>
      </c>
      <c r="C370" s="186" t="str">
        <f t="shared" si="33"/>
        <v/>
      </c>
      <c r="D370" s="181">
        <f t="shared" si="34"/>
        <v>0</v>
      </c>
      <c r="E370" s="216">
        <v>8.8999999999999996E-2</v>
      </c>
      <c r="F370" s="181">
        <f t="shared" si="35"/>
        <v>0</v>
      </c>
      <c r="G370" s="181">
        <f t="shared" si="36"/>
        <v>0</v>
      </c>
      <c r="H370" s="181">
        <f t="shared" si="37"/>
        <v>1.4901161193847656E-6</v>
      </c>
      <c r="I370" s="355"/>
      <c r="J370" s="358"/>
    </row>
    <row r="371" spans="2:10">
      <c r="B371" s="185" t="str">
        <f t="shared" si="32"/>
        <v/>
      </c>
      <c r="C371" s="186" t="str">
        <f t="shared" si="33"/>
        <v/>
      </c>
      <c r="D371" s="181">
        <f t="shared" si="34"/>
        <v>0</v>
      </c>
      <c r="E371" s="216">
        <v>8.8999999999999996E-2</v>
      </c>
      <c r="F371" s="181">
        <f t="shared" si="35"/>
        <v>0</v>
      </c>
      <c r="G371" s="181">
        <f t="shared" si="36"/>
        <v>0</v>
      </c>
      <c r="H371" s="181">
        <f t="shared" si="37"/>
        <v>1.4901161193847656E-6</v>
      </c>
      <c r="I371" s="355"/>
      <c r="J371" s="358"/>
    </row>
    <row r="372" spans="2:10" ht="15" thickBot="1">
      <c r="B372" s="185" t="str">
        <f t="shared" si="32"/>
        <v/>
      </c>
      <c r="C372" s="186" t="str">
        <f t="shared" si="33"/>
        <v/>
      </c>
      <c r="D372" s="181">
        <f t="shared" si="34"/>
        <v>0</v>
      </c>
      <c r="E372" s="216">
        <v>8.8999999999999996E-2</v>
      </c>
      <c r="F372" s="181">
        <f t="shared" si="35"/>
        <v>0</v>
      </c>
      <c r="G372" s="181">
        <f t="shared" si="36"/>
        <v>0</v>
      </c>
      <c r="H372" s="181">
        <f t="shared" si="37"/>
        <v>1.4901161193847656E-6</v>
      </c>
      <c r="I372" s="356"/>
      <c r="J372" s="359"/>
    </row>
    <row r="373" spans="2:10">
      <c r="B373" s="183" t="str">
        <f t="shared" si="32"/>
        <v/>
      </c>
      <c r="C373" s="184" t="str">
        <f t="shared" si="33"/>
        <v/>
      </c>
      <c r="D373" s="180">
        <f t="shared" si="34"/>
        <v>0</v>
      </c>
      <c r="E373" s="215">
        <v>8.8999999999999996E-2</v>
      </c>
      <c r="F373" s="180">
        <f t="shared" si="35"/>
        <v>0</v>
      </c>
      <c r="G373" s="180">
        <f t="shared" si="36"/>
        <v>0</v>
      </c>
      <c r="H373" s="180">
        <f t="shared" si="37"/>
        <v>1.4901161193847656E-6</v>
      </c>
      <c r="I373" s="354">
        <v>31</v>
      </c>
      <c r="J373" s="357">
        <f>SUM(G373:G384)</f>
        <v>0</v>
      </c>
    </row>
    <row r="374" spans="2:10">
      <c r="B374" s="185" t="str">
        <f t="shared" si="32"/>
        <v/>
      </c>
      <c r="C374" s="186" t="str">
        <f t="shared" si="33"/>
        <v/>
      </c>
      <c r="D374" s="181">
        <f t="shared" si="34"/>
        <v>0</v>
      </c>
      <c r="E374" s="216">
        <v>8.8999999999999996E-2</v>
      </c>
      <c r="F374" s="181">
        <f t="shared" si="35"/>
        <v>0</v>
      </c>
      <c r="G374" s="181">
        <f t="shared" si="36"/>
        <v>0</v>
      </c>
      <c r="H374" s="181">
        <f t="shared" si="37"/>
        <v>1.4901161193847656E-6</v>
      </c>
      <c r="I374" s="355"/>
      <c r="J374" s="358"/>
    </row>
    <row r="375" spans="2:10">
      <c r="B375" s="185" t="str">
        <f t="shared" si="32"/>
        <v/>
      </c>
      <c r="C375" s="186" t="str">
        <f t="shared" si="33"/>
        <v/>
      </c>
      <c r="D375" s="181">
        <f t="shared" si="34"/>
        <v>0</v>
      </c>
      <c r="E375" s="216">
        <v>8.8999999999999996E-2</v>
      </c>
      <c r="F375" s="181">
        <f t="shared" si="35"/>
        <v>0</v>
      </c>
      <c r="G375" s="181">
        <f t="shared" si="36"/>
        <v>0</v>
      </c>
      <c r="H375" s="181">
        <f t="shared" si="37"/>
        <v>1.4901161193847656E-6</v>
      </c>
      <c r="I375" s="355"/>
      <c r="J375" s="358"/>
    </row>
    <row r="376" spans="2:10">
      <c r="B376" s="185" t="str">
        <f t="shared" si="32"/>
        <v/>
      </c>
      <c r="C376" s="186" t="str">
        <f t="shared" si="33"/>
        <v/>
      </c>
      <c r="D376" s="181">
        <f t="shared" si="34"/>
        <v>0</v>
      </c>
      <c r="E376" s="216">
        <v>8.8999999999999996E-2</v>
      </c>
      <c r="F376" s="181">
        <f t="shared" si="35"/>
        <v>0</v>
      </c>
      <c r="G376" s="181">
        <f t="shared" si="36"/>
        <v>0</v>
      </c>
      <c r="H376" s="181">
        <f t="shared" si="37"/>
        <v>1.4901161193847656E-6</v>
      </c>
      <c r="I376" s="355"/>
      <c r="J376" s="358"/>
    </row>
    <row r="377" spans="2:10">
      <c r="B377" s="185" t="str">
        <f t="shared" si="32"/>
        <v/>
      </c>
      <c r="C377" s="186" t="str">
        <f t="shared" si="33"/>
        <v/>
      </c>
      <c r="D377" s="181">
        <f t="shared" si="34"/>
        <v>0</v>
      </c>
      <c r="E377" s="216">
        <v>8.8999999999999996E-2</v>
      </c>
      <c r="F377" s="181">
        <f t="shared" si="35"/>
        <v>0</v>
      </c>
      <c r="G377" s="181">
        <f t="shared" si="36"/>
        <v>0</v>
      </c>
      <c r="H377" s="181">
        <f t="shared" si="37"/>
        <v>1.4901161193847656E-6</v>
      </c>
      <c r="I377" s="355"/>
      <c r="J377" s="358"/>
    </row>
    <row r="378" spans="2:10">
      <c r="B378" s="185" t="str">
        <f t="shared" si="32"/>
        <v/>
      </c>
      <c r="C378" s="186" t="str">
        <f t="shared" si="33"/>
        <v/>
      </c>
      <c r="D378" s="181">
        <f t="shared" si="34"/>
        <v>0</v>
      </c>
      <c r="E378" s="216">
        <v>8.8999999999999996E-2</v>
      </c>
      <c r="F378" s="181">
        <f t="shared" si="35"/>
        <v>0</v>
      </c>
      <c r="G378" s="181">
        <f t="shared" si="36"/>
        <v>0</v>
      </c>
      <c r="H378" s="181">
        <f t="shared" si="37"/>
        <v>1.4901161193847656E-6</v>
      </c>
      <c r="I378" s="355"/>
      <c r="J378" s="358"/>
    </row>
    <row r="379" spans="2:10">
      <c r="B379" s="185" t="str">
        <f t="shared" si="32"/>
        <v/>
      </c>
      <c r="C379" s="186" t="str">
        <f t="shared" si="33"/>
        <v/>
      </c>
      <c r="D379" s="181">
        <f t="shared" si="34"/>
        <v>0</v>
      </c>
      <c r="E379" s="216">
        <v>8.8999999999999996E-2</v>
      </c>
      <c r="F379" s="181">
        <f t="shared" si="35"/>
        <v>0</v>
      </c>
      <c r="G379" s="181">
        <f t="shared" si="36"/>
        <v>0</v>
      </c>
      <c r="H379" s="181">
        <f t="shared" si="37"/>
        <v>1.4901161193847656E-6</v>
      </c>
      <c r="I379" s="355"/>
      <c r="J379" s="358"/>
    </row>
    <row r="380" spans="2:10">
      <c r="B380" s="185" t="str">
        <f t="shared" si="32"/>
        <v/>
      </c>
      <c r="C380" s="186" t="str">
        <f t="shared" si="33"/>
        <v/>
      </c>
      <c r="D380" s="181">
        <f t="shared" si="34"/>
        <v>0</v>
      </c>
      <c r="E380" s="216">
        <v>8.8999999999999996E-2</v>
      </c>
      <c r="F380" s="181">
        <f t="shared" si="35"/>
        <v>0</v>
      </c>
      <c r="G380" s="181">
        <f t="shared" si="36"/>
        <v>0</v>
      </c>
      <c r="H380" s="181">
        <f t="shared" si="37"/>
        <v>1.4901161193847656E-6</v>
      </c>
      <c r="I380" s="355"/>
      <c r="J380" s="358"/>
    </row>
    <row r="381" spans="2:10">
      <c r="B381" s="185" t="str">
        <f t="shared" si="32"/>
        <v/>
      </c>
      <c r="C381" s="186" t="str">
        <f t="shared" si="33"/>
        <v/>
      </c>
      <c r="D381" s="181">
        <f t="shared" si="34"/>
        <v>0</v>
      </c>
      <c r="E381" s="216">
        <v>8.8999999999999996E-2</v>
      </c>
      <c r="F381" s="181">
        <f t="shared" si="35"/>
        <v>0</v>
      </c>
      <c r="G381" s="181">
        <f t="shared" si="36"/>
        <v>0</v>
      </c>
      <c r="H381" s="181">
        <f t="shared" si="37"/>
        <v>1.4901161193847656E-6</v>
      </c>
      <c r="I381" s="355"/>
      <c r="J381" s="358"/>
    </row>
    <row r="382" spans="2:10">
      <c r="B382" s="185" t="str">
        <f t="shared" si="32"/>
        <v/>
      </c>
      <c r="C382" s="186" t="str">
        <f t="shared" si="33"/>
        <v/>
      </c>
      <c r="D382" s="181">
        <f t="shared" si="34"/>
        <v>0</v>
      </c>
      <c r="E382" s="216">
        <v>8.8999999999999996E-2</v>
      </c>
      <c r="F382" s="181">
        <f t="shared" si="35"/>
        <v>0</v>
      </c>
      <c r="G382" s="181">
        <f t="shared" si="36"/>
        <v>0</v>
      </c>
      <c r="H382" s="181">
        <f t="shared" si="37"/>
        <v>1.4901161193847656E-6</v>
      </c>
      <c r="I382" s="355"/>
      <c r="J382" s="358"/>
    </row>
    <row r="383" spans="2:10">
      <c r="B383" s="185" t="str">
        <f t="shared" si="32"/>
        <v/>
      </c>
      <c r="C383" s="186" t="str">
        <f t="shared" si="33"/>
        <v/>
      </c>
      <c r="D383" s="181">
        <f t="shared" si="34"/>
        <v>0</v>
      </c>
      <c r="E383" s="216">
        <v>8.8999999999999996E-2</v>
      </c>
      <c r="F383" s="181">
        <f t="shared" si="35"/>
        <v>0</v>
      </c>
      <c r="G383" s="181">
        <f t="shared" si="36"/>
        <v>0</v>
      </c>
      <c r="H383" s="181">
        <f t="shared" si="37"/>
        <v>1.4901161193847656E-6</v>
      </c>
      <c r="I383" s="355"/>
      <c r="J383" s="358"/>
    </row>
    <row r="384" spans="2:10" ht="15" thickBot="1">
      <c r="B384" s="185" t="str">
        <f t="shared" si="32"/>
        <v/>
      </c>
      <c r="C384" s="186" t="str">
        <f t="shared" si="33"/>
        <v/>
      </c>
      <c r="D384" s="181">
        <f t="shared" si="34"/>
        <v>0</v>
      </c>
      <c r="E384" s="216">
        <v>8.8999999999999996E-2</v>
      </c>
      <c r="F384" s="181">
        <f t="shared" si="35"/>
        <v>0</v>
      </c>
      <c r="G384" s="181">
        <f t="shared" si="36"/>
        <v>0</v>
      </c>
      <c r="H384" s="181">
        <f t="shared" si="37"/>
        <v>1.4901161193847656E-6</v>
      </c>
      <c r="I384" s="356"/>
      <c r="J384" s="359"/>
    </row>
    <row r="385" spans="2:10">
      <c r="B385" s="183" t="str">
        <f t="shared" si="32"/>
        <v/>
      </c>
      <c r="C385" s="184" t="str">
        <f t="shared" si="33"/>
        <v/>
      </c>
      <c r="D385" s="180">
        <f t="shared" si="34"/>
        <v>0</v>
      </c>
      <c r="E385" s="215">
        <v>8.8999999999999996E-2</v>
      </c>
      <c r="F385" s="180">
        <f t="shared" si="35"/>
        <v>0</v>
      </c>
      <c r="G385" s="180">
        <f t="shared" si="36"/>
        <v>0</v>
      </c>
      <c r="H385" s="180">
        <f t="shared" si="37"/>
        <v>1.4901161193847656E-6</v>
      </c>
      <c r="I385" s="354">
        <v>32</v>
      </c>
      <c r="J385" s="357">
        <f>SUM(G385:G396)</f>
        <v>0</v>
      </c>
    </row>
    <row r="386" spans="2:10">
      <c r="B386" s="185" t="str">
        <f t="shared" si="32"/>
        <v/>
      </c>
      <c r="C386" s="186" t="str">
        <f t="shared" si="33"/>
        <v/>
      </c>
      <c r="D386" s="181">
        <f t="shared" si="34"/>
        <v>0</v>
      </c>
      <c r="E386" s="216">
        <v>8.8999999999999996E-2</v>
      </c>
      <c r="F386" s="181">
        <f t="shared" si="35"/>
        <v>0</v>
      </c>
      <c r="G386" s="181">
        <f t="shared" si="36"/>
        <v>0</v>
      </c>
      <c r="H386" s="181">
        <f t="shared" si="37"/>
        <v>1.4901161193847656E-6</v>
      </c>
      <c r="I386" s="355"/>
      <c r="J386" s="358"/>
    </row>
    <row r="387" spans="2:10">
      <c r="B387" s="185" t="str">
        <f t="shared" si="32"/>
        <v/>
      </c>
      <c r="C387" s="186" t="str">
        <f t="shared" si="33"/>
        <v/>
      </c>
      <c r="D387" s="181">
        <f t="shared" si="34"/>
        <v>0</v>
      </c>
      <c r="E387" s="216">
        <v>8.8999999999999996E-2</v>
      </c>
      <c r="F387" s="181">
        <f t="shared" si="35"/>
        <v>0</v>
      </c>
      <c r="G387" s="181">
        <f t="shared" si="36"/>
        <v>0</v>
      </c>
      <c r="H387" s="181">
        <f t="shared" si="37"/>
        <v>1.4901161193847656E-6</v>
      </c>
      <c r="I387" s="355"/>
      <c r="J387" s="358"/>
    </row>
    <row r="388" spans="2:10">
      <c r="B388" s="185" t="str">
        <f t="shared" si="32"/>
        <v/>
      </c>
      <c r="C388" s="186" t="str">
        <f t="shared" si="33"/>
        <v/>
      </c>
      <c r="D388" s="181">
        <f t="shared" si="34"/>
        <v>0</v>
      </c>
      <c r="E388" s="216">
        <v>8.8999999999999996E-2</v>
      </c>
      <c r="F388" s="181">
        <f t="shared" si="35"/>
        <v>0</v>
      </c>
      <c r="G388" s="181">
        <f t="shared" si="36"/>
        <v>0</v>
      </c>
      <c r="H388" s="181">
        <f t="shared" si="37"/>
        <v>1.4901161193847656E-6</v>
      </c>
      <c r="I388" s="355"/>
      <c r="J388" s="358"/>
    </row>
    <row r="389" spans="2:10">
      <c r="B389" s="185" t="str">
        <f t="shared" si="32"/>
        <v/>
      </c>
      <c r="C389" s="186" t="str">
        <f t="shared" si="33"/>
        <v/>
      </c>
      <c r="D389" s="181">
        <f t="shared" si="34"/>
        <v>0</v>
      </c>
      <c r="E389" s="216">
        <v>8.8999999999999996E-2</v>
      </c>
      <c r="F389" s="181">
        <f t="shared" si="35"/>
        <v>0</v>
      </c>
      <c r="G389" s="181">
        <f t="shared" si="36"/>
        <v>0</v>
      </c>
      <c r="H389" s="181">
        <f t="shared" si="37"/>
        <v>1.4901161193847656E-6</v>
      </c>
      <c r="I389" s="355"/>
      <c r="J389" s="358"/>
    </row>
    <row r="390" spans="2:10">
      <c r="B390" s="185" t="str">
        <f t="shared" si="32"/>
        <v/>
      </c>
      <c r="C390" s="186" t="str">
        <f t="shared" si="33"/>
        <v/>
      </c>
      <c r="D390" s="181">
        <f t="shared" si="34"/>
        <v>0</v>
      </c>
      <c r="E390" s="216">
        <v>8.8999999999999996E-2</v>
      </c>
      <c r="F390" s="181">
        <f t="shared" si="35"/>
        <v>0</v>
      </c>
      <c r="G390" s="181">
        <f t="shared" si="36"/>
        <v>0</v>
      </c>
      <c r="H390" s="181">
        <f t="shared" si="37"/>
        <v>1.4901161193847656E-6</v>
      </c>
      <c r="I390" s="355"/>
      <c r="J390" s="358"/>
    </row>
    <row r="391" spans="2:10">
      <c r="B391" s="185" t="str">
        <f t="shared" si="32"/>
        <v/>
      </c>
      <c r="C391" s="186" t="str">
        <f t="shared" si="33"/>
        <v/>
      </c>
      <c r="D391" s="181">
        <f t="shared" si="34"/>
        <v>0</v>
      </c>
      <c r="E391" s="216">
        <v>8.8999999999999996E-2</v>
      </c>
      <c r="F391" s="181">
        <f t="shared" si="35"/>
        <v>0</v>
      </c>
      <c r="G391" s="181">
        <f t="shared" si="36"/>
        <v>0</v>
      </c>
      <c r="H391" s="181">
        <f t="shared" si="37"/>
        <v>1.4901161193847656E-6</v>
      </c>
      <c r="I391" s="355"/>
      <c r="J391" s="358"/>
    </row>
    <row r="392" spans="2:10">
      <c r="B392" s="185" t="str">
        <f t="shared" si="32"/>
        <v/>
      </c>
      <c r="C392" s="186" t="str">
        <f t="shared" si="33"/>
        <v/>
      </c>
      <c r="D392" s="181">
        <f t="shared" si="34"/>
        <v>0</v>
      </c>
      <c r="E392" s="216">
        <v>8.8999999999999996E-2</v>
      </c>
      <c r="F392" s="181">
        <f t="shared" si="35"/>
        <v>0</v>
      </c>
      <c r="G392" s="181">
        <f t="shared" si="36"/>
        <v>0</v>
      </c>
      <c r="H392" s="181">
        <f t="shared" si="37"/>
        <v>1.4901161193847656E-6</v>
      </c>
      <c r="I392" s="355"/>
      <c r="J392" s="358"/>
    </row>
    <row r="393" spans="2:10">
      <c r="B393" s="185" t="str">
        <f t="shared" si="32"/>
        <v/>
      </c>
      <c r="C393" s="186" t="str">
        <f t="shared" si="33"/>
        <v/>
      </c>
      <c r="D393" s="181">
        <f t="shared" si="34"/>
        <v>0</v>
      </c>
      <c r="E393" s="216">
        <v>8.8999999999999996E-2</v>
      </c>
      <c r="F393" s="181">
        <f t="shared" si="35"/>
        <v>0</v>
      </c>
      <c r="G393" s="181">
        <f t="shared" si="36"/>
        <v>0</v>
      </c>
      <c r="H393" s="181">
        <f t="shared" si="37"/>
        <v>1.4901161193847656E-6</v>
      </c>
      <c r="I393" s="355"/>
      <c r="J393" s="358"/>
    </row>
    <row r="394" spans="2:10">
      <c r="B394" s="185" t="str">
        <f t="shared" si="32"/>
        <v/>
      </c>
      <c r="C394" s="186" t="str">
        <f t="shared" si="33"/>
        <v/>
      </c>
      <c r="D394" s="181">
        <f t="shared" si="34"/>
        <v>0</v>
      </c>
      <c r="E394" s="216">
        <v>8.8999999999999996E-2</v>
      </c>
      <c r="F394" s="181">
        <f t="shared" si="35"/>
        <v>0</v>
      </c>
      <c r="G394" s="181">
        <f t="shared" si="36"/>
        <v>0</v>
      </c>
      <c r="H394" s="181">
        <f t="shared" si="37"/>
        <v>1.4901161193847656E-6</v>
      </c>
      <c r="I394" s="355"/>
      <c r="J394" s="358"/>
    </row>
    <row r="395" spans="2:10">
      <c r="B395" s="185" t="str">
        <f t="shared" si="32"/>
        <v/>
      </c>
      <c r="C395" s="186" t="str">
        <f t="shared" si="33"/>
        <v/>
      </c>
      <c r="D395" s="181">
        <f t="shared" si="34"/>
        <v>0</v>
      </c>
      <c r="E395" s="216">
        <v>8.8999999999999996E-2</v>
      </c>
      <c r="F395" s="181">
        <f t="shared" si="35"/>
        <v>0</v>
      </c>
      <c r="G395" s="181">
        <f t="shared" si="36"/>
        <v>0</v>
      </c>
      <c r="H395" s="181">
        <f t="shared" si="37"/>
        <v>1.4901161193847656E-6</v>
      </c>
      <c r="I395" s="355"/>
      <c r="J395" s="358"/>
    </row>
    <row r="396" spans="2:10" ht="15" thickBot="1">
      <c r="B396" s="185" t="str">
        <f t="shared" si="32"/>
        <v/>
      </c>
      <c r="C396" s="186" t="str">
        <f t="shared" si="33"/>
        <v/>
      </c>
      <c r="D396" s="181">
        <f t="shared" si="34"/>
        <v>0</v>
      </c>
      <c r="E396" s="216">
        <v>8.8999999999999996E-2</v>
      </c>
      <c r="F396" s="181">
        <f t="shared" si="35"/>
        <v>0</v>
      </c>
      <c r="G396" s="181">
        <f t="shared" si="36"/>
        <v>0</v>
      </c>
      <c r="H396" s="181">
        <f t="shared" si="37"/>
        <v>1.4901161193847656E-6</v>
      </c>
      <c r="I396" s="356"/>
      <c r="J396" s="359"/>
    </row>
    <row r="397" spans="2:10">
      <c r="B397" s="183" t="str">
        <f t="shared" si="32"/>
        <v/>
      </c>
      <c r="C397" s="184" t="str">
        <f t="shared" si="33"/>
        <v/>
      </c>
      <c r="D397" s="180">
        <f t="shared" si="34"/>
        <v>0</v>
      </c>
      <c r="E397" s="215">
        <v>8.8999999999999996E-2</v>
      </c>
      <c r="F397" s="180">
        <f t="shared" si="35"/>
        <v>0</v>
      </c>
      <c r="G397" s="180">
        <f t="shared" si="36"/>
        <v>0</v>
      </c>
      <c r="H397" s="180">
        <f t="shared" si="37"/>
        <v>1.4901161193847656E-6</v>
      </c>
      <c r="I397" s="354">
        <v>33</v>
      </c>
      <c r="J397" s="357">
        <f>SUM(G397:G408)</f>
        <v>0</v>
      </c>
    </row>
    <row r="398" spans="2:10">
      <c r="B398" s="185" t="str">
        <f t="shared" si="32"/>
        <v/>
      </c>
      <c r="C398" s="186" t="str">
        <f t="shared" si="33"/>
        <v/>
      </c>
      <c r="D398" s="181">
        <f t="shared" si="34"/>
        <v>0</v>
      </c>
      <c r="E398" s="216">
        <v>8.8999999999999996E-2</v>
      </c>
      <c r="F398" s="181">
        <f t="shared" si="35"/>
        <v>0</v>
      </c>
      <c r="G398" s="181">
        <f t="shared" si="36"/>
        <v>0</v>
      </c>
      <c r="H398" s="181">
        <f t="shared" si="37"/>
        <v>1.4901161193847656E-6</v>
      </c>
      <c r="I398" s="355"/>
      <c r="J398" s="358"/>
    </row>
    <row r="399" spans="2:10">
      <c r="B399" s="185" t="str">
        <f t="shared" ref="B399:B462" si="38">IF(B398&lt;$D$7,B398+1,"")</f>
        <v/>
      </c>
      <c r="C399" s="186" t="str">
        <f t="shared" ref="C399:C462" si="39">IF(B399&lt;&gt;"",EDATE(C398,1),"")</f>
        <v/>
      </c>
      <c r="D399" s="181">
        <f t="shared" ref="D399:D462" si="40">IFERROR(IF(B399&lt;=$D$7,H398*E399/12,0),0)</f>
        <v>0</v>
      </c>
      <c r="E399" s="216">
        <v>8.8999999999999996E-2</v>
      </c>
      <c r="F399" s="181">
        <f t="shared" ref="F399:F462" si="41">IFERROR(IF(B399&lt;=$D$7,$D$6/$D$7,0),0)</f>
        <v>0</v>
      </c>
      <c r="G399" s="181">
        <f t="shared" ref="G399:G462" si="42">D399+F399</f>
        <v>0</v>
      </c>
      <c r="H399" s="181">
        <f t="shared" ref="H399:H462" si="43">H398-F399</f>
        <v>1.4901161193847656E-6</v>
      </c>
      <c r="I399" s="355"/>
      <c r="J399" s="358"/>
    </row>
    <row r="400" spans="2:10">
      <c r="B400" s="185" t="str">
        <f t="shared" si="38"/>
        <v/>
      </c>
      <c r="C400" s="186" t="str">
        <f t="shared" si="39"/>
        <v/>
      </c>
      <c r="D400" s="181">
        <f t="shared" si="40"/>
        <v>0</v>
      </c>
      <c r="E400" s="216">
        <v>8.8999999999999996E-2</v>
      </c>
      <c r="F400" s="181">
        <f t="shared" si="41"/>
        <v>0</v>
      </c>
      <c r="G400" s="181">
        <f t="shared" si="42"/>
        <v>0</v>
      </c>
      <c r="H400" s="181">
        <f t="shared" si="43"/>
        <v>1.4901161193847656E-6</v>
      </c>
      <c r="I400" s="355"/>
      <c r="J400" s="358"/>
    </row>
    <row r="401" spans="2:10">
      <c r="B401" s="185" t="str">
        <f t="shared" si="38"/>
        <v/>
      </c>
      <c r="C401" s="186" t="str">
        <f t="shared" si="39"/>
        <v/>
      </c>
      <c r="D401" s="181">
        <f t="shared" si="40"/>
        <v>0</v>
      </c>
      <c r="E401" s="216">
        <v>8.8999999999999996E-2</v>
      </c>
      <c r="F401" s="181">
        <f t="shared" si="41"/>
        <v>0</v>
      </c>
      <c r="G401" s="181">
        <f t="shared" si="42"/>
        <v>0</v>
      </c>
      <c r="H401" s="181">
        <f t="shared" si="43"/>
        <v>1.4901161193847656E-6</v>
      </c>
      <c r="I401" s="355"/>
      <c r="J401" s="358"/>
    </row>
    <row r="402" spans="2:10">
      <c r="B402" s="185" t="str">
        <f t="shared" si="38"/>
        <v/>
      </c>
      <c r="C402" s="186" t="str">
        <f t="shared" si="39"/>
        <v/>
      </c>
      <c r="D402" s="181">
        <f t="shared" si="40"/>
        <v>0</v>
      </c>
      <c r="E402" s="216">
        <v>8.8999999999999996E-2</v>
      </c>
      <c r="F402" s="181">
        <f t="shared" si="41"/>
        <v>0</v>
      </c>
      <c r="G402" s="181">
        <f t="shared" si="42"/>
        <v>0</v>
      </c>
      <c r="H402" s="181">
        <f t="shared" si="43"/>
        <v>1.4901161193847656E-6</v>
      </c>
      <c r="I402" s="355"/>
      <c r="J402" s="358"/>
    </row>
    <row r="403" spans="2:10">
      <c r="B403" s="185" t="str">
        <f t="shared" si="38"/>
        <v/>
      </c>
      <c r="C403" s="186" t="str">
        <f t="shared" si="39"/>
        <v/>
      </c>
      <c r="D403" s="181">
        <f t="shared" si="40"/>
        <v>0</v>
      </c>
      <c r="E403" s="216">
        <v>8.8999999999999996E-2</v>
      </c>
      <c r="F403" s="181">
        <f t="shared" si="41"/>
        <v>0</v>
      </c>
      <c r="G403" s="181">
        <f t="shared" si="42"/>
        <v>0</v>
      </c>
      <c r="H403" s="181">
        <f t="shared" si="43"/>
        <v>1.4901161193847656E-6</v>
      </c>
      <c r="I403" s="355"/>
      <c r="J403" s="358"/>
    </row>
    <row r="404" spans="2:10">
      <c r="B404" s="185" t="str">
        <f t="shared" si="38"/>
        <v/>
      </c>
      <c r="C404" s="186" t="str">
        <f t="shared" si="39"/>
        <v/>
      </c>
      <c r="D404" s="181">
        <f t="shared" si="40"/>
        <v>0</v>
      </c>
      <c r="E404" s="216">
        <v>8.8999999999999996E-2</v>
      </c>
      <c r="F404" s="181">
        <f t="shared" si="41"/>
        <v>0</v>
      </c>
      <c r="G404" s="181">
        <f t="shared" si="42"/>
        <v>0</v>
      </c>
      <c r="H404" s="181">
        <f t="shared" si="43"/>
        <v>1.4901161193847656E-6</v>
      </c>
      <c r="I404" s="355"/>
      <c r="J404" s="358"/>
    </row>
    <row r="405" spans="2:10">
      <c r="B405" s="185" t="str">
        <f t="shared" si="38"/>
        <v/>
      </c>
      <c r="C405" s="186" t="str">
        <f t="shared" si="39"/>
        <v/>
      </c>
      <c r="D405" s="181">
        <f t="shared" si="40"/>
        <v>0</v>
      </c>
      <c r="E405" s="216">
        <v>8.8999999999999996E-2</v>
      </c>
      <c r="F405" s="181">
        <f t="shared" si="41"/>
        <v>0</v>
      </c>
      <c r="G405" s="181">
        <f t="shared" si="42"/>
        <v>0</v>
      </c>
      <c r="H405" s="181">
        <f t="shared" si="43"/>
        <v>1.4901161193847656E-6</v>
      </c>
      <c r="I405" s="355"/>
      <c r="J405" s="358"/>
    </row>
    <row r="406" spans="2:10">
      <c r="B406" s="185" t="str">
        <f t="shared" si="38"/>
        <v/>
      </c>
      <c r="C406" s="186" t="str">
        <f t="shared" si="39"/>
        <v/>
      </c>
      <c r="D406" s="181">
        <f t="shared" si="40"/>
        <v>0</v>
      </c>
      <c r="E406" s="216">
        <v>8.8999999999999996E-2</v>
      </c>
      <c r="F406" s="181">
        <f t="shared" si="41"/>
        <v>0</v>
      </c>
      <c r="G406" s="181">
        <f t="shared" si="42"/>
        <v>0</v>
      </c>
      <c r="H406" s="181">
        <f t="shared" si="43"/>
        <v>1.4901161193847656E-6</v>
      </c>
      <c r="I406" s="355"/>
      <c r="J406" s="358"/>
    </row>
    <row r="407" spans="2:10">
      <c r="B407" s="185" t="str">
        <f t="shared" si="38"/>
        <v/>
      </c>
      <c r="C407" s="186" t="str">
        <f t="shared" si="39"/>
        <v/>
      </c>
      <c r="D407" s="181">
        <f t="shared" si="40"/>
        <v>0</v>
      </c>
      <c r="E407" s="216">
        <v>8.8999999999999996E-2</v>
      </c>
      <c r="F407" s="181">
        <f t="shared" si="41"/>
        <v>0</v>
      </c>
      <c r="G407" s="181">
        <f t="shared" si="42"/>
        <v>0</v>
      </c>
      <c r="H407" s="181">
        <f t="shared" si="43"/>
        <v>1.4901161193847656E-6</v>
      </c>
      <c r="I407" s="355"/>
      <c r="J407" s="358"/>
    </row>
    <row r="408" spans="2:10" ht="15" thickBot="1">
      <c r="B408" s="185" t="str">
        <f t="shared" si="38"/>
        <v/>
      </c>
      <c r="C408" s="186" t="str">
        <f t="shared" si="39"/>
        <v/>
      </c>
      <c r="D408" s="181">
        <f t="shared" si="40"/>
        <v>0</v>
      </c>
      <c r="E408" s="216">
        <v>8.8999999999999996E-2</v>
      </c>
      <c r="F408" s="181">
        <f t="shared" si="41"/>
        <v>0</v>
      </c>
      <c r="G408" s="181">
        <f t="shared" si="42"/>
        <v>0</v>
      </c>
      <c r="H408" s="181">
        <f t="shared" si="43"/>
        <v>1.4901161193847656E-6</v>
      </c>
      <c r="I408" s="356"/>
      <c r="J408" s="359"/>
    </row>
    <row r="409" spans="2:10">
      <c r="B409" s="183" t="str">
        <f t="shared" si="38"/>
        <v/>
      </c>
      <c r="C409" s="184" t="str">
        <f t="shared" si="39"/>
        <v/>
      </c>
      <c r="D409" s="180">
        <f t="shared" si="40"/>
        <v>0</v>
      </c>
      <c r="E409" s="215">
        <v>8.8999999999999996E-2</v>
      </c>
      <c r="F409" s="180">
        <f t="shared" si="41"/>
        <v>0</v>
      </c>
      <c r="G409" s="180">
        <f t="shared" si="42"/>
        <v>0</v>
      </c>
      <c r="H409" s="180">
        <f t="shared" si="43"/>
        <v>1.4901161193847656E-6</v>
      </c>
      <c r="I409" s="354">
        <v>34</v>
      </c>
      <c r="J409" s="357">
        <f>SUM(G409:G420)</f>
        <v>0</v>
      </c>
    </row>
    <row r="410" spans="2:10">
      <c r="B410" s="185" t="str">
        <f t="shared" si="38"/>
        <v/>
      </c>
      <c r="C410" s="186" t="str">
        <f t="shared" si="39"/>
        <v/>
      </c>
      <c r="D410" s="181">
        <f t="shared" si="40"/>
        <v>0</v>
      </c>
      <c r="E410" s="216">
        <v>8.8999999999999996E-2</v>
      </c>
      <c r="F410" s="181">
        <f t="shared" si="41"/>
        <v>0</v>
      </c>
      <c r="G410" s="181">
        <f t="shared" si="42"/>
        <v>0</v>
      </c>
      <c r="H410" s="181">
        <f t="shared" si="43"/>
        <v>1.4901161193847656E-6</v>
      </c>
      <c r="I410" s="355"/>
      <c r="J410" s="358"/>
    </row>
    <row r="411" spans="2:10">
      <c r="B411" s="185" t="str">
        <f t="shared" si="38"/>
        <v/>
      </c>
      <c r="C411" s="186" t="str">
        <f t="shared" si="39"/>
        <v/>
      </c>
      <c r="D411" s="181">
        <f t="shared" si="40"/>
        <v>0</v>
      </c>
      <c r="E411" s="216">
        <v>8.8999999999999996E-2</v>
      </c>
      <c r="F411" s="181">
        <f t="shared" si="41"/>
        <v>0</v>
      </c>
      <c r="G411" s="181">
        <f t="shared" si="42"/>
        <v>0</v>
      </c>
      <c r="H411" s="181">
        <f t="shared" si="43"/>
        <v>1.4901161193847656E-6</v>
      </c>
      <c r="I411" s="355"/>
      <c r="J411" s="358"/>
    </row>
    <row r="412" spans="2:10">
      <c r="B412" s="185" t="str">
        <f t="shared" si="38"/>
        <v/>
      </c>
      <c r="C412" s="186" t="str">
        <f t="shared" si="39"/>
        <v/>
      </c>
      <c r="D412" s="181">
        <f t="shared" si="40"/>
        <v>0</v>
      </c>
      <c r="E412" s="216">
        <v>8.8999999999999996E-2</v>
      </c>
      <c r="F412" s="181">
        <f t="shared" si="41"/>
        <v>0</v>
      </c>
      <c r="G412" s="181">
        <f t="shared" si="42"/>
        <v>0</v>
      </c>
      <c r="H412" s="181">
        <f t="shared" si="43"/>
        <v>1.4901161193847656E-6</v>
      </c>
      <c r="I412" s="355"/>
      <c r="J412" s="358"/>
    </row>
    <row r="413" spans="2:10">
      <c r="B413" s="185" t="str">
        <f t="shared" si="38"/>
        <v/>
      </c>
      <c r="C413" s="186" t="str">
        <f t="shared" si="39"/>
        <v/>
      </c>
      <c r="D413" s="181">
        <f t="shared" si="40"/>
        <v>0</v>
      </c>
      <c r="E413" s="216">
        <v>8.8999999999999996E-2</v>
      </c>
      <c r="F413" s="181">
        <f t="shared" si="41"/>
        <v>0</v>
      </c>
      <c r="G413" s="181">
        <f t="shared" si="42"/>
        <v>0</v>
      </c>
      <c r="H413" s="181">
        <f t="shared" si="43"/>
        <v>1.4901161193847656E-6</v>
      </c>
      <c r="I413" s="355"/>
      <c r="J413" s="358"/>
    </row>
    <row r="414" spans="2:10">
      <c r="B414" s="185" t="str">
        <f t="shared" si="38"/>
        <v/>
      </c>
      <c r="C414" s="186" t="str">
        <f t="shared" si="39"/>
        <v/>
      </c>
      <c r="D414" s="181">
        <f t="shared" si="40"/>
        <v>0</v>
      </c>
      <c r="E414" s="216">
        <v>8.8999999999999996E-2</v>
      </c>
      <c r="F414" s="181">
        <f t="shared" si="41"/>
        <v>0</v>
      </c>
      <c r="G414" s="181">
        <f t="shared" si="42"/>
        <v>0</v>
      </c>
      <c r="H414" s="181">
        <f t="shared" si="43"/>
        <v>1.4901161193847656E-6</v>
      </c>
      <c r="I414" s="355"/>
      <c r="J414" s="358"/>
    </row>
    <row r="415" spans="2:10">
      <c r="B415" s="185" t="str">
        <f t="shared" si="38"/>
        <v/>
      </c>
      <c r="C415" s="186" t="str">
        <f t="shared" si="39"/>
        <v/>
      </c>
      <c r="D415" s="181">
        <f t="shared" si="40"/>
        <v>0</v>
      </c>
      <c r="E415" s="216">
        <v>8.8999999999999996E-2</v>
      </c>
      <c r="F415" s="181">
        <f t="shared" si="41"/>
        <v>0</v>
      </c>
      <c r="G415" s="181">
        <f t="shared" si="42"/>
        <v>0</v>
      </c>
      <c r="H415" s="181">
        <f t="shared" si="43"/>
        <v>1.4901161193847656E-6</v>
      </c>
      <c r="I415" s="355"/>
      <c r="J415" s="358"/>
    </row>
    <row r="416" spans="2:10">
      <c r="B416" s="185" t="str">
        <f t="shared" si="38"/>
        <v/>
      </c>
      <c r="C416" s="186" t="str">
        <f t="shared" si="39"/>
        <v/>
      </c>
      <c r="D416" s="181">
        <f t="shared" si="40"/>
        <v>0</v>
      </c>
      <c r="E416" s="216">
        <v>8.8999999999999996E-2</v>
      </c>
      <c r="F416" s="181">
        <f t="shared" si="41"/>
        <v>0</v>
      </c>
      <c r="G416" s="181">
        <f t="shared" si="42"/>
        <v>0</v>
      </c>
      <c r="H416" s="181">
        <f t="shared" si="43"/>
        <v>1.4901161193847656E-6</v>
      </c>
      <c r="I416" s="355"/>
      <c r="J416" s="358"/>
    </row>
    <row r="417" spans="2:10">
      <c r="B417" s="185" t="str">
        <f t="shared" si="38"/>
        <v/>
      </c>
      <c r="C417" s="186" t="str">
        <f t="shared" si="39"/>
        <v/>
      </c>
      <c r="D417" s="181">
        <f t="shared" si="40"/>
        <v>0</v>
      </c>
      <c r="E417" s="216">
        <v>8.8999999999999996E-2</v>
      </c>
      <c r="F417" s="181">
        <f t="shared" si="41"/>
        <v>0</v>
      </c>
      <c r="G417" s="181">
        <f t="shared" si="42"/>
        <v>0</v>
      </c>
      <c r="H417" s="181">
        <f t="shared" si="43"/>
        <v>1.4901161193847656E-6</v>
      </c>
      <c r="I417" s="355"/>
      <c r="J417" s="358"/>
    </row>
    <row r="418" spans="2:10">
      <c r="B418" s="185" t="str">
        <f t="shared" si="38"/>
        <v/>
      </c>
      <c r="C418" s="186" t="str">
        <f t="shared" si="39"/>
        <v/>
      </c>
      <c r="D418" s="181">
        <f t="shared" si="40"/>
        <v>0</v>
      </c>
      <c r="E418" s="216">
        <v>8.8999999999999996E-2</v>
      </c>
      <c r="F418" s="181">
        <f t="shared" si="41"/>
        <v>0</v>
      </c>
      <c r="G418" s="181">
        <f t="shared" si="42"/>
        <v>0</v>
      </c>
      <c r="H418" s="181">
        <f t="shared" si="43"/>
        <v>1.4901161193847656E-6</v>
      </c>
      <c r="I418" s="355"/>
      <c r="J418" s="358"/>
    </row>
    <row r="419" spans="2:10">
      <c r="B419" s="185" t="str">
        <f t="shared" si="38"/>
        <v/>
      </c>
      <c r="C419" s="186" t="str">
        <f t="shared" si="39"/>
        <v/>
      </c>
      <c r="D419" s="181">
        <f t="shared" si="40"/>
        <v>0</v>
      </c>
      <c r="E419" s="216">
        <v>8.8999999999999996E-2</v>
      </c>
      <c r="F419" s="181">
        <f t="shared" si="41"/>
        <v>0</v>
      </c>
      <c r="G419" s="181">
        <f t="shared" si="42"/>
        <v>0</v>
      </c>
      <c r="H419" s="181">
        <f t="shared" si="43"/>
        <v>1.4901161193847656E-6</v>
      </c>
      <c r="I419" s="355"/>
      <c r="J419" s="358"/>
    </row>
    <row r="420" spans="2:10" ht="15" thickBot="1">
      <c r="B420" s="185" t="str">
        <f t="shared" si="38"/>
        <v/>
      </c>
      <c r="C420" s="186" t="str">
        <f t="shared" si="39"/>
        <v/>
      </c>
      <c r="D420" s="181">
        <f t="shared" si="40"/>
        <v>0</v>
      </c>
      <c r="E420" s="216">
        <v>8.8999999999999996E-2</v>
      </c>
      <c r="F420" s="181">
        <f t="shared" si="41"/>
        <v>0</v>
      </c>
      <c r="G420" s="181">
        <f t="shared" si="42"/>
        <v>0</v>
      </c>
      <c r="H420" s="181">
        <f t="shared" si="43"/>
        <v>1.4901161193847656E-6</v>
      </c>
      <c r="I420" s="356"/>
      <c r="J420" s="359"/>
    </row>
    <row r="421" spans="2:10">
      <c r="B421" s="183" t="str">
        <f t="shared" si="38"/>
        <v/>
      </c>
      <c r="C421" s="184" t="str">
        <f t="shared" si="39"/>
        <v/>
      </c>
      <c r="D421" s="180">
        <f t="shared" si="40"/>
        <v>0</v>
      </c>
      <c r="E421" s="215">
        <v>8.8999999999999996E-2</v>
      </c>
      <c r="F421" s="180">
        <f t="shared" si="41"/>
        <v>0</v>
      </c>
      <c r="G421" s="180">
        <f t="shared" si="42"/>
        <v>0</v>
      </c>
      <c r="H421" s="180">
        <f t="shared" si="43"/>
        <v>1.4901161193847656E-6</v>
      </c>
      <c r="I421" s="354">
        <v>35</v>
      </c>
      <c r="J421" s="357">
        <f>SUM(G421:G432)</f>
        <v>0</v>
      </c>
    </row>
    <row r="422" spans="2:10">
      <c r="B422" s="185" t="str">
        <f t="shared" si="38"/>
        <v/>
      </c>
      <c r="C422" s="186" t="str">
        <f t="shared" si="39"/>
        <v/>
      </c>
      <c r="D422" s="181">
        <f t="shared" si="40"/>
        <v>0</v>
      </c>
      <c r="E422" s="216">
        <v>8.8999999999999996E-2</v>
      </c>
      <c r="F422" s="181">
        <f t="shared" si="41"/>
        <v>0</v>
      </c>
      <c r="G422" s="181">
        <f t="shared" si="42"/>
        <v>0</v>
      </c>
      <c r="H422" s="181">
        <f t="shared" si="43"/>
        <v>1.4901161193847656E-6</v>
      </c>
      <c r="I422" s="355"/>
      <c r="J422" s="358"/>
    </row>
    <row r="423" spans="2:10">
      <c r="B423" s="185" t="str">
        <f t="shared" si="38"/>
        <v/>
      </c>
      <c r="C423" s="186" t="str">
        <f t="shared" si="39"/>
        <v/>
      </c>
      <c r="D423" s="181">
        <f t="shared" si="40"/>
        <v>0</v>
      </c>
      <c r="E423" s="216">
        <v>8.8999999999999996E-2</v>
      </c>
      <c r="F423" s="181">
        <f t="shared" si="41"/>
        <v>0</v>
      </c>
      <c r="G423" s="181">
        <f t="shared" si="42"/>
        <v>0</v>
      </c>
      <c r="H423" s="181">
        <f t="shared" si="43"/>
        <v>1.4901161193847656E-6</v>
      </c>
      <c r="I423" s="355"/>
      <c r="J423" s="358"/>
    </row>
    <row r="424" spans="2:10">
      <c r="B424" s="185" t="str">
        <f t="shared" si="38"/>
        <v/>
      </c>
      <c r="C424" s="186" t="str">
        <f t="shared" si="39"/>
        <v/>
      </c>
      <c r="D424" s="181">
        <f t="shared" si="40"/>
        <v>0</v>
      </c>
      <c r="E424" s="216">
        <v>8.8999999999999996E-2</v>
      </c>
      <c r="F424" s="181">
        <f t="shared" si="41"/>
        <v>0</v>
      </c>
      <c r="G424" s="181">
        <f t="shared" si="42"/>
        <v>0</v>
      </c>
      <c r="H424" s="181">
        <f t="shared" si="43"/>
        <v>1.4901161193847656E-6</v>
      </c>
      <c r="I424" s="355"/>
      <c r="J424" s="358"/>
    </row>
    <row r="425" spans="2:10">
      <c r="B425" s="185" t="str">
        <f t="shared" si="38"/>
        <v/>
      </c>
      <c r="C425" s="186" t="str">
        <f t="shared" si="39"/>
        <v/>
      </c>
      <c r="D425" s="181">
        <f t="shared" si="40"/>
        <v>0</v>
      </c>
      <c r="E425" s="216">
        <v>8.8999999999999996E-2</v>
      </c>
      <c r="F425" s="181">
        <f t="shared" si="41"/>
        <v>0</v>
      </c>
      <c r="G425" s="181">
        <f t="shared" si="42"/>
        <v>0</v>
      </c>
      <c r="H425" s="181">
        <f t="shared" si="43"/>
        <v>1.4901161193847656E-6</v>
      </c>
      <c r="I425" s="355"/>
      <c r="J425" s="358"/>
    </row>
    <row r="426" spans="2:10">
      <c r="B426" s="185" t="str">
        <f t="shared" si="38"/>
        <v/>
      </c>
      <c r="C426" s="186" t="str">
        <f t="shared" si="39"/>
        <v/>
      </c>
      <c r="D426" s="181">
        <f t="shared" si="40"/>
        <v>0</v>
      </c>
      <c r="E426" s="216">
        <v>8.8999999999999996E-2</v>
      </c>
      <c r="F426" s="181">
        <f t="shared" si="41"/>
        <v>0</v>
      </c>
      <c r="G426" s="181">
        <f t="shared" si="42"/>
        <v>0</v>
      </c>
      <c r="H426" s="181">
        <f t="shared" si="43"/>
        <v>1.4901161193847656E-6</v>
      </c>
      <c r="I426" s="355"/>
      <c r="J426" s="358"/>
    </row>
    <row r="427" spans="2:10">
      <c r="B427" s="185" t="str">
        <f t="shared" si="38"/>
        <v/>
      </c>
      <c r="C427" s="186" t="str">
        <f t="shared" si="39"/>
        <v/>
      </c>
      <c r="D427" s="181">
        <f t="shared" si="40"/>
        <v>0</v>
      </c>
      <c r="E427" s="216">
        <v>8.8999999999999996E-2</v>
      </c>
      <c r="F427" s="181">
        <f t="shared" si="41"/>
        <v>0</v>
      </c>
      <c r="G427" s="181">
        <f t="shared" si="42"/>
        <v>0</v>
      </c>
      <c r="H427" s="181">
        <f t="shared" si="43"/>
        <v>1.4901161193847656E-6</v>
      </c>
      <c r="I427" s="355"/>
      <c r="J427" s="358"/>
    </row>
    <row r="428" spans="2:10">
      <c r="B428" s="185" t="str">
        <f t="shared" si="38"/>
        <v/>
      </c>
      <c r="C428" s="186" t="str">
        <f t="shared" si="39"/>
        <v/>
      </c>
      <c r="D428" s="181">
        <f t="shared" si="40"/>
        <v>0</v>
      </c>
      <c r="E428" s="216">
        <v>8.8999999999999996E-2</v>
      </c>
      <c r="F428" s="181">
        <f t="shared" si="41"/>
        <v>0</v>
      </c>
      <c r="G428" s="181">
        <f t="shared" si="42"/>
        <v>0</v>
      </c>
      <c r="H428" s="181">
        <f t="shared" si="43"/>
        <v>1.4901161193847656E-6</v>
      </c>
      <c r="I428" s="355"/>
      <c r="J428" s="358"/>
    </row>
    <row r="429" spans="2:10">
      <c r="B429" s="185" t="str">
        <f t="shared" si="38"/>
        <v/>
      </c>
      <c r="C429" s="186" t="str">
        <f t="shared" si="39"/>
        <v/>
      </c>
      <c r="D429" s="181">
        <f t="shared" si="40"/>
        <v>0</v>
      </c>
      <c r="E429" s="216">
        <v>8.8999999999999996E-2</v>
      </c>
      <c r="F429" s="181">
        <f t="shared" si="41"/>
        <v>0</v>
      </c>
      <c r="G429" s="181">
        <f t="shared" si="42"/>
        <v>0</v>
      </c>
      <c r="H429" s="181">
        <f t="shared" si="43"/>
        <v>1.4901161193847656E-6</v>
      </c>
      <c r="I429" s="355"/>
      <c r="J429" s="358"/>
    </row>
    <row r="430" spans="2:10">
      <c r="B430" s="185" t="str">
        <f t="shared" si="38"/>
        <v/>
      </c>
      <c r="C430" s="186" t="str">
        <f t="shared" si="39"/>
        <v/>
      </c>
      <c r="D430" s="181">
        <f t="shared" si="40"/>
        <v>0</v>
      </c>
      <c r="E430" s="216">
        <v>8.8999999999999996E-2</v>
      </c>
      <c r="F430" s="181">
        <f t="shared" si="41"/>
        <v>0</v>
      </c>
      <c r="G430" s="181">
        <f t="shared" si="42"/>
        <v>0</v>
      </c>
      <c r="H430" s="181">
        <f t="shared" si="43"/>
        <v>1.4901161193847656E-6</v>
      </c>
      <c r="I430" s="355"/>
      <c r="J430" s="358"/>
    </row>
    <row r="431" spans="2:10">
      <c r="B431" s="185" t="str">
        <f t="shared" si="38"/>
        <v/>
      </c>
      <c r="C431" s="186" t="str">
        <f t="shared" si="39"/>
        <v/>
      </c>
      <c r="D431" s="181">
        <f t="shared" si="40"/>
        <v>0</v>
      </c>
      <c r="E431" s="216">
        <v>8.8999999999999996E-2</v>
      </c>
      <c r="F431" s="181">
        <f t="shared" si="41"/>
        <v>0</v>
      </c>
      <c r="G431" s="181">
        <f t="shared" si="42"/>
        <v>0</v>
      </c>
      <c r="H431" s="181">
        <f t="shared" si="43"/>
        <v>1.4901161193847656E-6</v>
      </c>
      <c r="I431" s="355"/>
      <c r="J431" s="358"/>
    </row>
    <row r="432" spans="2:10" ht="15" thickBot="1">
      <c r="B432" s="185" t="str">
        <f t="shared" si="38"/>
        <v/>
      </c>
      <c r="C432" s="186" t="str">
        <f t="shared" si="39"/>
        <v/>
      </c>
      <c r="D432" s="181">
        <f t="shared" si="40"/>
        <v>0</v>
      </c>
      <c r="E432" s="216">
        <v>8.8999999999999996E-2</v>
      </c>
      <c r="F432" s="181">
        <f t="shared" si="41"/>
        <v>0</v>
      </c>
      <c r="G432" s="181">
        <f t="shared" si="42"/>
        <v>0</v>
      </c>
      <c r="H432" s="181">
        <f t="shared" si="43"/>
        <v>1.4901161193847656E-6</v>
      </c>
      <c r="I432" s="356"/>
      <c r="J432" s="359"/>
    </row>
    <row r="433" spans="2:10">
      <c r="B433" s="183" t="str">
        <f t="shared" si="38"/>
        <v/>
      </c>
      <c r="C433" s="184" t="str">
        <f t="shared" si="39"/>
        <v/>
      </c>
      <c r="D433" s="180">
        <f t="shared" si="40"/>
        <v>0</v>
      </c>
      <c r="E433" s="215">
        <v>8.8999999999999996E-2</v>
      </c>
      <c r="F433" s="180">
        <f t="shared" si="41"/>
        <v>0</v>
      </c>
      <c r="G433" s="180">
        <f t="shared" si="42"/>
        <v>0</v>
      </c>
      <c r="H433" s="180">
        <f t="shared" si="43"/>
        <v>1.4901161193847656E-6</v>
      </c>
      <c r="I433" s="354">
        <v>36</v>
      </c>
      <c r="J433" s="357">
        <f>SUM(G433:G444)</f>
        <v>0</v>
      </c>
    </row>
    <row r="434" spans="2:10">
      <c r="B434" s="185" t="str">
        <f t="shared" si="38"/>
        <v/>
      </c>
      <c r="C434" s="186" t="str">
        <f t="shared" si="39"/>
        <v/>
      </c>
      <c r="D434" s="181">
        <f t="shared" si="40"/>
        <v>0</v>
      </c>
      <c r="E434" s="216">
        <v>8.8999999999999996E-2</v>
      </c>
      <c r="F434" s="181">
        <f t="shared" si="41"/>
        <v>0</v>
      </c>
      <c r="G434" s="181">
        <f t="shared" si="42"/>
        <v>0</v>
      </c>
      <c r="H434" s="181">
        <f t="shared" si="43"/>
        <v>1.4901161193847656E-6</v>
      </c>
      <c r="I434" s="355"/>
      <c r="J434" s="358"/>
    </row>
    <row r="435" spans="2:10">
      <c r="B435" s="185" t="str">
        <f t="shared" si="38"/>
        <v/>
      </c>
      <c r="C435" s="186" t="str">
        <f t="shared" si="39"/>
        <v/>
      </c>
      <c r="D435" s="181">
        <f t="shared" si="40"/>
        <v>0</v>
      </c>
      <c r="E435" s="216">
        <v>8.8999999999999996E-2</v>
      </c>
      <c r="F435" s="181">
        <f t="shared" si="41"/>
        <v>0</v>
      </c>
      <c r="G435" s="181">
        <f t="shared" si="42"/>
        <v>0</v>
      </c>
      <c r="H435" s="181">
        <f t="shared" si="43"/>
        <v>1.4901161193847656E-6</v>
      </c>
      <c r="I435" s="355"/>
      <c r="J435" s="358"/>
    </row>
    <row r="436" spans="2:10">
      <c r="B436" s="185" t="str">
        <f t="shared" si="38"/>
        <v/>
      </c>
      <c r="C436" s="186" t="str">
        <f t="shared" si="39"/>
        <v/>
      </c>
      <c r="D436" s="181">
        <f t="shared" si="40"/>
        <v>0</v>
      </c>
      <c r="E436" s="216">
        <v>8.8999999999999996E-2</v>
      </c>
      <c r="F436" s="181">
        <f t="shared" si="41"/>
        <v>0</v>
      </c>
      <c r="G436" s="181">
        <f t="shared" si="42"/>
        <v>0</v>
      </c>
      <c r="H436" s="181">
        <f t="shared" si="43"/>
        <v>1.4901161193847656E-6</v>
      </c>
      <c r="I436" s="355"/>
      <c r="J436" s="358"/>
    </row>
    <row r="437" spans="2:10">
      <c r="B437" s="185" t="str">
        <f t="shared" si="38"/>
        <v/>
      </c>
      <c r="C437" s="186" t="str">
        <f t="shared" si="39"/>
        <v/>
      </c>
      <c r="D437" s="181">
        <f t="shared" si="40"/>
        <v>0</v>
      </c>
      <c r="E437" s="216">
        <v>8.8999999999999996E-2</v>
      </c>
      <c r="F437" s="181">
        <f t="shared" si="41"/>
        <v>0</v>
      </c>
      <c r="G437" s="181">
        <f t="shared" si="42"/>
        <v>0</v>
      </c>
      <c r="H437" s="181">
        <f t="shared" si="43"/>
        <v>1.4901161193847656E-6</v>
      </c>
      <c r="I437" s="355"/>
      <c r="J437" s="358"/>
    </row>
    <row r="438" spans="2:10">
      <c r="B438" s="185" t="str">
        <f t="shared" si="38"/>
        <v/>
      </c>
      <c r="C438" s="186" t="str">
        <f t="shared" si="39"/>
        <v/>
      </c>
      <c r="D438" s="181">
        <f t="shared" si="40"/>
        <v>0</v>
      </c>
      <c r="E438" s="216">
        <v>8.8999999999999996E-2</v>
      </c>
      <c r="F438" s="181">
        <f t="shared" si="41"/>
        <v>0</v>
      </c>
      <c r="G438" s="181">
        <f t="shared" si="42"/>
        <v>0</v>
      </c>
      <c r="H438" s="181">
        <f t="shared" si="43"/>
        <v>1.4901161193847656E-6</v>
      </c>
      <c r="I438" s="355"/>
      <c r="J438" s="358"/>
    </row>
    <row r="439" spans="2:10">
      <c r="B439" s="185" t="str">
        <f t="shared" si="38"/>
        <v/>
      </c>
      <c r="C439" s="186" t="str">
        <f t="shared" si="39"/>
        <v/>
      </c>
      <c r="D439" s="181">
        <f t="shared" si="40"/>
        <v>0</v>
      </c>
      <c r="E439" s="216">
        <v>8.8999999999999996E-2</v>
      </c>
      <c r="F439" s="181">
        <f t="shared" si="41"/>
        <v>0</v>
      </c>
      <c r="G439" s="181">
        <f t="shared" si="42"/>
        <v>0</v>
      </c>
      <c r="H439" s="181">
        <f t="shared" si="43"/>
        <v>1.4901161193847656E-6</v>
      </c>
      <c r="I439" s="355"/>
      <c r="J439" s="358"/>
    </row>
    <row r="440" spans="2:10">
      <c r="B440" s="185" t="str">
        <f t="shared" si="38"/>
        <v/>
      </c>
      <c r="C440" s="186" t="str">
        <f t="shared" si="39"/>
        <v/>
      </c>
      <c r="D440" s="181">
        <f t="shared" si="40"/>
        <v>0</v>
      </c>
      <c r="E440" s="216">
        <v>8.8999999999999996E-2</v>
      </c>
      <c r="F440" s="181">
        <f t="shared" si="41"/>
        <v>0</v>
      </c>
      <c r="G440" s="181">
        <f t="shared" si="42"/>
        <v>0</v>
      </c>
      <c r="H440" s="181">
        <f t="shared" si="43"/>
        <v>1.4901161193847656E-6</v>
      </c>
      <c r="I440" s="355"/>
      <c r="J440" s="358"/>
    </row>
    <row r="441" spans="2:10">
      <c r="B441" s="185" t="str">
        <f t="shared" si="38"/>
        <v/>
      </c>
      <c r="C441" s="186" t="str">
        <f t="shared" si="39"/>
        <v/>
      </c>
      <c r="D441" s="181">
        <f t="shared" si="40"/>
        <v>0</v>
      </c>
      <c r="E441" s="216">
        <v>8.8999999999999996E-2</v>
      </c>
      <c r="F441" s="181">
        <f t="shared" si="41"/>
        <v>0</v>
      </c>
      <c r="G441" s="181">
        <f t="shared" si="42"/>
        <v>0</v>
      </c>
      <c r="H441" s="181">
        <f t="shared" si="43"/>
        <v>1.4901161193847656E-6</v>
      </c>
      <c r="I441" s="355"/>
      <c r="J441" s="358"/>
    </row>
    <row r="442" spans="2:10">
      <c r="B442" s="185" t="str">
        <f t="shared" si="38"/>
        <v/>
      </c>
      <c r="C442" s="186" t="str">
        <f t="shared" si="39"/>
        <v/>
      </c>
      <c r="D442" s="181">
        <f t="shared" si="40"/>
        <v>0</v>
      </c>
      <c r="E442" s="216">
        <v>8.8999999999999996E-2</v>
      </c>
      <c r="F442" s="181">
        <f t="shared" si="41"/>
        <v>0</v>
      </c>
      <c r="G442" s="181">
        <f t="shared" si="42"/>
        <v>0</v>
      </c>
      <c r="H442" s="181">
        <f t="shared" si="43"/>
        <v>1.4901161193847656E-6</v>
      </c>
      <c r="I442" s="355"/>
      <c r="J442" s="358"/>
    </row>
    <row r="443" spans="2:10">
      <c r="B443" s="185" t="str">
        <f t="shared" si="38"/>
        <v/>
      </c>
      <c r="C443" s="186" t="str">
        <f t="shared" si="39"/>
        <v/>
      </c>
      <c r="D443" s="181">
        <f t="shared" si="40"/>
        <v>0</v>
      </c>
      <c r="E443" s="216">
        <v>8.8999999999999996E-2</v>
      </c>
      <c r="F443" s="181">
        <f t="shared" si="41"/>
        <v>0</v>
      </c>
      <c r="G443" s="181">
        <f t="shared" si="42"/>
        <v>0</v>
      </c>
      <c r="H443" s="181">
        <f t="shared" si="43"/>
        <v>1.4901161193847656E-6</v>
      </c>
      <c r="I443" s="355"/>
      <c r="J443" s="358"/>
    </row>
    <row r="444" spans="2:10" ht="15" thickBot="1">
      <c r="B444" s="185" t="str">
        <f t="shared" si="38"/>
        <v/>
      </c>
      <c r="C444" s="186" t="str">
        <f t="shared" si="39"/>
        <v/>
      </c>
      <c r="D444" s="181">
        <f t="shared" si="40"/>
        <v>0</v>
      </c>
      <c r="E444" s="216">
        <v>8.8999999999999996E-2</v>
      </c>
      <c r="F444" s="181">
        <f t="shared" si="41"/>
        <v>0</v>
      </c>
      <c r="G444" s="181">
        <f t="shared" si="42"/>
        <v>0</v>
      </c>
      <c r="H444" s="181">
        <f t="shared" si="43"/>
        <v>1.4901161193847656E-6</v>
      </c>
      <c r="I444" s="356"/>
      <c r="J444" s="359"/>
    </row>
    <row r="445" spans="2:10">
      <c r="B445" s="183" t="str">
        <f t="shared" si="38"/>
        <v/>
      </c>
      <c r="C445" s="184" t="str">
        <f t="shared" si="39"/>
        <v/>
      </c>
      <c r="D445" s="180">
        <f t="shared" si="40"/>
        <v>0</v>
      </c>
      <c r="E445" s="215">
        <v>8.8999999999999996E-2</v>
      </c>
      <c r="F445" s="180">
        <f t="shared" si="41"/>
        <v>0</v>
      </c>
      <c r="G445" s="180">
        <f t="shared" si="42"/>
        <v>0</v>
      </c>
      <c r="H445" s="180">
        <f t="shared" si="43"/>
        <v>1.4901161193847656E-6</v>
      </c>
      <c r="I445" s="354">
        <v>37</v>
      </c>
      <c r="J445" s="357">
        <f>SUM(G445:G456)</f>
        <v>0</v>
      </c>
    </row>
    <row r="446" spans="2:10">
      <c r="B446" s="185" t="str">
        <f t="shared" si="38"/>
        <v/>
      </c>
      <c r="C446" s="186" t="str">
        <f t="shared" si="39"/>
        <v/>
      </c>
      <c r="D446" s="181">
        <f t="shared" si="40"/>
        <v>0</v>
      </c>
      <c r="E446" s="216">
        <v>8.8999999999999996E-2</v>
      </c>
      <c r="F446" s="181">
        <f t="shared" si="41"/>
        <v>0</v>
      </c>
      <c r="G446" s="181">
        <f t="shared" si="42"/>
        <v>0</v>
      </c>
      <c r="H446" s="181">
        <f t="shared" si="43"/>
        <v>1.4901161193847656E-6</v>
      </c>
      <c r="I446" s="355"/>
      <c r="J446" s="358"/>
    </row>
    <row r="447" spans="2:10">
      <c r="B447" s="185" t="str">
        <f t="shared" si="38"/>
        <v/>
      </c>
      <c r="C447" s="186" t="str">
        <f t="shared" si="39"/>
        <v/>
      </c>
      <c r="D447" s="181">
        <f t="shared" si="40"/>
        <v>0</v>
      </c>
      <c r="E447" s="216">
        <v>8.8999999999999996E-2</v>
      </c>
      <c r="F447" s="181">
        <f t="shared" si="41"/>
        <v>0</v>
      </c>
      <c r="G447" s="181">
        <f t="shared" si="42"/>
        <v>0</v>
      </c>
      <c r="H447" s="181">
        <f t="shared" si="43"/>
        <v>1.4901161193847656E-6</v>
      </c>
      <c r="I447" s="355"/>
      <c r="J447" s="358"/>
    </row>
    <row r="448" spans="2:10">
      <c r="B448" s="185" t="str">
        <f t="shared" si="38"/>
        <v/>
      </c>
      <c r="C448" s="186" t="str">
        <f t="shared" si="39"/>
        <v/>
      </c>
      <c r="D448" s="181">
        <f t="shared" si="40"/>
        <v>0</v>
      </c>
      <c r="E448" s="216">
        <v>8.8999999999999996E-2</v>
      </c>
      <c r="F448" s="181">
        <f t="shared" si="41"/>
        <v>0</v>
      </c>
      <c r="G448" s="181">
        <f t="shared" si="42"/>
        <v>0</v>
      </c>
      <c r="H448" s="181">
        <f t="shared" si="43"/>
        <v>1.4901161193847656E-6</v>
      </c>
      <c r="I448" s="355"/>
      <c r="J448" s="358"/>
    </row>
    <row r="449" spans="2:10">
      <c r="B449" s="185" t="str">
        <f t="shared" si="38"/>
        <v/>
      </c>
      <c r="C449" s="186" t="str">
        <f t="shared" si="39"/>
        <v/>
      </c>
      <c r="D449" s="181">
        <f t="shared" si="40"/>
        <v>0</v>
      </c>
      <c r="E449" s="216">
        <v>8.8999999999999996E-2</v>
      </c>
      <c r="F449" s="181">
        <f t="shared" si="41"/>
        <v>0</v>
      </c>
      <c r="G449" s="181">
        <f t="shared" si="42"/>
        <v>0</v>
      </c>
      <c r="H449" s="181">
        <f t="shared" si="43"/>
        <v>1.4901161193847656E-6</v>
      </c>
      <c r="I449" s="355"/>
      <c r="J449" s="358"/>
    </row>
    <row r="450" spans="2:10">
      <c r="B450" s="185" t="str">
        <f t="shared" si="38"/>
        <v/>
      </c>
      <c r="C450" s="186" t="str">
        <f t="shared" si="39"/>
        <v/>
      </c>
      <c r="D450" s="181">
        <f t="shared" si="40"/>
        <v>0</v>
      </c>
      <c r="E450" s="216">
        <v>8.8999999999999996E-2</v>
      </c>
      <c r="F450" s="181">
        <f t="shared" si="41"/>
        <v>0</v>
      </c>
      <c r="G450" s="181">
        <f t="shared" si="42"/>
        <v>0</v>
      </c>
      <c r="H450" s="181">
        <f t="shared" si="43"/>
        <v>1.4901161193847656E-6</v>
      </c>
      <c r="I450" s="355"/>
      <c r="J450" s="358"/>
    </row>
    <row r="451" spans="2:10">
      <c r="B451" s="185" t="str">
        <f t="shared" si="38"/>
        <v/>
      </c>
      <c r="C451" s="186" t="str">
        <f t="shared" si="39"/>
        <v/>
      </c>
      <c r="D451" s="181">
        <f t="shared" si="40"/>
        <v>0</v>
      </c>
      <c r="E451" s="216">
        <v>8.8999999999999996E-2</v>
      </c>
      <c r="F451" s="181">
        <f t="shared" si="41"/>
        <v>0</v>
      </c>
      <c r="G451" s="181">
        <f t="shared" si="42"/>
        <v>0</v>
      </c>
      <c r="H451" s="181">
        <f t="shared" si="43"/>
        <v>1.4901161193847656E-6</v>
      </c>
      <c r="I451" s="355"/>
      <c r="J451" s="358"/>
    </row>
    <row r="452" spans="2:10">
      <c r="B452" s="185" t="str">
        <f t="shared" si="38"/>
        <v/>
      </c>
      <c r="C452" s="186" t="str">
        <f t="shared" si="39"/>
        <v/>
      </c>
      <c r="D452" s="181">
        <f t="shared" si="40"/>
        <v>0</v>
      </c>
      <c r="E452" s="216">
        <v>8.8999999999999996E-2</v>
      </c>
      <c r="F452" s="181">
        <f t="shared" si="41"/>
        <v>0</v>
      </c>
      <c r="G452" s="181">
        <f t="shared" si="42"/>
        <v>0</v>
      </c>
      <c r="H452" s="181">
        <f t="shared" si="43"/>
        <v>1.4901161193847656E-6</v>
      </c>
      <c r="I452" s="355"/>
      <c r="J452" s="358"/>
    </row>
    <row r="453" spans="2:10">
      <c r="B453" s="185" t="str">
        <f t="shared" si="38"/>
        <v/>
      </c>
      <c r="C453" s="186" t="str">
        <f t="shared" si="39"/>
        <v/>
      </c>
      <c r="D453" s="181">
        <f t="shared" si="40"/>
        <v>0</v>
      </c>
      <c r="E453" s="216">
        <v>8.8999999999999996E-2</v>
      </c>
      <c r="F453" s="181">
        <f t="shared" si="41"/>
        <v>0</v>
      </c>
      <c r="G453" s="181">
        <f t="shared" si="42"/>
        <v>0</v>
      </c>
      <c r="H453" s="181">
        <f t="shared" si="43"/>
        <v>1.4901161193847656E-6</v>
      </c>
      <c r="I453" s="355"/>
      <c r="J453" s="358"/>
    </row>
    <row r="454" spans="2:10">
      <c r="B454" s="185" t="str">
        <f t="shared" si="38"/>
        <v/>
      </c>
      <c r="C454" s="186" t="str">
        <f t="shared" si="39"/>
        <v/>
      </c>
      <c r="D454" s="181">
        <f t="shared" si="40"/>
        <v>0</v>
      </c>
      <c r="E454" s="216">
        <v>8.8999999999999996E-2</v>
      </c>
      <c r="F454" s="181">
        <f t="shared" si="41"/>
        <v>0</v>
      </c>
      <c r="G454" s="181">
        <f t="shared" si="42"/>
        <v>0</v>
      </c>
      <c r="H454" s="181">
        <f t="shared" si="43"/>
        <v>1.4901161193847656E-6</v>
      </c>
      <c r="I454" s="355"/>
      <c r="J454" s="358"/>
    </row>
    <row r="455" spans="2:10">
      <c r="B455" s="185" t="str">
        <f t="shared" si="38"/>
        <v/>
      </c>
      <c r="C455" s="186" t="str">
        <f t="shared" si="39"/>
        <v/>
      </c>
      <c r="D455" s="181">
        <f t="shared" si="40"/>
        <v>0</v>
      </c>
      <c r="E455" s="216">
        <v>8.8999999999999996E-2</v>
      </c>
      <c r="F455" s="181">
        <f t="shared" si="41"/>
        <v>0</v>
      </c>
      <c r="G455" s="181">
        <f t="shared" si="42"/>
        <v>0</v>
      </c>
      <c r="H455" s="181">
        <f t="shared" si="43"/>
        <v>1.4901161193847656E-6</v>
      </c>
      <c r="I455" s="355"/>
      <c r="J455" s="358"/>
    </row>
    <row r="456" spans="2:10" ht="15" thickBot="1">
      <c r="B456" s="185" t="str">
        <f t="shared" si="38"/>
        <v/>
      </c>
      <c r="C456" s="186" t="str">
        <f t="shared" si="39"/>
        <v/>
      </c>
      <c r="D456" s="181">
        <f t="shared" si="40"/>
        <v>0</v>
      </c>
      <c r="E456" s="216">
        <v>8.8999999999999996E-2</v>
      </c>
      <c r="F456" s="181">
        <f t="shared" si="41"/>
        <v>0</v>
      </c>
      <c r="G456" s="181">
        <f t="shared" si="42"/>
        <v>0</v>
      </c>
      <c r="H456" s="181">
        <f t="shared" si="43"/>
        <v>1.4901161193847656E-6</v>
      </c>
      <c r="I456" s="356"/>
      <c r="J456" s="359"/>
    </row>
    <row r="457" spans="2:10">
      <c r="B457" s="183" t="str">
        <f t="shared" si="38"/>
        <v/>
      </c>
      <c r="C457" s="184" t="str">
        <f t="shared" si="39"/>
        <v/>
      </c>
      <c r="D457" s="180">
        <f t="shared" si="40"/>
        <v>0</v>
      </c>
      <c r="E457" s="215">
        <v>8.8999999999999996E-2</v>
      </c>
      <c r="F457" s="180">
        <f t="shared" si="41"/>
        <v>0</v>
      </c>
      <c r="G457" s="180">
        <f t="shared" si="42"/>
        <v>0</v>
      </c>
      <c r="H457" s="180">
        <f t="shared" si="43"/>
        <v>1.4901161193847656E-6</v>
      </c>
      <c r="I457" s="354">
        <v>38</v>
      </c>
      <c r="J457" s="357">
        <f>SUM(G457:G468)</f>
        <v>0</v>
      </c>
    </row>
    <row r="458" spans="2:10">
      <c r="B458" s="185" t="str">
        <f t="shared" si="38"/>
        <v/>
      </c>
      <c r="C458" s="186" t="str">
        <f t="shared" si="39"/>
        <v/>
      </c>
      <c r="D458" s="181">
        <f t="shared" si="40"/>
        <v>0</v>
      </c>
      <c r="E458" s="216">
        <v>8.8999999999999996E-2</v>
      </c>
      <c r="F458" s="181">
        <f t="shared" si="41"/>
        <v>0</v>
      </c>
      <c r="G458" s="181">
        <f t="shared" si="42"/>
        <v>0</v>
      </c>
      <c r="H458" s="181">
        <f t="shared" si="43"/>
        <v>1.4901161193847656E-6</v>
      </c>
      <c r="I458" s="355"/>
      <c r="J458" s="358"/>
    </row>
    <row r="459" spans="2:10">
      <c r="B459" s="185" t="str">
        <f t="shared" si="38"/>
        <v/>
      </c>
      <c r="C459" s="186" t="str">
        <f t="shared" si="39"/>
        <v/>
      </c>
      <c r="D459" s="181">
        <f t="shared" si="40"/>
        <v>0</v>
      </c>
      <c r="E459" s="216">
        <v>8.8999999999999996E-2</v>
      </c>
      <c r="F459" s="181">
        <f t="shared" si="41"/>
        <v>0</v>
      </c>
      <c r="G459" s="181">
        <f t="shared" si="42"/>
        <v>0</v>
      </c>
      <c r="H459" s="181">
        <f t="shared" si="43"/>
        <v>1.4901161193847656E-6</v>
      </c>
      <c r="I459" s="355"/>
      <c r="J459" s="358"/>
    </row>
    <row r="460" spans="2:10">
      <c r="B460" s="185" t="str">
        <f t="shared" si="38"/>
        <v/>
      </c>
      <c r="C460" s="186" t="str">
        <f t="shared" si="39"/>
        <v/>
      </c>
      <c r="D460" s="181">
        <f t="shared" si="40"/>
        <v>0</v>
      </c>
      <c r="E460" s="216">
        <v>8.8999999999999996E-2</v>
      </c>
      <c r="F460" s="181">
        <f t="shared" si="41"/>
        <v>0</v>
      </c>
      <c r="G460" s="181">
        <f t="shared" si="42"/>
        <v>0</v>
      </c>
      <c r="H460" s="181">
        <f t="shared" si="43"/>
        <v>1.4901161193847656E-6</v>
      </c>
      <c r="I460" s="355"/>
      <c r="J460" s="358"/>
    </row>
    <row r="461" spans="2:10">
      <c r="B461" s="185" t="str">
        <f t="shared" si="38"/>
        <v/>
      </c>
      <c r="C461" s="186" t="str">
        <f t="shared" si="39"/>
        <v/>
      </c>
      <c r="D461" s="181">
        <f t="shared" si="40"/>
        <v>0</v>
      </c>
      <c r="E461" s="216">
        <v>8.8999999999999996E-2</v>
      </c>
      <c r="F461" s="181">
        <f t="shared" si="41"/>
        <v>0</v>
      </c>
      <c r="G461" s="181">
        <f t="shared" si="42"/>
        <v>0</v>
      </c>
      <c r="H461" s="181">
        <f t="shared" si="43"/>
        <v>1.4901161193847656E-6</v>
      </c>
      <c r="I461" s="355"/>
      <c r="J461" s="358"/>
    </row>
    <row r="462" spans="2:10">
      <c r="B462" s="185" t="str">
        <f t="shared" si="38"/>
        <v/>
      </c>
      <c r="C462" s="186" t="str">
        <f t="shared" si="39"/>
        <v/>
      </c>
      <c r="D462" s="181">
        <f t="shared" si="40"/>
        <v>0</v>
      </c>
      <c r="E462" s="216">
        <v>8.8999999999999996E-2</v>
      </c>
      <c r="F462" s="181">
        <f t="shared" si="41"/>
        <v>0</v>
      </c>
      <c r="G462" s="181">
        <f t="shared" si="42"/>
        <v>0</v>
      </c>
      <c r="H462" s="181">
        <f t="shared" si="43"/>
        <v>1.4901161193847656E-6</v>
      </c>
      <c r="I462" s="355"/>
      <c r="J462" s="358"/>
    </row>
    <row r="463" spans="2:10">
      <c r="B463" s="185" t="str">
        <f t="shared" ref="B463:B526" si="44">IF(B462&lt;$D$7,B462+1,"")</f>
        <v/>
      </c>
      <c r="C463" s="186" t="str">
        <f t="shared" ref="C463:C526" si="45">IF(B463&lt;&gt;"",EDATE(C462,1),"")</f>
        <v/>
      </c>
      <c r="D463" s="181">
        <f t="shared" ref="D463:D526" si="46">IFERROR(IF(B463&lt;=$D$7,H462*E463/12,0),0)</f>
        <v>0</v>
      </c>
      <c r="E463" s="216">
        <v>8.8999999999999996E-2</v>
      </c>
      <c r="F463" s="181">
        <f t="shared" ref="F463:F526" si="47">IFERROR(IF(B463&lt;=$D$7,$D$6/$D$7,0),0)</f>
        <v>0</v>
      </c>
      <c r="G463" s="181">
        <f t="shared" ref="G463:G526" si="48">D463+F463</f>
        <v>0</v>
      </c>
      <c r="H463" s="181">
        <f t="shared" ref="H463:H526" si="49">H462-F463</f>
        <v>1.4901161193847656E-6</v>
      </c>
      <c r="I463" s="355"/>
      <c r="J463" s="358"/>
    </row>
    <row r="464" spans="2:10">
      <c r="B464" s="185" t="str">
        <f t="shared" si="44"/>
        <v/>
      </c>
      <c r="C464" s="186" t="str">
        <f t="shared" si="45"/>
        <v/>
      </c>
      <c r="D464" s="181">
        <f t="shared" si="46"/>
        <v>0</v>
      </c>
      <c r="E464" s="216">
        <v>8.8999999999999996E-2</v>
      </c>
      <c r="F464" s="181">
        <f t="shared" si="47"/>
        <v>0</v>
      </c>
      <c r="G464" s="181">
        <f t="shared" si="48"/>
        <v>0</v>
      </c>
      <c r="H464" s="181">
        <f t="shared" si="49"/>
        <v>1.4901161193847656E-6</v>
      </c>
      <c r="I464" s="355"/>
      <c r="J464" s="358"/>
    </row>
    <row r="465" spans="2:10">
      <c r="B465" s="185" t="str">
        <f t="shared" si="44"/>
        <v/>
      </c>
      <c r="C465" s="186" t="str">
        <f t="shared" si="45"/>
        <v/>
      </c>
      <c r="D465" s="181">
        <f t="shared" si="46"/>
        <v>0</v>
      </c>
      <c r="E465" s="216">
        <v>8.8999999999999996E-2</v>
      </c>
      <c r="F465" s="181">
        <f t="shared" si="47"/>
        <v>0</v>
      </c>
      <c r="G465" s="181">
        <f t="shared" si="48"/>
        <v>0</v>
      </c>
      <c r="H465" s="181">
        <f t="shared" si="49"/>
        <v>1.4901161193847656E-6</v>
      </c>
      <c r="I465" s="355"/>
      <c r="J465" s="358"/>
    </row>
    <row r="466" spans="2:10">
      <c r="B466" s="185" t="str">
        <f t="shared" si="44"/>
        <v/>
      </c>
      <c r="C466" s="186" t="str">
        <f t="shared" si="45"/>
        <v/>
      </c>
      <c r="D466" s="181">
        <f t="shared" si="46"/>
        <v>0</v>
      </c>
      <c r="E466" s="216">
        <v>8.8999999999999996E-2</v>
      </c>
      <c r="F466" s="181">
        <f t="shared" si="47"/>
        <v>0</v>
      </c>
      <c r="G466" s="181">
        <f t="shared" si="48"/>
        <v>0</v>
      </c>
      <c r="H466" s="181">
        <f t="shared" si="49"/>
        <v>1.4901161193847656E-6</v>
      </c>
      <c r="I466" s="355"/>
      <c r="J466" s="358"/>
    </row>
    <row r="467" spans="2:10">
      <c r="B467" s="185" t="str">
        <f t="shared" si="44"/>
        <v/>
      </c>
      <c r="C467" s="186" t="str">
        <f t="shared" si="45"/>
        <v/>
      </c>
      <c r="D467" s="181">
        <f t="shared" si="46"/>
        <v>0</v>
      </c>
      <c r="E467" s="216">
        <v>8.8999999999999996E-2</v>
      </c>
      <c r="F467" s="181">
        <f t="shared" si="47"/>
        <v>0</v>
      </c>
      <c r="G467" s="181">
        <f t="shared" si="48"/>
        <v>0</v>
      </c>
      <c r="H467" s="181">
        <f t="shared" si="49"/>
        <v>1.4901161193847656E-6</v>
      </c>
      <c r="I467" s="355"/>
      <c r="J467" s="358"/>
    </row>
    <row r="468" spans="2:10" ht="15" thickBot="1">
      <c r="B468" s="185" t="str">
        <f t="shared" si="44"/>
        <v/>
      </c>
      <c r="C468" s="186" t="str">
        <f t="shared" si="45"/>
        <v/>
      </c>
      <c r="D468" s="181">
        <f t="shared" si="46"/>
        <v>0</v>
      </c>
      <c r="E468" s="216">
        <v>8.8999999999999996E-2</v>
      </c>
      <c r="F468" s="181">
        <f t="shared" si="47"/>
        <v>0</v>
      </c>
      <c r="G468" s="181">
        <f t="shared" si="48"/>
        <v>0</v>
      </c>
      <c r="H468" s="181">
        <f t="shared" si="49"/>
        <v>1.4901161193847656E-6</v>
      </c>
      <c r="I468" s="356"/>
      <c r="J468" s="359"/>
    </row>
    <row r="469" spans="2:10">
      <c r="B469" s="183" t="str">
        <f t="shared" si="44"/>
        <v/>
      </c>
      <c r="C469" s="184" t="str">
        <f t="shared" si="45"/>
        <v/>
      </c>
      <c r="D469" s="180">
        <f t="shared" si="46"/>
        <v>0</v>
      </c>
      <c r="E469" s="215">
        <v>8.8999999999999996E-2</v>
      </c>
      <c r="F469" s="180">
        <f t="shared" si="47"/>
        <v>0</v>
      </c>
      <c r="G469" s="180">
        <f t="shared" si="48"/>
        <v>0</v>
      </c>
      <c r="H469" s="180">
        <f t="shared" si="49"/>
        <v>1.4901161193847656E-6</v>
      </c>
      <c r="I469" s="354">
        <v>39</v>
      </c>
      <c r="J469" s="357">
        <f>SUM(G469:G480)</f>
        <v>0</v>
      </c>
    </row>
    <row r="470" spans="2:10">
      <c r="B470" s="185" t="str">
        <f t="shared" si="44"/>
        <v/>
      </c>
      <c r="C470" s="186" t="str">
        <f t="shared" si="45"/>
        <v/>
      </c>
      <c r="D470" s="181">
        <f t="shared" si="46"/>
        <v>0</v>
      </c>
      <c r="E470" s="216">
        <v>8.8999999999999996E-2</v>
      </c>
      <c r="F470" s="181">
        <f t="shared" si="47"/>
        <v>0</v>
      </c>
      <c r="G470" s="181">
        <f t="shared" si="48"/>
        <v>0</v>
      </c>
      <c r="H470" s="181">
        <f t="shared" si="49"/>
        <v>1.4901161193847656E-6</v>
      </c>
      <c r="I470" s="355"/>
      <c r="J470" s="358"/>
    </row>
    <row r="471" spans="2:10">
      <c r="B471" s="185" t="str">
        <f t="shared" si="44"/>
        <v/>
      </c>
      <c r="C471" s="186" t="str">
        <f t="shared" si="45"/>
        <v/>
      </c>
      <c r="D471" s="181">
        <f t="shared" si="46"/>
        <v>0</v>
      </c>
      <c r="E471" s="216">
        <v>8.8999999999999996E-2</v>
      </c>
      <c r="F471" s="181">
        <f t="shared" si="47"/>
        <v>0</v>
      </c>
      <c r="G471" s="181">
        <f t="shared" si="48"/>
        <v>0</v>
      </c>
      <c r="H471" s="181">
        <f t="shared" si="49"/>
        <v>1.4901161193847656E-6</v>
      </c>
      <c r="I471" s="355"/>
      <c r="J471" s="358"/>
    </row>
    <row r="472" spans="2:10">
      <c r="B472" s="185" t="str">
        <f t="shared" si="44"/>
        <v/>
      </c>
      <c r="C472" s="186" t="str">
        <f t="shared" si="45"/>
        <v/>
      </c>
      <c r="D472" s="181">
        <f t="shared" si="46"/>
        <v>0</v>
      </c>
      <c r="E472" s="216">
        <v>8.8999999999999996E-2</v>
      </c>
      <c r="F472" s="181">
        <f t="shared" si="47"/>
        <v>0</v>
      </c>
      <c r="G472" s="181">
        <f t="shared" si="48"/>
        <v>0</v>
      </c>
      <c r="H472" s="181">
        <f t="shared" si="49"/>
        <v>1.4901161193847656E-6</v>
      </c>
      <c r="I472" s="355"/>
      <c r="J472" s="358"/>
    </row>
    <row r="473" spans="2:10">
      <c r="B473" s="185" t="str">
        <f t="shared" si="44"/>
        <v/>
      </c>
      <c r="C473" s="186" t="str">
        <f t="shared" si="45"/>
        <v/>
      </c>
      <c r="D473" s="181">
        <f t="shared" si="46"/>
        <v>0</v>
      </c>
      <c r="E473" s="216">
        <v>8.8999999999999996E-2</v>
      </c>
      <c r="F473" s="181">
        <f t="shared" si="47"/>
        <v>0</v>
      </c>
      <c r="G473" s="181">
        <f t="shared" si="48"/>
        <v>0</v>
      </c>
      <c r="H473" s="181">
        <f t="shared" si="49"/>
        <v>1.4901161193847656E-6</v>
      </c>
      <c r="I473" s="355"/>
      <c r="J473" s="358"/>
    </row>
    <row r="474" spans="2:10">
      <c r="B474" s="185" t="str">
        <f t="shared" si="44"/>
        <v/>
      </c>
      <c r="C474" s="186" t="str">
        <f t="shared" si="45"/>
        <v/>
      </c>
      <c r="D474" s="181">
        <f t="shared" si="46"/>
        <v>0</v>
      </c>
      <c r="E474" s="216">
        <v>8.8999999999999996E-2</v>
      </c>
      <c r="F474" s="181">
        <f t="shared" si="47"/>
        <v>0</v>
      </c>
      <c r="G474" s="181">
        <f t="shared" si="48"/>
        <v>0</v>
      </c>
      <c r="H474" s="181">
        <f t="shared" si="49"/>
        <v>1.4901161193847656E-6</v>
      </c>
      <c r="I474" s="355"/>
      <c r="J474" s="358"/>
    </row>
    <row r="475" spans="2:10">
      <c r="B475" s="185" t="str">
        <f t="shared" si="44"/>
        <v/>
      </c>
      <c r="C475" s="186" t="str">
        <f t="shared" si="45"/>
        <v/>
      </c>
      <c r="D475" s="181">
        <f t="shared" si="46"/>
        <v>0</v>
      </c>
      <c r="E475" s="216">
        <v>8.8999999999999996E-2</v>
      </c>
      <c r="F475" s="181">
        <f t="shared" si="47"/>
        <v>0</v>
      </c>
      <c r="G475" s="181">
        <f t="shared" si="48"/>
        <v>0</v>
      </c>
      <c r="H475" s="181">
        <f t="shared" si="49"/>
        <v>1.4901161193847656E-6</v>
      </c>
      <c r="I475" s="355"/>
      <c r="J475" s="358"/>
    </row>
    <row r="476" spans="2:10">
      <c r="B476" s="185" t="str">
        <f t="shared" si="44"/>
        <v/>
      </c>
      <c r="C476" s="186" t="str">
        <f t="shared" si="45"/>
        <v/>
      </c>
      <c r="D476" s="181">
        <f t="shared" si="46"/>
        <v>0</v>
      </c>
      <c r="E476" s="216">
        <v>8.8999999999999996E-2</v>
      </c>
      <c r="F476" s="181">
        <f t="shared" si="47"/>
        <v>0</v>
      </c>
      <c r="G476" s="181">
        <f t="shared" si="48"/>
        <v>0</v>
      </c>
      <c r="H476" s="181">
        <f t="shared" si="49"/>
        <v>1.4901161193847656E-6</v>
      </c>
      <c r="I476" s="355"/>
      <c r="J476" s="358"/>
    </row>
    <row r="477" spans="2:10">
      <c r="B477" s="185" t="str">
        <f t="shared" si="44"/>
        <v/>
      </c>
      <c r="C477" s="186" t="str">
        <f t="shared" si="45"/>
        <v/>
      </c>
      <c r="D477" s="181">
        <f t="shared" si="46"/>
        <v>0</v>
      </c>
      <c r="E477" s="216">
        <v>8.8999999999999996E-2</v>
      </c>
      <c r="F477" s="181">
        <f t="shared" si="47"/>
        <v>0</v>
      </c>
      <c r="G477" s="181">
        <f t="shared" si="48"/>
        <v>0</v>
      </c>
      <c r="H477" s="181">
        <f t="shared" si="49"/>
        <v>1.4901161193847656E-6</v>
      </c>
      <c r="I477" s="355"/>
      <c r="J477" s="358"/>
    </row>
    <row r="478" spans="2:10">
      <c r="B478" s="185" t="str">
        <f t="shared" si="44"/>
        <v/>
      </c>
      <c r="C478" s="186" t="str">
        <f t="shared" si="45"/>
        <v/>
      </c>
      <c r="D478" s="181">
        <f t="shared" si="46"/>
        <v>0</v>
      </c>
      <c r="E478" s="216">
        <v>8.8999999999999996E-2</v>
      </c>
      <c r="F478" s="181">
        <f t="shared" si="47"/>
        <v>0</v>
      </c>
      <c r="G478" s="181">
        <f t="shared" si="48"/>
        <v>0</v>
      </c>
      <c r="H478" s="181">
        <f t="shared" si="49"/>
        <v>1.4901161193847656E-6</v>
      </c>
      <c r="I478" s="355"/>
      <c r="J478" s="358"/>
    </row>
    <row r="479" spans="2:10">
      <c r="B479" s="185" t="str">
        <f t="shared" si="44"/>
        <v/>
      </c>
      <c r="C479" s="186" t="str">
        <f t="shared" si="45"/>
        <v/>
      </c>
      <c r="D479" s="181">
        <f t="shared" si="46"/>
        <v>0</v>
      </c>
      <c r="E479" s="216">
        <v>8.8999999999999996E-2</v>
      </c>
      <c r="F479" s="181">
        <f t="shared" si="47"/>
        <v>0</v>
      </c>
      <c r="G479" s="181">
        <f t="shared" si="48"/>
        <v>0</v>
      </c>
      <c r="H479" s="181">
        <f t="shared" si="49"/>
        <v>1.4901161193847656E-6</v>
      </c>
      <c r="I479" s="355"/>
      <c r="J479" s="358"/>
    </row>
    <row r="480" spans="2:10" ht="15" thickBot="1">
      <c r="B480" s="185" t="str">
        <f t="shared" si="44"/>
        <v/>
      </c>
      <c r="C480" s="186" t="str">
        <f t="shared" si="45"/>
        <v/>
      </c>
      <c r="D480" s="181">
        <f t="shared" si="46"/>
        <v>0</v>
      </c>
      <c r="E480" s="216">
        <v>8.8999999999999996E-2</v>
      </c>
      <c r="F480" s="181">
        <f t="shared" si="47"/>
        <v>0</v>
      </c>
      <c r="G480" s="181">
        <f t="shared" si="48"/>
        <v>0</v>
      </c>
      <c r="H480" s="181">
        <f t="shared" si="49"/>
        <v>1.4901161193847656E-6</v>
      </c>
      <c r="I480" s="356"/>
      <c r="J480" s="359"/>
    </row>
    <row r="481" spans="2:10">
      <c r="B481" s="183" t="str">
        <f t="shared" si="44"/>
        <v/>
      </c>
      <c r="C481" s="184" t="str">
        <f t="shared" si="45"/>
        <v/>
      </c>
      <c r="D481" s="180">
        <f t="shared" si="46"/>
        <v>0</v>
      </c>
      <c r="E481" s="215">
        <v>8.8999999999999996E-2</v>
      </c>
      <c r="F481" s="180">
        <f t="shared" si="47"/>
        <v>0</v>
      </c>
      <c r="G481" s="180">
        <f t="shared" si="48"/>
        <v>0</v>
      </c>
      <c r="H481" s="180">
        <f t="shared" si="49"/>
        <v>1.4901161193847656E-6</v>
      </c>
      <c r="I481" s="354">
        <v>40</v>
      </c>
      <c r="J481" s="357">
        <f>SUM(G481:G492)</f>
        <v>0</v>
      </c>
    </row>
    <row r="482" spans="2:10">
      <c r="B482" s="185" t="str">
        <f t="shared" si="44"/>
        <v/>
      </c>
      <c r="C482" s="186" t="str">
        <f t="shared" si="45"/>
        <v/>
      </c>
      <c r="D482" s="181">
        <f t="shared" si="46"/>
        <v>0</v>
      </c>
      <c r="E482" s="216">
        <v>8.8999999999999996E-2</v>
      </c>
      <c r="F482" s="181">
        <f t="shared" si="47"/>
        <v>0</v>
      </c>
      <c r="G482" s="181">
        <f t="shared" si="48"/>
        <v>0</v>
      </c>
      <c r="H482" s="181">
        <f t="shared" si="49"/>
        <v>1.4901161193847656E-6</v>
      </c>
      <c r="I482" s="355"/>
      <c r="J482" s="358"/>
    </row>
    <row r="483" spans="2:10">
      <c r="B483" s="185" t="str">
        <f t="shared" si="44"/>
        <v/>
      </c>
      <c r="C483" s="186" t="str">
        <f t="shared" si="45"/>
        <v/>
      </c>
      <c r="D483" s="181">
        <f t="shared" si="46"/>
        <v>0</v>
      </c>
      <c r="E483" s="216">
        <v>8.8999999999999996E-2</v>
      </c>
      <c r="F483" s="181">
        <f t="shared" si="47"/>
        <v>0</v>
      </c>
      <c r="G483" s="181">
        <f t="shared" si="48"/>
        <v>0</v>
      </c>
      <c r="H483" s="181">
        <f t="shared" si="49"/>
        <v>1.4901161193847656E-6</v>
      </c>
      <c r="I483" s="355"/>
      <c r="J483" s="358"/>
    </row>
    <row r="484" spans="2:10">
      <c r="B484" s="185" t="str">
        <f t="shared" si="44"/>
        <v/>
      </c>
      <c r="C484" s="186" t="str">
        <f t="shared" si="45"/>
        <v/>
      </c>
      <c r="D484" s="181">
        <f t="shared" si="46"/>
        <v>0</v>
      </c>
      <c r="E484" s="216">
        <v>8.8999999999999996E-2</v>
      </c>
      <c r="F484" s="181">
        <f t="shared" si="47"/>
        <v>0</v>
      </c>
      <c r="G484" s="181">
        <f t="shared" si="48"/>
        <v>0</v>
      </c>
      <c r="H484" s="181">
        <f t="shared" si="49"/>
        <v>1.4901161193847656E-6</v>
      </c>
      <c r="I484" s="355"/>
      <c r="J484" s="358"/>
    </row>
    <row r="485" spans="2:10">
      <c r="B485" s="185" t="str">
        <f t="shared" si="44"/>
        <v/>
      </c>
      <c r="C485" s="186" t="str">
        <f t="shared" si="45"/>
        <v/>
      </c>
      <c r="D485" s="181">
        <f t="shared" si="46"/>
        <v>0</v>
      </c>
      <c r="E485" s="216">
        <v>8.8999999999999996E-2</v>
      </c>
      <c r="F485" s="181">
        <f t="shared" si="47"/>
        <v>0</v>
      </c>
      <c r="G485" s="181">
        <f t="shared" si="48"/>
        <v>0</v>
      </c>
      <c r="H485" s="181">
        <f t="shared" si="49"/>
        <v>1.4901161193847656E-6</v>
      </c>
      <c r="I485" s="355"/>
      <c r="J485" s="358"/>
    </row>
    <row r="486" spans="2:10">
      <c r="B486" s="185" t="str">
        <f t="shared" si="44"/>
        <v/>
      </c>
      <c r="C486" s="186" t="str">
        <f t="shared" si="45"/>
        <v/>
      </c>
      <c r="D486" s="181">
        <f t="shared" si="46"/>
        <v>0</v>
      </c>
      <c r="E486" s="216">
        <v>8.8999999999999996E-2</v>
      </c>
      <c r="F486" s="181">
        <f t="shared" si="47"/>
        <v>0</v>
      </c>
      <c r="G486" s="181">
        <f t="shared" si="48"/>
        <v>0</v>
      </c>
      <c r="H486" s="181">
        <f t="shared" si="49"/>
        <v>1.4901161193847656E-6</v>
      </c>
      <c r="I486" s="355"/>
      <c r="J486" s="358"/>
    </row>
    <row r="487" spans="2:10">
      <c r="B487" s="185" t="str">
        <f t="shared" si="44"/>
        <v/>
      </c>
      <c r="C487" s="186" t="str">
        <f t="shared" si="45"/>
        <v/>
      </c>
      <c r="D487" s="181">
        <f t="shared" si="46"/>
        <v>0</v>
      </c>
      <c r="E487" s="216">
        <v>8.8999999999999996E-2</v>
      </c>
      <c r="F487" s="181">
        <f t="shared" si="47"/>
        <v>0</v>
      </c>
      <c r="G487" s="181">
        <f t="shared" si="48"/>
        <v>0</v>
      </c>
      <c r="H487" s="181">
        <f t="shared" si="49"/>
        <v>1.4901161193847656E-6</v>
      </c>
      <c r="I487" s="355"/>
      <c r="J487" s="358"/>
    </row>
    <row r="488" spans="2:10">
      <c r="B488" s="185" t="str">
        <f t="shared" si="44"/>
        <v/>
      </c>
      <c r="C488" s="186" t="str">
        <f t="shared" si="45"/>
        <v/>
      </c>
      <c r="D488" s="181">
        <f t="shared" si="46"/>
        <v>0</v>
      </c>
      <c r="E488" s="216">
        <v>8.8999999999999996E-2</v>
      </c>
      <c r="F488" s="181">
        <f t="shared" si="47"/>
        <v>0</v>
      </c>
      <c r="G488" s="181">
        <f t="shared" si="48"/>
        <v>0</v>
      </c>
      <c r="H488" s="181">
        <f t="shared" si="49"/>
        <v>1.4901161193847656E-6</v>
      </c>
      <c r="I488" s="355"/>
      <c r="J488" s="358"/>
    </row>
    <row r="489" spans="2:10">
      <c r="B489" s="185" t="str">
        <f t="shared" si="44"/>
        <v/>
      </c>
      <c r="C489" s="186" t="str">
        <f t="shared" si="45"/>
        <v/>
      </c>
      <c r="D489" s="181">
        <f t="shared" si="46"/>
        <v>0</v>
      </c>
      <c r="E489" s="216">
        <v>8.8999999999999996E-2</v>
      </c>
      <c r="F489" s="181">
        <f t="shared" si="47"/>
        <v>0</v>
      </c>
      <c r="G489" s="181">
        <f t="shared" si="48"/>
        <v>0</v>
      </c>
      <c r="H489" s="181">
        <f t="shared" si="49"/>
        <v>1.4901161193847656E-6</v>
      </c>
      <c r="I489" s="355"/>
      <c r="J489" s="358"/>
    </row>
    <row r="490" spans="2:10">
      <c r="B490" s="185" t="str">
        <f t="shared" si="44"/>
        <v/>
      </c>
      <c r="C490" s="186" t="str">
        <f t="shared" si="45"/>
        <v/>
      </c>
      <c r="D490" s="181">
        <f t="shared" si="46"/>
        <v>0</v>
      </c>
      <c r="E490" s="216">
        <v>8.8999999999999996E-2</v>
      </c>
      <c r="F490" s="181">
        <f t="shared" si="47"/>
        <v>0</v>
      </c>
      <c r="G490" s="181">
        <f t="shared" si="48"/>
        <v>0</v>
      </c>
      <c r="H490" s="181">
        <f t="shared" si="49"/>
        <v>1.4901161193847656E-6</v>
      </c>
      <c r="I490" s="355"/>
      <c r="J490" s="358"/>
    </row>
    <row r="491" spans="2:10">
      <c r="B491" s="185" t="str">
        <f t="shared" si="44"/>
        <v/>
      </c>
      <c r="C491" s="186" t="str">
        <f t="shared" si="45"/>
        <v/>
      </c>
      <c r="D491" s="181">
        <f t="shared" si="46"/>
        <v>0</v>
      </c>
      <c r="E491" s="216">
        <v>8.8999999999999996E-2</v>
      </c>
      <c r="F491" s="181">
        <f t="shared" si="47"/>
        <v>0</v>
      </c>
      <c r="G491" s="181">
        <f t="shared" si="48"/>
        <v>0</v>
      </c>
      <c r="H491" s="181">
        <f t="shared" si="49"/>
        <v>1.4901161193847656E-6</v>
      </c>
      <c r="I491" s="355"/>
      <c r="J491" s="358"/>
    </row>
    <row r="492" spans="2:10" ht="15" thickBot="1">
      <c r="B492" s="185" t="str">
        <f t="shared" si="44"/>
        <v/>
      </c>
      <c r="C492" s="186" t="str">
        <f t="shared" si="45"/>
        <v/>
      </c>
      <c r="D492" s="181">
        <f t="shared" si="46"/>
        <v>0</v>
      </c>
      <c r="E492" s="216">
        <v>8.8999999999999996E-2</v>
      </c>
      <c r="F492" s="181">
        <f t="shared" si="47"/>
        <v>0</v>
      </c>
      <c r="G492" s="181">
        <f t="shared" si="48"/>
        <v>0</v>
      </c>
      <c r="H492" s="181">
        <f t="shared" si="49"/>
        <v>1.4901161193847656E-6</v>
      </c>
      <c r="I492" s="356"/>
      <c r="J492" s="359"/>
    </row>
    <row r="493" spans="2:10">
      <c r="B493" s="183" t="str">
        <f t="shared" si="44"/>
        <v/>
      </c>
      <c r="C493" s="184" t="str">
        <f t="shared" si="45"/>
        <v/>
      </c>
      <c r="D493" s="180">
        <f t="shared" si="46"/>
        <v>0</v>
      </c>
      <c r="E493" s="215">
        <v>8.8999999999999996E-2</v>
      </c>
      <c r="F493" s="180">
        <f t="shared" si="47"/>
        <v>0</v>
      </c>
      <c r="G493" s="180">
        <f t="shared" si="48"/>
        <v>0</v>
      </c>
      <c r="H493" s="180">
        <f t="shared" si="49"/>
        <v>1.4901161193847656E-6</v>
      </c>
      <c r="I493" s="354">
        <v>41</v>
      </c>
      <c r="J493" s="357">
        <f>SUM(G493:G504)</f>
        <v>0</v>
      </c>
    </row>
    <row r="494" spans="2:10">
      <c r="B494" s="185" t="str">
        <f t="shared" si="44"/>
        <v/>
      </c>
      <c r="C494" s="186" t="str">
        <f t="shared" si="45"/>
        <v/>
      </c>
      <c r="D494" s="181">
        <f t="shared" si="46"/>
        <v>0</v>
      </c>
      <c r="E494" s="216">
        <v>8.8999999999999996E-2</v>
      </c>
      <c r="F494" s="181">
        <f t="shared" si="47"/>
        <v>0</v>
      </c>
      <c r="G494" s="181">
        <f t="shared" si="48"/>
        <v>0</v>
      </c>
      <c r="H494" s="181">
        <f t="shared" si="49"/>
        <v>1.4901161193847656E-6</v>
      </c>
      <c r="I494" s="355"/>
      <c r="J494" s="358"/>
    </row>
    <row r="495" spans="2:10">
      <c r="B495" s="185" t="str">
        <f t="shared" si="44"/>
        <v/>
      </c>
      <c r="C495" s="186" t="str">
        <f t="shared" si="45"/>
        <v/>
      </c>
      <c r="D495" s="181">
        <f t="shared" si="46"/>
        <v>0</v>
      </c>
      <c r="E495" s="216">
        <v>8.8999999999999996E-2</v>
      </c>
      <c r="F495" s="181">
        <f t="shared" si="47"/>
        <v>0</v>
      </c>
      <c r="G495" s="181">
        <f t="shared" si="48"/>
        <v>0</v>
      </c>
      <c r="H495" s="181">
        <f t="shared" si="49"/>
        <v>1.4901161193847656E-6</v>
      </c>
      <c r="I495" s="355"/>
      <c r="J495" s="358"/>
    </row>
    <row r="496" spans="2:10">
      <c r="B496" s="185" t="str">
        <f t="shared" si="44"/>
        <v/>
      </c>
      <c r="C496" s="186" t="str">
        <f t="shared" si="45"/>
        <v/>
      </c>
      <c r="D496" s="181">
        <f t="shared" si="46"/>
        <v>0</v>
      </c>
      <c r="E496" s="216">
        <v>8.8999999999999996E-2</v>
      </c>
      <c r="F496" s="181">
        <f t="shared" si="47"/>
        <v>0</v>
      </c>
      <c r="G496" s="181">
        <f t="shared" si="48"/>
        <v>0</v>
      </c>
      <c r="H496" s="181">
        <f t="shared" si="49"/>
        <v>1.4901161193847656E-6</v>
      </c>
      <c r="I496" s="355"/>
      <c r="J496" s="358"/>
    </row>
    <row r="497" spans="2:10">
      <c r="B497" s="185" t="str">
        <f t="shared" si="44"/>
        <v/>
      </c>
      <c r="C497" s="186" t="str">
        <f t="shared" si="45"/>
        <v/>
      </c>
      <c r="D497" s="181">
        <f t="shared" si="46"/>
        <v>0</v>
      </c>
      <c r="E497" s="216">
        <v>8.8999999999999996E-2</v>
      </c>
      <c r="F497" s="181">
        <f t="shared" si="47"/>
        <v>0</v>
      </c>
      <c r="G497" s="181">
        <f t="shared" si="48"/>
        <v>0</v>
      </c>
      <c r="H497" s="181">
        <f t="shared" si="49"/>
        <v>1.4901161193847656E-6</v>
      </c>
      <c r="I497" s="355"/>
      <c r="J497" s="358"/>
    </row>
    <row r="498" spans="2:10">
      <c r="B498" s="185" t="str">
        <f t="shared" si="44"/>
        <v/>
      </c>
      <c r="C498" s="186" t="str">
        <f t="shared" si="45"/>
        <v/>
      </c>
      <c r="D498" s="181">
        <f t="shared" si="46"/>
        <v>0</v>
      </c>
      <c r="E498" s="216">
        <v>8.8999999999999996E-2</v>
      </c>
      <c r="F498" s="181">
        <f t="shared" si="47"/>
        <v>0</v>
      </c>
      <c r="G498" s="181">
        <f t="shared" si="48"/>
        <v>0</v>
      </c>
      <c r="H498" s="181">
        <f t="shared" si="49"/>
        <v>1.4901161193847656E-6</v>
      </c>
      <c r="I498" s="355"/>
      <c r="J498" s="358"/>
    </row>
    <row r="499" spans="2:10">
      <c r="B499" s="185" t="str">
        <f t="shared" si="44"/>
        <v/>
      </c>
      <c r="C499" s="186" t="str">
        <f t="shared" si="45"/>
        <v/>
      </c>
      <c r="D499" s="181">
        <f t="shared" si="46"/>
        <v>0</v>
      </c>
      <c r="E499" s="216">
        <v>8.8999999999999996E-2</v>
      </c>
      <c r="F499" s="181">
        <f t="shared" si="47"/>
        <v>0</v>
      </c>
      <c r="G499" s="181">
        <f t="shared" si="48"/>
        <v>0</v>
      </c>
      <c r="H499" s="181">
        <f t="shared" si="49"/>
        <v>1.4901161193847656E-6</v>
      </c>
      <c r="I499" s="355"/>
      <c r="J499" s="358"/>
    </row>
    <row r="500" spans="2:10">
      <c r="B500" s="185" t="str">
        <f t="shared" si="44"/>
        <v/>
      </c>
      <c r="C500" s="186" t="str">
        <f t="shared" si="45"/>
        <v/>
      </c>
      <c r="D500" s="181">
        <f t="shared" si="46"/>
        <v>0</v>
      </c>
      <c r="E500" s="216">
        <v>8.8999999999999996E-2</v>
      </c>
      <c r="F500" s="181">
        <f t="shared" si="47"/>
        <v>0</v>
      </c>
      <c r="G500" s="181">
        <f t="shared" si="48"/>
        <v>0</v>
      </c>
      <c r="H500" s="181">
        <f t="shared" si="49"/>
        <v>1.4901161193847656E-6</v>
      </c>
      <c r="I500" s="355"/>
      <c r="J500" s="358"/>
    </row>
    <row r="501" spans="2:10">
      <c r="B501" s="185" t="str">
        <f t="shared" si="44"/>
        <v/>
      </c>
      <c r="C501" s="186" t="str">
        <f t="shared" si="45"/>
        <v/>
      </c>
      <c r="D501" s="181">
        <f t="shared" si="46"/>
        <v>0</v>
      </c>
      <c r="E501" s="216">
        <v>8.8999999999999996E-2</v>
      </c>
      <c r="F501" s="181">
        <f t="shared" si="47"/>
        <v>0</v>
      </c>
      <c r="G501" s="181">
        <f t="shared" si="48"/>
        <v>0</v>
      </c>
      <c r="H501" s="181">
        <f t="shared" si="49"/>
        <v>1.4901161193847656E-6</v>
      </c>
      <c r="I501" s="355"/>
      <c r="J501" s="358"/>
    </row>
    <row r="502" spans="2:10">
      <c r="B502" s="185" t="str">
        <f t="shared" si="44"/>
        <v/>
      </c>
      <c r="C502" s="186" t="str">
        <f t="shared" si="45"/>
        <v/>
      </c>
      <c r="D502" s="181">
        <f t="shared" si="46"/>
        <v>0</v>
      </c>
      <c r="E502" s="216">
        <v>8.8999999999999996E-2</v>
      </c>
      <c r="F502" s="181">
        <f t="shared" si="47"/>
        <v>0</v>
      </c>
      <c r="G502" s="181">
        <f t="shared" si="48"/>
        <v>0</v>
      </c>
      <c r="H502" s="181">
        <f t="shared" si="49"/>
        <v>1.4901161193847656E-6</v>
      </c>
      <c r="I502" s="355"/>
      <c r="J502" s="358"/>
    </row>
    <row r="503" spans="2:10">
      <c r="B503" s="185" t="str">
        <f t="shared" si="44"/>
        <v/>
      </c>
      <c r="C503" s="186" t="str">
        <f t="shared" si="45"/>
        <v/>
      </c>
      <c r="D503" s="181">
        <f t="shared" si="46"/>
        <v>0</v>
      </c>
      <c r="E503" s="216">
        <v>8.8999999999999996E-2</v>
      </c>
      <c r="F503" s="181">
        <f t="shared" si="47"/>
        <v>0</v>
      </c>
      <c r="G503" s="181">
        <f t="shared" si="48"/>
        <v>0</v>
      </c>
      <c r="H503" s="181">
        <f t="shared" si="49"/>
        <v>1.4901161193847656E-6</v>
      </c>
      <c r="I503" s="355"/>
      <c r="J503" s="358"/>
    </row>
    <row r="504" spans="2:10" ht="15" thickBot="1">
      <c r="B504" s="185" t="str">
        <f t="shared" si="44"/>
        <v/>
      </c>
      <c r="C504" s="186" t="str">
        <f t="shared" si="45"/>
        <v/>
      </c>
      <c r="D504" s="181">
        <f t="shared" si="46"/>
        <v>0</v>
      </c>
      <c r="E504" s="216">
        <v>8.8999999999999996E-2</v>
      </c>
      <c r="F504" s="181">
        <f t="shared" si="47"/>
        <v>0</v>
      </c>
      <c r="G504" s="181">
        <f t="shared" si="48"/>
        <v>0</v>
      </c>
      <c r="H504" s="181">
        <f t="shared" si="49"/>
        <v>1.4901161193847656E-6</v>
      </c>
      <c r="I504" s="356"/>
      <c r="J504" s="359"/>
    </row>
    <row r="505" spans="2:10">
      <c r="B505" s="183" t="str">
        <f t="shared" si="44"/>
        <v/>
      </c>
      <c r="C505" s="184" t="str">
        <f t="shared" si="45"/>
        <v/>
      </c>
      <c r="D505" s="180">
        <f t="shared" si="46"/>
        <v>0</v>
      </c>
      <c r="E505" s="215">
        <v>8.8999999999999996E-2</v>
      </c>
      <c r="F505" s="180">
        <f t="shared" si="47"/>
        <v>0</v>
      </c>
      <c r="G505" s="180">
        <f t="shared" si="48"/>
        <v>0</v>
      </c>
      <c r="H505" s="180">
        <f t="shared" si="49"/>
        <v>1.4901161193847656E-6</v>
      </c>
      <c r="I505" s="354">
        <v>42</v>
      </c>
      <c r="J505" s="357">
        <f>SUM(G505:G516)</f>
        <v>0</v>
      </c>
    </row>
    <row r="506" spans="2:10">
      <c r="B506" s="185" t="str">
        <f t="shared" si="44"/>
        <v/>
      </c>
      <c r="C506" s="186" t="str">
        <f t="shared" si="45"/>
        <v/>
      </c>
      <c r="D506" s="181">
        <f t="shared" si="46"/>
        <v>0</v>
      </c>
      <c r="E506" s="216">
        <v>8.8999999999999996E-2</v>
      </c>
      <c r="F506" s="181">
        <f t="shared" si="47"/>
        <v>0</v>
      </c>
      <c r="G506" s="181">
        <f t="shared" si="48"/>
        <v>0</v>
      </c>
      <c r="H506" s="181">
        <f t="shared" si="49"/>
        <v>1.4901161193847656E-6</v>
      </c>
      <c r="I506" s="355"/>
      <c r="J506" s="358"/>
    </row>
    <row r="507" spans="2:10">
      <c r="B507" s="185" t="str">
        <f t="shared" si="44"/>
        <v/>
      </c>
      <c r="C507" s="186" t="str">
        <f t="shared" si="45"/>
        <v/>
      </c>
      <c r="D507" s="181">
        <f t="shared" si="46"/>
        <v>0</v>
      </c>
      <c r="E507" s="216">
        <v>8.8999999999999996E-2</v>
      </c>
      <c r="F507" s="181">
        <f t="shared" si="47"/>
        <v>0</v>
      </c>
      <c r="G507" s="181">
        <f t="shared" si="48"/>
        <v>0</v>
      </c>
      <c r="H507" s="181">
        <f t="shared" si="49"/>
        <v>1.4901161193847656E-6</v>
      </c>
      <c r="I507" s="355"/>
      <c r="J507" s="358"/>
    </row>
    <row r="508" spans="2:10">
      <c r="B508" s="185" t="str">
        <f t="shared" si="44"/>
        <v/>
      </c>
      <c r="C508" s="186" t="str">
        <f t="shared" si="45"/>
        <v/>
      </c>
      <c r="D508" s="181">
        <f t="shared" si="46"/>
        <v>0</v>
      </c>
      <c r="E508" s="216">
        <v>8.8999999999999996E-2</v>
      </c>
      <c r="F508" s="181">
        <f t="shared" si="47"/>
        <v>0</v>
      </c>
      <c r="G508" s="181">
        <f t="shared" si="48"/>
        <v>0</v>
      </c>
      <c r="H508" s="181">
        <f t="shared" si="49"/>
        <v>1.4901161193847656E-6</v>
      </c>
      <c r="I508" s="355"/>
      <c r="J508" s="358"/>
    </row>
    <row r="509" spans="2:10">
      <c r="B509" s="185" t="str">
        <f t="shared" si="44"/>
        <v/>
      </c>
      <c r="C509" s="186" t="str">
        <f t="shared" si="45"/>
        <v/>
      </c>
      <c r="D509" s="181">
        <f t="shared" si="46"/>
        <v>0</v>
      </c>
      <c r="E509" s="216">
        <v>8.8999999999999996E-2</v>
      </c>
      <c r="F509" s="181">
        <f t="shared" si="47"/>
        <v>0</v>
      </c>
      <c r="G509" s="181">
        <f t="shared" si="48"/>
        <v>0</v>
      </c>
      <c r="H509" s="181">
        <f t="shared" si="49"/>
        <v>1.4901161193847656E-6</v>
      </c>
      <c r="I509" s="355"/>
      <c r="J509" s="358"/>
    </row>
    <row r="510" spans="2:10">
      <c r="B510" s="185" t="str">
        <f t="shared" si="44"/>
        <v/>
      </c>
      <c r="C510" s="186" t="str">
        <f t="shared" si="45"/>
        <v/>
      </c>
      <c r="D510" s="181">
        <f t="shared" si="46"/>
        <v>0</v>
      </c>
      <c r="E510" s="216">
        <v>8.8999999999999996E-2</v>
      </c>
      <c r="F510" s="181">
        <f t="shared" si="47"/>
        <v>0</v>
      </c>
      <c r="G510" s="181">
        <f t="shared" si="48"/>
        <v>0</v>
      </c>
      <c r="H510" s="181">
        <f t="shared" si="49"/>
        <v>1.4901161193847656E-6</v>
      </c>
      <c r="I510" s="355"/>
      <c r="J510" s="358"/>
    </row>
    <row r="511" spans="2:10">
      <c r="B511" s="185" t="str">
        <f t="shared" si="44"/>
        <v/>
      </c>
      <c r="C511" s="186" t="str">
        <f t="shared" si="45"/>
        <v/>
      </c>
      <c r="D511" s="181">
        <f t="shared" si="46"/>
        <v>0</v>
      </c>
      <c r="E511" s="216">
        <v>8.8999999999999996E-2</v>
      </c>
      <c r="F511" s="181">
        <f t="shared" si="47"/>
        <v>0</v>
      </c>
      <c r="G511" s="181">
        <f t="shared" si="48"/>
        <v>0</v>
      </c>
      <c r="H511" s="181">
        <f t="shared" si="49"/>
        <v>1.4901161193847656E-6</v>
      </c>
      <c r="I511" s="355"/>
      <c r="J511" s="358"/>
    </row>
    <row r="512" spans="2:10">
      <c r="B512" s="185" t="str">
        <f t="shared" si="44"/>
        <v/>
      </c>
      <c r="C512" s="186" t="str">
        <f t="shared" si="45"/>
        <v/>
      </c>
      <c r="D512" s="181">
        <f t="shared" si="46"/>
        <v>0</v>
      </c>
      <c r="E512" s="216">
        <v>8.8999999999999996E-2</v>
      </c>
      <c r="F512" s="181">
        <f t="shared" si="47"/>
        <v>0</v>
      </c>
      <c r="G512" s="181">
        <f t="shared" si="48"/>
        <v>0</v>
      </c>
      <c r="H512" s="181">
        <f t="shared" si="49"/>
        <v>1.4901161193847656E-6</v>
      </c>
      <c r="I512" s="355"/>
      <c r="J512" s="358"/>
    </row>
    <row r="513" spans="2:10">
      <c r="B513" s="185" t="str">
        <f t="shared" si="44"/>
        <v/>
      </c>
      <c r="C513" s="186" t="str">
        <f t="shared" si="45"/>
        <v/>
      </c>
      <c r="D513" s="181">
        <f t="shared" si="46"/>
        <v>0</v>
      </c>
      <c r="E513" s="216">
        <v>8.8999999999999996E-2</v>
      </c>
      <c r="F513" s="181">
        <f t="shared" si="47"/>
        <v>0</v>
      </c>
      <c r="G513" s="181">
        <f t="shared" si="48"/>
        <v>0</v>
      </c>
      <c r="H513" s="181">
        <f t="shared" si="49"/>
        <v>1.4901161193847656E-6</v>
      </c>
      <c r="I513" s="355"/>
      <c r="J513" s="358"/>
    </row>
    <row r="514" spans="2:10">
      <c r="B514" s="185" t="str">
        <f t="shared" si="44"/>
        <v/>
      </c>
      <c r="C514" s="186" t="str">
        <f t="shared" si="45"/>
        <v/>
      </c>
      <c r="D514" s="181">
        <f t="shared" si="46"/>
        <v>0</v>
      </c>
      <c r="E514" s="216">
        <v>8.8999999999999996E-2</v>
      </c>
      <c r="F514" s="181">
        <f t="shared" si="47"/>
        <v>0</v>
      </c>
      <c r="G514" s="181">
        <f t="shared" si="48"/>
        <v>0</v>
      </c>
      <c r="H514" s="181">
        <f t="shared" si="49"/>
        <v>1.4901161193847656E-6</v>
      </c>
      <c r="I514" s="355"/>
      <c r="J514" s="358"/>
    </row>
    <row r="515" spans="2:10">
      <c r="B515" s="185" t="str">
        <f t="shared" si="44"/>
        <v/>
      </c>
      <c r="C515" s="186" t="str">
        <f t="shared" si="45"/>
        <v/>
      </c>
      <c r="D515" s="181">
        <f t="shared" si="46"/>
        <v>0</v>
      </c>
      <c r="E515" s="216">
        <v>8.8999999999999996E-2</v>
      </c>
      <c r="F515" s="181">
        <f t="shared" si="47"/>
        <v>0</v>
      </c>
      <c r="G515" s="181">
        <f t="shared" si="48"/>
        <v>0</v>
      </c>
      <c r="H515" s="181">
        <f t="shared" si="49"/>
        <v>1.4901161193847656E-6</v>
      </c>
      <c r="I515" s="355"/>
      <c r="J515" s="358"/>
    </row>
    <row r="516" spans="2:10" ht="15" thickBot="1">
      <c r="B516" s="185" t="str">
        <f t="shared" si="44"/>
        <v/>
      </c>
      <c r="C516" s="186" t="str">
        <f t="shared" si="45"/>
        <v/>
      </c>
      <c r="D516" s="181">
        <f t="shared" si="46"/>
        <v>0</v>
      </c>
      <c r="E516" s="216">
        <v>8.8999999999999996E-2</v>
      </c>
      <c r="F516" s="181">
        <f t="shared" si="47"/>
        <v>0</v>
      </c>
      <c r="G516" s="181">
        <f t="shared" si="48"/>
        <v>0</v>
      </c>
      <c r="H516" s="181">
        <f t="shared" si="49"/>
        <v>1.4901161193847656E-6</v>
      </c>
      <c r="I516" s="356"/>
      <c r="J516" s="359"/>
    </row>
    <row r="517" spans="2:10">
      <c r="B517" s="183" t="str">
        <f t="shared" si="44"/>
        <v/>
      </c>
      <c r="C517" s="184" t="str">
        <f t="shared" si="45"/>
        <v/>
      </c>
      <c r="D517" s="180">
        <f t="shared" si="46"/>
        <v>0</v>
      </c>
      <c r="E517" s="215">
        <v>8.8999999999999996E-2</v>
      </c>
      <c r="F517" s="180">
        <f t="shared" si="47"/>
        <v>0</v>
      </c>
      <c r="G517" s="180">
        <f t="shared" si="48"/>
        <v>0</v>
      </c>
      <c r="H517" s="180">
        <f t="shared" si="49"/>
        <v>1.4901161193847656E-6</v>
      </c>
      <c r="I517" s="354">
        <v>43</v>
      </c>
      <c r="J517" s="357">
        <f>SUM(G517:G528)</f>
        <v>0</v>
      </c>
    </row>
    <row r="518" spans="2:10">
      <c r="B518" s="185" t="str">
        <f t="shared" si="44"/>
        <v/>
      </c>
      <c r="C518" s="186" t="str">
        <f t="shared" si="45"/>
        <v/>
      </c>
      <c r="D518" s="181">
        <f t="shared" si="46"/>
        <v>0</v>
      </c>
      <c r="E518" s="216">
        <v>8.8999999999999996E-2</v>
      </c>
      <c r="F518" s="181">
        <f t="shared" si="47"/>
        <v>0</v>
      </c>
      <c r="G518" s="181">
        <f t="shared" si="48"/>
        <v>0</v>
      </c>
      <c r="H518" s="181">
        <f t="shared" si="49"/>
        <v>1.4901161193847656E-6</v>
      </c>
      <c r="I518" s="355"/>
      <c r="J518" s="358"/>
    </row>
    <row r="519" spans="2:10">
      <c r="B519" s="185" t="str">
        <f t="shared" si="44"/>
        <v/>
      </c>
      <c r="C519" s="186" t="str">
        <f t="shared" si="45"/>
        <v/>
      </c>
      <c r="D519" s="181">
        <f t="shared" si="46"/>
        <v>0</v>
      </c>
      <c r="E519" s="216">
        <v>8.8999999999999996E-2</v>
      </c>
      <c r="F519" s="181">
        <f t="shared" si="47"/>
        <v>0</v>
      </c>
      <c r="G519" s="181">
        <f t="shared" si="48"/>
        <v>0</v>
      </c>
      <c r="H519" s="181">
        <f t="shared" si="49"/>
        <v>1.4901161193847656E-6</v>
      </c>
      <c r="I519" s="355"/>
      <c r="J519" s="358"/>
    </row>
    <row r="520" spans="2:10">
      <c r="B520" s="185" t="str">
        <f t="shared" si="44"/>
        <v/>
      </c>
      <c r="C520" s="186" t="str">
        <f t="shared" si="45"/>
        <v/>
      </c>
      <c r="D520" s="181">
        <f t="shared" si="46"/>
        <v>0</v>
      </c>
      <c r="E520" s="216">
        <v>8.8999999999999996E-2</v>
      </c>
      <c r="F520" s="181">
        <f t="shared" si="47"/>
        <v>0</v>
      </c>
      <c r="G520" s="181">
        <f t="shared" si="48"/>
        <v>0</v>
      </c>
      <c r="H520" s="181">
        <f t="shared" si="49"/>
        <v>1.4901161193847656E-6</v>
      </c>
      <c r="I520" s="355"/>
      <c r="J520" s="358"/>
    </row>
    <row r="521" spans="2:10">
      <c r="B521" s="185" t="str">
        <f t="shared" si="44"/>
        <v/>
      </c>
      <c r="C521" s="186" t="str">
        <f t="shared" si="45"/>
        <v/>
      </c>
      <c r="D521" s="181">
        <f t="shared" si="46"/>
        <v>0</v>
      </c>
      <c r="E521" s="216">
        <v>8.8999999999999996E-2</v>
      </c>
      <c r="F521" s="181">
        <f t="shared" si="47"/>
        <v>0</v>
      </c>
      <c r="G521" s="181">
        <f t="shared" si="48"/>
        <v>0</v>
      </c>
      <c r="H521" s="181">
        <f t="shared" si="49"/>
        <v>1.4901161193847656E-6</v>
      </c>
      <c r="I521" s="355"/>
      <c r="J521" s="358"/>
    </row>
    <row r="522" spans="2:10">
      <c r="B522" s="185" t="str">
        <f t="shared" si="44"/>
        <v/>
      </c>
      <c r="C522" s="186" t="str">
        <f t="shared" si="45"/>
        <v/>
      </c>
      <c r="D522" s="181">
        <f t="shared" si="46"/>
        <v>0</v>
      </c>
      <c r="E522" s="216">
        <v>8.8999999999999996E-2</v>
      </c>
      <c r="F522" s="181">
        <f t="shared" si="47"/>
        <v>0</v>
      </c>
      <c r="G522" s="181">
        <f t="shared" si="48"/>
        <v>0</v>
      </c>
      <c r="H522" s="181">
        <f t="shared" si="49"/>
        <v>1.4901161193847656E-6</v>
      </c>
      <c r="I522" s="355"/>
      <c r="J522" s="358"/>
    </row>
    <row r="523" spans="2:10">
      <c r="B523" s="185" t="str">
        <f t="shared" si="44"/>
        <v/>
      </c>
      <c r="C523" s="186" t="str">
        <f t="shared" si="45"/>
        <v/>
      </c>
      <c r="D523" s="181">
        <f t="shared" si="46"/>
        <v>0</v>
      </c>
      <c r="E523" s="216">
        <v>8.8999999999999996E-2</v>
      </c>
      <c r="F523" s="181">
        <f t="shared" si="47"/>
        <v>0</v>
      </c>
      <c r="G523" s="181">
        <f t="shared" si="48"/>
        <v>0</v>
      </c>
      <c r="H523" s="181">
        <f t="shared" si="49"/>
        <v>1.4901161193847656E-6</v>
      </c>
      <c r="I523" s="355"/>
      <c r="J523" s="358"/>
    </row>
    <row r="524" spans="2:10">
      <c r="B524" s="185" t="str">
        <f t="shared" si="44"/>
        <v/>
      </c>
      <c r="C524" s="186" t="str">
        <f t="shared" si="45"/>
        <v/>
      </c>
      <c r="D524" s="181">
        <f t="shared" si="46"/>
        <v>0</v>
      </c>
      <c r="E524" s="216">
        <v>8.8999999999999996E-2</v>
      </c>
      <c r="F524" s="181">
        <f t="shared" si="47"/>
        <v>0</v>
      </c>
      <c r="G524" s="181">
        <f t="shared" si="48"/>
        <v>0</v>
      </c>
      <c r="H524" s="181">
        <f t="shared" si="49"/>
        <v>1.4901161193847656E-6</v>
      </c>
      <c r="I524" s="355"/>
      <c r="J524" s="358"/>
    </row>
    <row r="525" spans="2:10">
      <c r="B525" s="185" t="str">
        <f t="shared" si="44"/>
        <v/>
      </c>
      <c r="C525" s="186" t="str">
        <f t="shared" si="45"/>
        <v/>
      </c>
      <c r="D525" s="181">
        <f t="shared" si="46"/>
        <v>0</v>
      </c>
      <c r="E525" s="216">
        <v>8.8999999999999996E-2</v>
      </c>
      <c r="F525" s="181">
        <f t="shared" si="47"/>
        <v>0</v>
      </c>
      <c r="G525" s="181">
        <f t="shared" si="48"/>
        <v>0</v>
      </c>
      <c r="H525" s="181">
        <f t="shared" si="49"/>
        <v>1.4901161193847656E-6</v>
      </c>
      <c r="I525" s="355"/>
      <c r="J525" s="358"/>
    </row>
    <row r="526" spans="2:10">
      <c r="B526" s="185" t="str">
        <f t="shared" si="44"/>
        <v/>
      </c>
      <c r="C526" s="186" t="str">
        <f t="shared" si="45"/>
        <v/>
      </c>
      <c r="D526" s="181">
        <f t="shared" si="46"/>
        <v>0</v>
      </c>
      <c r="E526" s="216">
        <v>8.8999999999999996E-2</v>
      </c>
      <c r="F526" s="181">
        <f t="shared" si="47"/>
        <v>0</v>
      </c>
      <c r="G526" s="181">
        <f t="shared" si="48"/>
        <v>0</v>
      </c>
      <c r="H526" s="181">
        <f t="shared" si="49"/>
        <v>1.4901161193847656E-6</v>
      </c>
      <c r="I526" s="355"/>
      <c r="J526" s="358"/>
    </row>
    <row r="527" spans="2:10">
      <c r="B527" s="185" t="str">
        <f t="shared" ref="B527:B590" si="50">IF(B526&lt;$D$7,B526+1,"")</f>
        <v/>
      </c>
      <c r="C527" s="186" t="str">
        <f t="shared" ref="C527:C590" si="51">IF(B527&lt;&gt;"",EDATE(C526,1),"")</f>
        <v/>
      </c>
      <c r="D527" s="181">
        <f t="shared" ref="D527:D590" si="52">IFERROR(IF(B527&lt;=$D$7,H526*E527/12,0),0)</f>
        <v>0</v>
      </c>
      <c r="E527" s="216">
        <v>8.8999999999999996E-2</v>
      </c>
      <c r="F527" s="181">
        <f t="shared" ref="F527:F590" si="53">IFERROR(IF(B527&lt;=$D$7,$D$6/$D$7,0),0)</f>
        <v>0</v>
      </c>
      <c r="G527" s="181">
        <f t="shared" ref="G527:G590" si="54">D527+F527</f>
        <v>0</v>
      </c>
      <c r="H527" s="181">
        <f t="shared" ref="H527:H590" si="55">H526-F527</f>
        <v>1.4901161193847656E-6</v>
      </c>
      <c r="I527" s="355"/>
      <c r="J527" s="358"/>
    </row>
    <row r="528" spans="2:10" ht="15" thickBot="1">
      <c r="B528" s="185" t="str">
        <f t="shared" si="50"/>
        <v/>
      </c>
      <c r="C528" s="186" t="str">
        <f t="shared" si="51"/>
        <v/>
      </c>
      <c r="D528" s="181">
        <f t="shared" si="52"/>
        <v>0</v>
      </c>
      <c r="E528" s="216">
        <v>8.8999999999999996E-2</v>
      </c>
      <c r="F528" s="181">
        <f t="shared" si="53"/>
        <v>0</v>
      </c>
      <c r="G528" s="181">
        <f t="shared" si="54"/>
        <v>0</v>
      </c>
      <c r="H528" s="181">
        <f t="shared" si="55"/>
        <v>1.4901161193847656E-6</v>
      </c>
      <c r="I528" s="356"/>
      <c r="J528" s="359"/>
    </row>
    <row r="529" spans="2:10">
      <c r="B529" s="183" t="str">
        <f t="shared" si="50"/>
        <v/>
      </c>
      <c r="C529" s="184" t="str">
        <f t="shared" si="51"/>
        <v/>
      </c>
      <c r="D529" s="180">
        <f t="shared" si="52"/>
        <v>0</v>
      </c>
      <c r="E529" s="215">
        <v>8.8999999999999996E-2</v>
      </c>
      <c r="F529" s="180">
        <f t="shared" si="53"/>
        <v>0</v>
      </c>
      <c r="G529" s="180">
        <f t="shared" si="54"/>
        <v>0</v>
      </c>
      <c r="H529" s="180">
        <f t="shared" si="55"/>
        <v>1.4901161193847656E-6</v>
      </c>
      <c r="I529" s="354">
        <v>44</v>
      </c>
      <c r="J529" s="357">
        <f>SUM(G529:G540)</f>
        <v>0</v>
      </c>
    </row>
    <row r="530" spans="2:10">
      <c r="B530" s="185" t="str">
        <f t="shared" si="50"/>
        <v/>
      </c>
      <c r="C530" s="186" t="str">
        <f t="shared" si="51"/>
        <v/>
      </c>
      <c r="D530" s="181">
        <f t="shared" si="52"/>
        <v>0</v>
      </c>
      <c r="E530" s="216">
        <v>8.8999999999999996E-2</v>
      </c>
      <c r="F530" s="181">
        <f t="shared" si="53"/>
        <v>0</v>
      </c>
      <c r="G530" s="181">
        <f t="shared" si="54"/>
        <v>0</v>
      </c>
      <c r="H530" s="181">
        <f t="shared" si="55"/>
        <v>1.4901161193847656E-6</v>
      </c>
      <c r="I530" s="355"/>
      <c r="J530" s="358"/>
    </row>
    <row r="531" spans="2:10">
      <c r="B531" s="185" t="str">
        <f t="shared" si="50"/>
        <v/>
      </c>
      <c r="C531" s="186" t="str">
        <f t="shared" si="51"/>
        <v/>
      </c>
      <c r="D531" s="181">
        <f t="shared" si="52"/>
        <v>0</v>
      </c>
      <c r="E531" s="216">
        <v>8.8999999999999996E-2</v>
      </c>
      <c r="F531" s="181">
        <f t="shared" si="53"/>
        <v>0</v>
      </c>
      <c r="G531" s="181">
        <f t="shared" si="54"/>
        <v>0</v>
      </c>
      <c r="H531" s="181">
        <f t="shared" si="55"/>
        <v>1.4901161193847656E-6</v>
      </c>
      <c r="I531" s="355"/>
      <c r="J531" s="358"/>
    </row>
    <row r="532" spans="2:10">
      <c r="B532" s="185" t="str">
        <f t="shared" si="50"/>
        <v/>
      </c>
      <c r="C532" s="186" t="str">
        <f t="shared" si="51"/>
        <v/>
      </c>
      <c r="D532" s="181">
        <f t="shared" si="52"/>
        <v>0</v>
      </c>
      <c r="E532" s="216">
        <v>8.8999999999999996E-2</v>
      </c>
      <c r="F532" s="181">
        <f t="shared" si="53"/>
        <v>0</v>
      </c>
      <c r="G532" s="181">
        <f t="shared" si="54"/>
        <v>0</v>
      </c>
      <c r="H532" s="181">
        <f t="shared" si="55"/>
        <v>1.4901161193847656E-6</v>
      </c>
      <c r="I532" s="355"/>
      <c r="J532" s="358"/>
    </row>
    <row r="533" spans="2:10">
      <c r="B533" s="185" t="str">
        <f t="shared" si="50"/>
        <v/>
      </c>
      <c r="C533" s="186" t="str">
        <f t="shared" si="51"/>
        <v/>
      </c>
      <c r="D533" s="181">
        <f t="shared" si="52"/>
        <v>0</v>
      </c>
      <c r="E533" s="216">
        <v>8.8999999999999996E-2</v>
      </c>
      <c r="F533" s="181">
        <f t="shared" si="53"/>
        <v>0</v>
      </c>
      <c r="G533" s="181">
        <f t="shared" si="54"/>
        <v>0</v>
      </c>
      <c r="H533" s="181">
        <f t="shared" si="55"/>
        <v>1.4901161193847656E-6</v>
      </c>
      <c r="I533" s="355"/>
      <c r="J533" s="358"/>
    </row>
    <row r="534" spans="2:10">
      <c r="B534" s="185" t="str">
        <f t="shared" si="50"/>
        <v/>
      </c>
      <c r="C534" s="186" t="str">
        <f t="shared" si="51"/>
        <v/>
      </c>
      <c r="D534" s="181">
        <f t="shared" si="52"/>
        <v>0</v>
      </c>
      <c r="E534" s="216">
        <v>8.8999999999999996E-2</v>
      </c>
      <c r="F534" s="181">
        <f t="shared" si="53"/>
        <v>0</v>
      </c>
      <c r="G534" s="181">
        <f t="shared" si="54"/>
        <v>0</v>
      </c>
      <c r="H534" s="181">
        <f t="shared" si="55"/>
        <v>1.4901161193847656E-6</v>
      </c>
      <c r="I534" s="355"/>
      <c r="J534" s="358"/>
    </row>
    <row r="535" spans="2:10">
      <c r="B535" s="185" t="str">
        <f t="shared" si="50"/>
        <v/>
      </c>
      <c r="C535" s="186" t="str">
        <f t="shared" si="51"/>
        <v/>
      </c>
      <c r="D535" s="181">
        <f t="shared" si="52"/>
        <v>0</v>
      </c>
      <c r="E535" s="216">
        <v>8.8999999999999996E-2</v>
      </c>
      <c r="F535" s="181">
        <f t="shared" si="53"/>
        <v>0</v>
      </c>
      <c r="G535" s="181">
        <f t="shared" si="54"/>
        <v>0</v>
      </c>
      <c r="H535" s="181">
        <f t="shared" si="55"/>
        <v>1.4901161193847656E-6</v>
      </c>
      <c r="I535" s="355"/>
      <c r="J535" s="358"/>
    </row>
    <row r="536" spans="2:10">
      <c r="B536" s="185" t="str">
        <f t="shared" si="50"/>
        <v/>
      </c>
      <c r="C536" s="186" t="str">
        <f t="shared" si="51"/>
        <v/>
      </c>
      <c r="D536" s="181">
        <f t="shared" si="52"/>
        <v>0</v>
      </c>
      <c r="E536" s="216">
        <v>8.8999999999999996E-2</v>
      </c>
      <c r="F536" s="181">
        <f t="shared" si="53"/>
        <v>0</v>
      </c>
      <c r="G536" s="181">
        <f t="shared" si="54"/>
        <v>0</v>
      </c>
      <c r="H536" s="181">
        <f t="shared" si="55"/>
        <v>1.4901161193847656E-6</v>
      </c>
      <c r="I536" s="355"/>
      <c r="J536" s="358"/>
    </row>
    <row r="537" spans="2:10">
      <c r="B537" s="185" t="str">
        <f t="shared" si="50"/>
        <v/>
      </c>
      <c r="C537" s="186" t="str">
        <f t="shared" si="51"/>
        <v/>
      </c>
      <c r="D537" s="181">
        <f t="shared" si="52"/>
        <v>0</v>
      </c>
      <c r="E537" s="216">
        <v>8.8999999999999996E-2</v>
      </c>
      <c r="F537" s="181">
        <f t="shared" si="53"/>
        <v>0</v>
      </c>
      <c r="G537" s="181">
        <f t="shared" si="54"/>
        <v>0</v>
      </c>
      <c r="H537" s="181">
        <f t="shared" si="55"/>
        <v>1.4901161193847656E-6</v>
      </c>
      <c r="I537" s="355"/>
      <c r="J537" s="358"/>
    </row>
    <row r="538" spans="2:10">
      <c r="B538" s="185" t="str">
        <f t="shared" si="50"/>
        <v/>
      </c>
      <c r="C538" s="186" t="str">
        <f t="shared" si="51"/>
        <v/>
      </c>
      <c r="D538" s="181">
        <f t="shared" si="52"/>
        <v>0</v>
      </c>
      <c r="E538" s="216">
        <v>8.8999999999999996E-2</v>
      </c>
      <c r="F538" s="181">
        <f t="shared" si="53"/>
        <v>0</v>
      </c>
      <c r="G538" s="181">
        <f t="shared" si="54"/>
        <v>0</v>
      </c>
      <c r="H538" s="181">
        <f t="shared" si="55"/>
        <v>1.4901161193847656E-6</v>
      </c>
      <c r="I538" s="355"/>
      <c r="J538" s="358"/>
    </row>
    <row r="539" spans="2:10">
      <c r="B539" s="185" t="str">
        <f t="shared" si="50"/>
        <v/>
      </c>
      <c r="C539" s="186" t="str">
        <f t="shared" si="51"/>
        <v/>
      </c>
      <c r="D539" s="181">
        <f t="shared" si="52"/>
        <v>0</v>
      </c>
      <c r="E539" s="216">
        <v>8.8999999999999996E-2</v>
      </c>
      <c r="F539" s="181">
        <f t="shared" si="53"/>
        <v>0</v>
      </c>
      <c r="G539" s="181">
        <f t="shared" si="54"/>
        <v>0</v>
      </c>
      <c r="H539" s="181">
        <f t="shared" si="55"/>
        <v>1.4901161193847656E-6</v>
      </c>
      <c r="I539" s="355"/>
      <c r="J539" s="358"/>
    </row>
    <row r="540" spans="2:10" ht="15" thickBot="1">
      <c r="B540" s="185" t="str">
        <f t="shared" si="50"/>
        <v/>
      </c>
      <c r="C540" s="186" t="str">
        <f t="shared" si="51"/>
        <v/>
      </c>
      <c r="D540" s="181">
        <f t="shared" si="52"/>
        <v>0</v>
      </c>
      <c r="E540" s="216">
        <v>8.8999999999999996E-2</v>
      </c>
      <c r="F540" s="181">
        <f t="shared" si="53"/>
        <v>0</v>
      </c>
      <c r="G540" s="181">
        <f t="shared" si="54"/>
        <v>0</v>
      </c>
      <c r="H540" s="181">
        <f t="shared" si="55"/>
        <v>1.4901161193847656E-6</v>
      </c>
      <c r="I540" s="356"/>
      <c r="J540" s="359"/>
    </row>
    <row r="541" spans="2:10">
      <c r="B541" s="183" t="str">
        <f t="shared" si="50"/>
        <v/>
      </c>
      <c r="C541" s="184" t="str">
        <f t="shared" si="51"/>
        <v/>
      </c>
      <c r="D541" s="180">
        <f t="shared" si="52"/>
        <v>0</v>
      </c>
      <c r="E541" s="215">
        <v>8.8999999999999996E-2</v>
      </c>
      <c r="F541" s="180">
        <f t="shared" si="53"/>
        <v>0</v>
      </c>
      <c r="G541" s="180">
        <f t="shared" si="54"/>
        <v>0</v>
      </c>
      <c r="H541" s="180">
        <f t="shared" si="55"/>
        <v>1.4901161193847656E-6</v>
      </c>
      <c r="I541" s="354">
        <v>45</v>
      </c>
      <c r="J541" s="357">
        <f>SUM(G541:G552)</f>
        <v>0</v>
      </c>
    </row>
    <row r="542" spans="2:10">
      <c r="B542" s="185" t="str">
        <f t="shared" si="50"/>
        <v/>
      </c>
      <c r="C542" s="186" t="str">
        <f t="shared" si="51"/>
        <v/>
      </c>
      <c r="D542" s="181">
        <f t="shared" si="52"/>
        <v>0</v>
      </c>
      <c r="E542" s="216">
        <v>8.8999999999999996E-2</v>
      </c>
      <c r="F542" s="181">
        <f t="shared" si="53"/>
        <v>0</v>
      </c>
      <c r="G542" s="181">
        <f t="shared" si="54"/>
        <v>0</v>
      </c>
      <c r="H542" s="181">
        <f t="shared" si="55"/>
        <v>1.4901161193847656E-6</v>
      </c>
      <c r="I542" s="355"/>
      <c r="J542" s="358"/>
    </row>
    <row r="543" spans="2:10">
      <c r="B543" s="185" t="str">
        <f t="shared" si="50"/>
        <v/>
      </c>
      <c r="C543" s="186" t="str">
        <f t="shared" si="51"/>
        <v/>
      </c>
      <c r="D543" s="181">
        <f t="shared" si="52"/>
        <v>0</v>
      </c>
      <c r="E543" s="216">
        <v>8.8999999999999996E-2</v>
      </c>
      <c r="F543" s="181">
        <f t="shared" si="53"/>
        <v>0</v>
      </c>
      <c r="G543" s="181">
        <f t="shared" si="54"/>
        <v>0</v>
      </c>
      <c r="H543" s="181">
        <f t="shared" si="55"/>
        <v>1.4901161193847656E-6</v>
      </c>
      <c r="I543" s="355"/>
      <c r="J543" s="358"/>
    </row>
    <row r="544" spans="2:10">
      <c r="B544" s="185" t="str">
        <f t="shared" si="50"/>
        <v/>
      </c>
      <c r="C544" s="186" t="str">
        <f t="shared" si="51"/>
        <v/>
      </c>
      <c r="D544" s="181">
        <f t="shared" si="52"/>
        <v>0</v>
      </c>
      <c r="E544" s="216">
        <v>8.8999999999999996E-2</v>
      </c>
      <c r="F544" s="181">
        <f t="shared" si="53"/>
        <v>0</v>
      </c>
      <c r="G544" s="181">
        <f t="shared" si="54"/>
        <v>0</v>
      </c>
      <c r="H544" s="181">
        <f t="shared" si="55"/>
        <v>1.4901161193847656E-6</v>
      </c>
      <c r="I544" s="355"/>
      <c r="J544" s="358"/>
    </row>
    <row r="545" spans="2:10">
      <c r="B545" s="185" t="str">
        <f t="shared" si="50"/>
        <v/>
      </c>
      <c r="C545" s="186" t="str">
        <f t="shared" si="51"/>
        <v/>
      </c>
      <c r="D545" s="181">
        <f t="shared" si="52"/>
        <v>0</v>
      </c>
      <c r="E545" s="216">
        <v>8.8999999999999996E-2</v>
      </c>
      <c r="F545" s="181">
        <f t="shared" si="53"/>
        <v>0</v>
      </c>
      <c r="G545" s="181">
        <f t="shared" si="54"/>
        <v>0</v>
      </c>
      <c r="H545" s="181">
        <f t="shared" si="55"/>
        <v>1.4901161193847656E-6</v>
      </c>
      <c r="I545" s="355"/>
      <c r="J545" s="358"/>
    </row>
    <row r="546" spans="2:10">
      <c r="B546" s="185" t="str">
        <f t="shared" si="50"/>
        <v/>
      </c>
      <c r="C546" s="186" t="str">
        <f t="shared" si="51"/>
        <v/>
      </c>
      <c r="D546" s="181">
        <f t="shared" si="52"/>
        <v>0</v>
      </c>
      <c r="E546" s="216">
        <v>8.8999999999999996E-2</v>
      </c>
      <c r="F546" s="181">
        <f t="shared" si="53"/>
        <v>0</v>
      </c>
      <c r="G546" s="181">
        <f t="shared" si="54"/>
        <v>0</v>
      </c>
      <c r="H546" s="181">
        <f t="shared" si="55"/>
        <v>1.4901161193847656E-6</v>
      </c>
      <c r="I546" s="355"/>
      <c r="J546" s="358"/>
    </row>
    <row r="547" spans="2:10">
      <c r="B547" s="185" t="str">
        <f t="shared" si="50"/>
        <v/>
      </c>
      <c r="C547" s="186" t="str">
        <f t="shared" si="51"/>
        <v/>
      </c>
      <c r="D547" s="181">
        <f t="shared" si="52"/>
        <v>0</v>
      </c>
      <c r="E547" s="216">
        <v>8.8999999999999996E-2</v>
      </c>
      <c r="F547" s="181">
        <f t="shared" si="53"/>
        <v>0</v>
      </c>
      <c r="G547" s="181">
        <f t="shared" si="54"/>
        <v>0</v>
      </c>
      <c r="H547" s="181">
        <f t="shared" si="55"/>
        <v>1.4901161193847656E-6</v>
      </c>
      <c r="I547" s="355"/>
      <c r="J547" s="358"/>
    </row>
    <row r="548" spans="2:10">
      <c r="B548" s="185" t="str">
        <f t="shared" si="50"/>
        <v/>
      </c>
      <c r="C548" s="186" t="str">
        <f t="shared" si="51"/>
        <v/>
      </c>
      <c r="D548" s="181">
        <f t="shared" si="52"/>
        <v>0</v>
      </c>
      <c r="E548" s="216">
        <v>8.8999999999999996E-2</v>
      </c>
      <c r="F548" s="181">
        <f t="shared" si="53"/>
        <v>0</v>
      </c>
      <c r="G548" s="181">
        <f t="shared" si="54"/>
        <v>0</v>
      </c>
      <c r="H548" s="181">
        <f t="shared" si="55"/>
        <v>1.4901161193847656E-6</v>
      </c>
      <c r="I548" s="355"/>
      <c r="J548" s="358"/>
    </row>
    <row r="549" spans="2:10">
      <c r="B549" s="185" t="str">
        <f t="shared" si="50"/>
        <v/>
      </c>
      <c r="C549" s="186" t="str">
        <f t="shared" si="51"/>
        <v/>
      </c>
      <c r="D549" s="181">
        <f t="shared" si="52"/>
        <v>0</v>
      </c>
      <c r="E549" s="216">
        <v>8.8999999999999996E-2</v>
      </c>
      <c r="F549" s="181">
        <f t="shared" si="53"/>
        <v>0</v>
      </c>
      <c r="G549" s="181">
        <f t="shared" si="54"/>
        <v>0</v>
      </c>
      <c r="H549" s="181">
        <f t="shared" si="55"/>
        <v>1.4901161193847656E-6</v>
      </c>
      <c r="I549" s="355"/>
      <c r="J549" s="358"/>
    </row>
    <row r="550" spans="2:10">
      <c r="B550" s="185" t="str">
        <f t="shared" si="50"/>
        <v/>
      </c>
      <c r="C550" s="186" t="str">
        <f t="shared" si="51"/>
        <v/>
      </c>
      <c r="D550" s="181">
        <f t="shared" si="52"/>
        <v>0</v>
      </c>
      <c r="E550" s="216">
        <v>8.8999999999999996E-2</v>
      </c>
      <c r="F550" s="181">
        <f t="shared" si="53"/>
        <v>0</v>
      </c>
      <c r="G550" s="181">
        <f t="shared" si="54"/>
        <v>0</v>
      </c>
      <c r="H550" s="181">
        <f t="shared" si="55"/>
        <v>1.4901161193847656E-6</v>
      </c>
      <c r="I550" s="355"/>
      <c r="J550" s="358"/>
    </row>
    <row r="551" spans="2:10">
      <c r="B551" s="185" t="str">
        <f t="shared" si="50"/>
        <v/>
      </c>
      <c r="C551" s="186" t="str">
        <f t="shared" si="51"/>
        <v/>
      </c>
      <c r="D551" s="181">
        <f t="shared" si="52"/>
        <v>0</v>
      </c>
      <c r="E551" s="216">
        <v>8.8999999999999996E-2</v>
      </c>
      <c r="F551" s="181">
        <f t="shared" si="53"/>
        <v>0</v>
      </c>
      <c r="G551" s="181">
        <f t="shared" si="54"/>
        <v>0</v>
      </c>
      <c r="H551" s="181">
        <f t="shared" si="55"/>
        <v>1.4901161193847656E-6</v>
      </c>
      <c r="I551" s="355"/>
      <c r="J551" s="358"/>
    </row>
    <row r="552" spans="2:10" ht="15" thickBot="1">
      <c r="B552" s="185" t="str">
        <f t="shared" si="50"/>
        <v/>
      </c>
      <c r="C552" s="186" t="str">
        <f t="shared" si="51"/>
        <v/>
      </c>
      <c r="D552" s="181">
        <f t="shared" si="52"/>
        <v>0</v>
      </c>
      <c r="E552" s="216">
        <v>8.8999999999999996E-2</v>
      </c>
      <c r="F552" s="181">
        <f t="shared" si="53"/>
        <v>0</v>
      </c>
      <c r="G552" s="181">
        <f t="shared" si="54"/>
        <v>0</v>
      </c>
      <c r="H552" s="181">
        <f t="shared" si="55"/>
        <v>1.4901161193847656E-6</v>
      </c>
      <c r="I552" s="356"/>
      <c r="J552" s="359"/>
    </row>
    <row r="553" spans="2:10">
      <c r="B553" s="183" t="str">
        <f t="shared" si="50"/>
        <v/>
      </c>
      <c r="C553" s="184" t="str">
        <f t="shared" si="51"/>
        <v/>
      </c>
      <c r="D553" s="180">
        <f t="shared" si="52"/>
        <v>0</v>
      </c>
      <c r="E553" s="215">
        <v>8.8999999999999996E-2</v>
      </c>
      <c r="F553" s="180">
        <f t="shared" si="53"/>
        <v>0</v>
      </c>
      <c r="G553" s="180">
        <f t="shared" si="54"/>
        <v>0</v>
      </c>
      <c r="H553" s="180">
        <f t="shared" si="55"/>
        <v>1.4901161193847656E-6</v>
      </c>
      <c r="I553" s="354">
        <v>46</v>
      </c>
      <c r="J553" s="357">
        <f>SUM(G553:G564)</f>
        <v>0</v>
      </c>
    </row>
    <row r="554" spans="2:10">
      <c r="B554" s="185" t="str">
        <f t="shared" si="50"/>
        <v/>
      </c>
      <c r="C554" s="186" t="str">
        <f t="shared" si="51"/>
        <v/>
      </c>
      <c r="D554" s="181">
        <f t="shared" si="52"/>
        <v>0</v>
      </c>
      <c r="E554" s="216">
        <v>8.8999999999999996E-2</v>
      </c>
      <c r="F554" s="181">
        <f t="shared" si="53"/>
        <v>0</v>
      </c>
      <c r="G554" s="181">
        <f t="shared" si="54"/>
        <v>0</v>
      </c>
      <c r="H554" s="181">
        <f t="shared" si="55"/>
        <v>1.4901161193847656E-6</v>
      </c>
      <c r="I554" s="355"/>
      <c r="J554" s="358"/>
    </row>
    <row r="555" spans="2:10">
      <c r="B555" s="185" t="str">
        <f t="shared" si="50"/>
        <v/>
      </c>
      <c r="C555" s="186" t="str">
        <f t="shared" si="51"/>
        <v/>
      </c>
      <c r="D555" s="181">
        <f t="shared" si="52"/>
        <v>0</v>
      </c>
      <c r="E555" s="216">
        <v>8.8999999999999996E-2</v>
      </c>
      <c r="F555" s="181">
        <f t="shared" si="53"/>
        <v>0</v>
      </c>
      <c r="G555" s="181">
        <f t="shared" si="54"/>
        <v>0</v>
      </c>
      <c r="H555" s="181">
        <f t="shared" si="55"/>
        <v>1.4901161193847656E-6</v>
      </c>
      <c r="I555" s="355"/>
      <c r="J555" s="358"/>
    </row>
    <row r="556" spans="2:10">
      <c r="B556" s="185" t="str">
        <f t="shared" si="50"/>
        <v/>
      </c>
      <c r="C556" s="186" t="str">
        <f t="shared" si="51"/>
        <v/>
      </c>
      <c r="D556" s="181">
        <f t="shared" si="52"/>
        <v>0</v>
      </c>
      <c r="E556" s="216">
        <v>8.8999999999999996E-2</v>
      </c>
      <c r="F556" s="181">
        <f t="shared" si="53"/>
        <v>0</v>
      </c>
      <c r="G556" s="181">
        <f t="shared" si="54"/>
        <v>0</v>
      </c>
      <c r="H556" s="181">
        <f t="shared" si="55"/>
        <v>1.4901161193847656E-6</v>
      </c>
      <c r="I556" s="355"/>
      <c r="J556" s="358"/>
    </row>
    <row r="557" spans="2:10">
      <c r="B557" s="185" t="str">
        <f t="shared" si="50"/>
        <v/>
      </c>
      <c r="C557" s="186" t="str">
        <f t="shared" si="51"/>
        <v/>
      </c>
      <c r="D557" s="181">
        <f t="shared" si="52"/>
        <v>0</v>
      </c>
      <c r="E557" s="216">
        <v>8.8999999999999996E-2</v>
      </c>
      <c r="F557" s="181">
        <f t="shared" si="53"/>
        <v>0</v>
      </c>
      <c r="G557" s="181">
        <f t="shared" si="54"/>
        <v>0</v>
      </c>
      <c r="H557" s="181">
        <f t="shared" si="55"/>
        <v>1.4901161193847656E-6</v>
      </c>
      <c r="I557" s="355"/>
      <c r="J557" s="358"/>
    </row>
    <row r="558" spans="2:10">
      <c r="B558" s="185" t="str">
        <f t="shared" si="50"/>
        <v/>
      </c>
      <c r="C558" s="186" t="str">
        <f t="shared" si="51"/>
        <v/>
      </c>
      <c r="D558" s="181">
        <f t="shared" si="52"/>
        <v>0</v>
      </c>
      <c r="E558" s="216">
        <v>8.8999999999999996E-2</v>
      </c>
      <c r="F558" s="181">
        <f t="shared" si="53"/>
        <v>0</v>
      </c>
      <c r="G558" s="181">
        <f t="shared" si="54"/>
        <v>0</v>
      </c>
      <c r="H558" s="181">
        <f t="shared" si="55"/>
        <v>1.4901161193847656E-6</v>
      </c>
      <c r="I558" s="355"/>
      <c r="J558" s="358"/>
    </row>
    <row r="559" spans="2:10">
      <c r="B559" s="185" t="str">
        <f t="shared" si="50"/>
        <v/>
      </c>
      <c r="C559" s="186" t="str">
        <f t="shared" si="51"/>
        <v/>
      </c>
      <c r="D559" s="181">
        <f t="shared" si="52"/>
        <v>0</v>
      </c>
      <c r="E559" s="216">
        <v>8.8999999999999996E-2</v>
      </c>
      <c r="F559" s="181">
        <f t="shared" si="53"/>
        <v>0</v>
      </c>
      <c r="G559" s="181">
        <f t="shared" si="54"/>
        <v>0</v>
      </c>
      <c r="H559" s="181">
        <f t="shared" si="55"/>
        <v>1.4901161193847656E-6</v>
      </c>
      <c r="I559" s="355"/>
      <c r="J559" s="358"/>
    </row>
    <row r="560" spans="2:10">
      <c r="B560" s="185" t="str">
        <f t="shared" si="50"/>
        <v/>
      </c>
      <c r="C560" s="186" t="str">
        <f t="shared" si="51"/>
        <v/>
      </c>
      <c r="D560" s="181">
        <f t="shared" si="52"/>
        <v>0</v>
      </c>
      <c r="E560" s="216">
        <v>8.8999999999999996E-2</v>
      </c>
      <c r="F560" s="181">
        <f t="shared" si="53"/>
        <v>0</v>
      </c>
      <c r="G560" s="181">
        <f t="shared" si="54"/>
        <v>0</v>
      </c>
      <c r="H560" s="181">
        <f t="shared" si="55"/>
        <v>1.4901161193847656E-6</v>
      </c>
      <c r="I560" s="355"/>
      <c r="J560" s="358"/>
    </row>
    <row r="561" spans="2:10">
      <c r="B561" s="185" t="str">
        <f t="shared" si="50"/>
        <v/>
      </c>
      <c r="C561" s="186" t="str">
        <f t="shared" si="51"/>
        <v/>
      </c>
      <c r="D561" s="181">
        <f t="shared" si="52"/>
        <v>0</v>
      </c>
      <c r="E561" s="216">
        <v>8.8999999999999996E-2</v>
      </c>
      <c r="F561" s="181">
        <f t="shared" si="53"/>
        <v>0</v>
      </c>
      <c r="G561" s="181">
        <f t="shared" si="54"/>
        <v>0</v>
      </c>
      <c r="H561" s="181">
        <f t="shared" si="55"/>
        <v>1.4901161193847656E-6</v>
      </c>
      <c r="I561" s="355"/>
      <c r="J561" s="358"/>
    </row>
    <row r="562" spans="2:10">
      <c r="B562" s="185" t="str">
        <f t="shared" si="50"/>
        <v/>
      </c>
      <c r="C562" s="186" t="str">
        <f t="shared" si="51"/>
        <v/>
      </c>
      <c r="D562" s="181">
        <f t="shared" si="52"/>
        <v>0</v>
      </c>
      <c r="E562" s="216">
        <v>8.8999999999999996E-2</v>
      </c>
      <c r="F562" s="181">
        <f t="shared" si="53"/>
        <v>0</v>
      </c>
      <c r="G562" s="181">
        <f t="shared" si="54"/>
        <v>0</v>
      </c>
      <c r="H562" s="181">
        <f t="shared" si="55"/>
        <v>1.4901161193847656E-6</v>
      </c>
      <c r="I562" s="355"/>
      <c r="J562" s="358"/>
    </row>
    <row r="563" spans="2:10">
      <c r="B563" s="185" t="str">
        <f t="shared" si="50"/>
        <v/>
      </c>
      <c r="C563" s="186" t="str">
        <f t="shared" si="51"/>
        <v/>
      </c>
      <c r="D563" s="181">
        <f t="shared" si="52"/>
        <v>0</v>
      </c>
      <c r="E563" s="216">
        <v>8.8999999999999996E-2</v>
      </c>
      <c r="F563" s="181">
        <f t="shared" si="53"/>
        <v>0</v>
      </c>
      <c r="G563" s="181">
        <f t="shared" si="54"/>
        <v>0</v>
      </c>
      <c r="H563" s="181">
        <f t="shared" si="55"/>
        <v>1.4901161193847656E-6</v>
      </c>
      <c r="I563" s="355"/>
      <c r="J563" s="358"/>
    </row>
    <row r="564" spans="2:10" ht="15" thickBot="1">
      <c r="B564" s="185" t="str">
        <f t="shared" si="50"/>
        <v/>
      </c>
      <c r="C564" s="186" t="str">
        <f t="shared" si="51"/>
        <v/>
      </c>
      <c r="D564" s="181">
        <f t="shared" si="52"/>
        <v>0</v>
      </c>
      <c r="E564" s="216">
        <v>8.8999999999999996E-2</v>
      </c>
      <c r="F564" s="181">
        <f t="shared" si="53"/>
        <v>0</v>
      </c>
      <c r="G564" s="181">
        <f t="shared" si="54"/>
        <v>0</v>
      </c>
      <c r="H564" s="181">
        <f t="shared" si="55"/>
        <v>1.4901161193847656E-6</v>
      </c>
      <c r="I564" s="356"/>
      <c r="J564" s="359"/>
    </row>
    <row r="565" spans="2:10">
      <c r="B565" s="183" t="str">
        <f t="shared" si="50"/>
        <v/>
      </c>
      <c r="C565" s="184" t="str">
        <f t="shared" si="51"/>
        <v/>
      </c>
      <c r="D565" s="180">
        <f t="shared" si="52"/>
        <v>0</v>
      </c>
      <c r="E565" s="215">
        <v>8.8999999999999996E-2</v>
      </c>
      <c r="F565" s="180">
        <f t="shared" si="53"/>
        <v>0</v>
      </c>
      <c r="G565" s="180">
        <f t="shared" si="54"/>
        <v>0</v>
      </c>
      <c r="H565" s="180">
        <f t="shared" si="55"/>
        <v>1.4901161193847656E-6</v>
      </c>
      <c r="I565" s="354">
        <v>47</v>
      </c>
      <c r="J565" s="357">
        <f>SUM(G565:G576)</f>
        <v>0</v>
      </c>
    </row>
    <row r="566" spans="2:10">
      <c r="B566" s="185" t="str">
        <f t="shared" si="50"/>
        <v/>
      </c>
      <c r="C566" s="186" t="str">
        <f t="shared" si="51"/>
        <v/>
      </c>
      <c r="D566" s="181">
        <f t="shared" si="52"/>
        <v>0</v>
      </c>
      <c r="E566" s="216">
        <v>8.8999999999999996E-2</v>
      </c>
      <c r="F566" s="181">
        <f t="shared" si="53"/>
        <v>0</v>
      </c>
      <c r="G566" s="181">
        <f t="shared" si="54"/>
        <v>0</v>
      </c>
      <c r="H566" s="181">
        <f t="shared" si="55"/>
        <v>1.4901161193847656E-6</v>
      </c>
      <c r="I566" s="355"/>
      <c r="J566" s="358"/>
    </row>
    <row r="567" spans="2:10">
      <c r="B567" s="185" t="str">
        <f t="shared" si="50"/>
        <v/>
      </c>
      <c r="C567" s="186" t="str">
        <f t="shared" si="51"/>
        <v/>
      </c>
      <c r="D567" s="181">
        <f t="shared" si="52"/>
        <v>0</v>
      </c>
      <c r="E567" s="216">
        <v>8.8999999999999996E-2</v>
      </c>
      <c r="F567" s="181">
        <f t="shared" si="53"/>
        <v>0</v>
      </c>
      <c r="G567" s="181">
        <f t="shared" si="54"/>
        <v>0</v>
      </c>
      <c r="H567" s="181">
        <f t="shared" si="55"/>
        <v>1.4901161193847656E-6</v>
      </c>
      <c r="I567" s="355"/>
      <c r="J567" s="358"/>
    </row>
    <row r="568" spans="2:10">
      <c r="B568" s="185" t="str">
        <f t="shared" si="50"/>
        <v/>
      </c>
      <c r="C568" s="186" t="str">
        <f t="shared" si="51"/>
        <v/>
      </c>
      <c r="D568" s="181">
        <f t="shared" si="52"/>
        <v>0</v>
      </c>
      <c r="E568" s="216">
        <v>8.8999999999999996E-2</v>
      </c>
      <c r="F568" s="181">
        <f t="shared" si="53"/>
        <v>0</v>
      </c>
      <c r="G568" s="181">
        <f t="shared" si="54"/>
        <v>0</v>
      </c>
      <c r="H568" s="181">
        <f t="shared" si="55"/>
        <v>1.4901161193847656E-6</v>
      </c>
      <c r="I568" s="355"/>
      <c r="J568" s="358"/>
    </row>
    <row r="569" spans="2:10">
      <c r="B569" s="185" t="str">
        <f t="shared" si="50"/>
        <v/>
      </c>
      <c r="C569" s="186" t="str">
        <f t="shared" si="51"/>
        <v/>
      </c>
      <c r="D569" s="181">
        <f t="shared" si="52"/>
        <v>0</v>
      </c>
      <c r="E569" s="216">
        <v>8.8999999999999996E-2</v>
      </c>
      <c r="F569" s="181">
        <f t="shared" si="53"/>
        <v>0</v>
      </c>
      <c r="G569" s="181">
        <f t="shared" si="54"/>
        <v>0</v>
      </c>
      <c r="H569" s="181">
        <f t="shared" si="55"/>
        <v>1.4901161193847656E-6</v>
      </c>
      <c r="I569" s="355"/>
      <c r="J569" s="358"/>
    </row>
    <row r="570" spans="2:10">
      <c r="B570" s="185" t="str">
        <f t="shared" si="50"/>
        <v/>
      </c>
      <c r="C570" s="186" t="str">
        <f t="shared" si="51"/>
        <v/>
      </c>
      <c r="D570" s="181">
        <f t="shared" si="52"/>
        <v>0</v>
      </c>
      <c r="E570" s="216">
        <v>8.8999999999999996E-2</v>
      </c>
      <c r="F570" s="181">
        <f t="shared" si="53"/>
        <v>0</v>
      </c>
      <c r="G570" s="181">
        <f t="shared" si="54"/>
        <v>0</v>
      </c>
      <c r="H570" s="181">
        <f t="shared" si="55"/>
        <v>1.4901161193847656E-6</v>
      </c>
      <c r="I570" s="355"/>
      <c r="J570" s="358"/>
    </row>
    <row r="571" spans="2:10">
      <c r="B571" s="185" t="str">
        <f t="shared" si="50"/>
        <v/>
      </c>
      <c r="C571" s="186" t="str">
        <f t="shared" si="51"/>
        <v/>
      </c>
      <c r="D571" s="181">
        <f t="shared" si="52"/>
        <v>0</v>
      </c>
      <c r="E571" s="216">
        <v>8.8999999999999996E-2</v>
      </c>
      <c r="F571" s="181">
        <f t="shared" si="53"/>
        <v>0</v>
      </c>
      <c r="G571" s="181">
        <f t="shared" si="54"/>
        <v>0</v>
      </c>
      <c r="H571" s="181">
        <f t="shared" si="55"/>
        <v>1.4901161193847656E-6</v>
      </c>
      <c r="I571" s="355"/>
      <c r="J571" s="358"/>
    </row>
    <row r="572" spans="2:10">
      <c r="B572" s="185" t="str">
        <f t="shared" si="50"/>
        <v/>
      </c>
      <c r="C572" s="186" t="str">
        <f t="shared" si="51"/>
        <v/>
      </c>
      <c r="D572" s="181">
        <f t="shared" si="52"/>
        <v>0</v>
      </c>
      <c r="E572" s="216">
        <v>8.8999999999999996E-2</v>
      </c>
      <c r="F572" s="181">
        <f t="shared" si="53"/>
        <v>0</v>
      </c>
      <c r="G572" s="181">
        <f t="shared" si="54"/>
        <v>0</v>
      </c>
      <c r="H572" s="181">
        <f t="shared" si="55"/>
        <v>1.4901161193847656E-6</v>
      </c>
      <c r="I572" s="355"/>
      <c r="J572" s="358"/>
    </row>
    <row r="573" spans="2:10">
      <c r="B573" s="185" t="str">
        <f t="shared" si="50"/>
        <v/>
      </c>
      <c r="C573" s="186" t="str">
        <f t="shared" si="51"/>
        <v/>
      </c>
      <c r="D573" s="181">
        <f t="shared" si="52"/>
        <v>0</v>
      </c>
      <c r="E573" s="216">
        <v>8.8999999999999996E-2</v>
      </c>
      <c r="F573" s="181">
        <f t="shared" si="53"/>
        <v>0</v>
      </c>
      <c r="G573" s="181">
        <f t="shared" si="54"/>
        <v>0</v>
      </c>
      <c r="H573" s="181">
        <f t="shared" si="55"/>
        <v>1.4901161193847656E-6</v>
      </c>
      <c r="I573" s="355"/>
      <c r="J573" s="358"/>
    </row>
    <row r="574" spans="2:10">
      <c r="B574" s="185" t="str">
        <f t="shared" si="50"/>
        <v/>
      </c>
      <c r="C574" s="186" t="str">
        <f t="shared" si="51"/>
        <v/>
      </c>
      <c r="D574" s="181">
        <f t="shared" si="52"/>
        <v>0</v>
      </c>
      <c r="E574" s="216">
        <v>8.8999999999999996E-2</v>
      </c>
      <c r="F574" s="181">
        <f t="shared" si="53"/>
        <v>0</v>
      </c>
      <c r="G574" s="181">
        <f t="shared" si="54"/>
        <v>0</v>
      </c>
      <c r="H574" s="181">
        <f t="shared" si="55"/>
        <v>1.4901161193847656E-6</v>
      </c>
      <c r="I574" s="355"/>
      <c r="J574" s="358"/>
    </row>
    <row r="575" spans="2:10">
      <c r="B575" s="185" t="str">
        <f t="shared" si="50"/>
        <v/>
      </c>
      <c r="C575" s="186" t="str">
        <f t="shared" si="51"/>
        <v/>
      </c>
      <c r="D575" s="181">
        <f t="shared" si="52"/>
        <v>0</v>
      </c>
      <c r="E575" s="216">
        <v>8.8999999999999996E-2</v>
      </c>
      <c r="F575" s="181">
        <f t="shared" si="53"/>
        <v>0</v>
      </c>
      <c r="G575" s="181">
        <f t="shared" si="54"/>
        <v>0</v>
      </c>
      <c r="H575" s="181">
        <f t="shared" si="55"/>
        <v>1.4901161193847656E-6</v>
      </c>
      <c r="I575" s="355"/>
      <c r="J575" s="358"/>
    </row>
    <row r="576" spans="2:10" ht="15" thickBot="1">
      <c r="B576" s="185" t="str">
        <f t="shared" si="50"/>
        <v/>
      </c>
      <c r="C576" s="186" t="str">
        <f t="shared" si="51"/>
        <v/>
      </c>
      <c r="D576" s="181">
        <f t="shared" si="52"/>
        <v>0</v>
      </c>
      <c r="E576" s="216">
        <v>8.8999999999999996E-2</v>
      </c>
      <c r="F576" s="181">
        <f t="shared" si="53"/>
        <v>0</v>
      </c>
      <c r="G576" s="181">
        <f t="shared" si="54"/>
        <v>0</v>
      </c>
      <c r="H576" s="181">
        <f t="shared" si="55"/>
        <v>1.4901161193847656E-6</v>
      </c>
      <c r="I576" s="356"/>
      <c r="J576" s="359"/>
    </row>
    <row r="577" spans="2:10">
      <c r="B577" s="183" t="str">
        <f t="shared" si="50"/>
        <v/>
      </c>
      <c r="C577" s="184" t="str">
        <f t="shared" si="51"/>
        <v/>
      </c>
      <c r="D577" s="180">
        <f t="shared" si="52"/>
        <v>0</v>
      </c>
      <c r="E577" s="215">
        <v>8.8999999999999996E-2</v>
      </c>
      <c r="F577" s="180">
        <f t="shared" si="53"/>
        <v>0</v>
      </c>
      <c r="G577" s="180">
        <f t="shared" si="54"/>
        <v>0</v>
      </c>
      <c r="H577" s="180">
        <f t="shared" si="55"/>
        <v>1.4901161193847656E-6</v>
      </c>
      <c r="I577" s="354">
        <v>48</v>
      </c>
      <c r="J577" s="357">
        <f>SUM(G577:G588)</f>
        <v>0</v>
      </c>
    </row>
    <row r="578" spans="2:10">
      <c r="B578" s="185" t="str">
        <f t="shared" si="50"/>
        <v/>
      </c>
      <c r="C578" s="186" t="str">
        <f t="shared" si="51"/>
        <v/>
      </c>
      <c r="D578" s="181">
        <f t="shared" si="52"/>
        <v>0</v>
      </c>
      <c r="E578" s="216">
        <v>8.8999999999999996E-2</v>
      </c>
      <c r="F578" s="181">
        <f t="shared" si="53"/>
        <v>0</v>
      </c>
      <c r="G578" s="181">
        <f t="shared" si="54"/>
        <v>0</v>
      </c>
      <c r="H578" s="181">
        <f t="shared" si="55"/>
        <v>1.4901161193847656E-6</v>
      </c>
      <c r="I578" s="355"/>
      <c r="J578" s="358"/>
    </row>
    <row r="579" spans="2:10">
      <c r="B579" s="185" t="str">
        <f t="shared" si="50"/>
        <v/>
      </c>
      <c r="C579" s="186" t="str">
        <f t="shared" si="51"/>
        <v/>
      </c>
      <c r="D579" s="181">
        <f t="shared" si="52"/>
        <v>0</v>
      </c>
      <c r="E579" s="216">
        <v>8.8999999999999996E-2</v>
      </c>
      <c r="F579" s="181">
        <f t="shared" si="53"/>
        <v>0</v>
      </c>
      <c r="G579" s="181">
        <f t="shared" si="54"/>
        <v>0</v>
      </c>
      <c r="H579" s="181">
        <f t="shared" si="55"/>
        <v>1.4901161193847656E-6</v>
      </c>
      <c r="I579" s="355"/>
      <c r="J579" s="358"/>
    </row>
    <row r="580" spans="2:10">
      <c r="B580" s="185" t="str">
        <f t="shared" si="50"/>
        <v/>
      </c>
      <c r="C580" s="186" t="str">
        <f t="shared" si="51"/>
        <v/>
      </c>
      <c r="D580" s="181">
        <f t="shared" si="52"/>
        <v>0</v>
      </c>
      <c r="E580" s="216">
        <v>8.8999999999999996E-2</v>
      </c>
      <c r="F580" s="181">
        <f t="shared" si="53"/>
        <v>0</v>
      </c>
      <c r="G580" s="181">
        <f t="shared" si="54"/>
        <v>0</v>
      </c>
      <c r="H580" s="181">
        <f t="shared" si="55"/>
        <v>1.4901161193847656E-6</v>
      </c>
      <c r="I580" s="355"/>
      <c r="J580" s="358"/>
    </row>
    <row r="581" spans="2:10">
      <c r="B581" s="185" t="str">
        <f t="shared" si="50"/>
        <v/>
      </c>
      <c r="C581" s="186" t="str">
        <f t="shared" si="51"/>
        <v/>
      </c>
      <c r="D581" s="181">
        <f t="shared" si="52"/>
        <v>0</v>
      </c>
      <c r="E581" s="216">
        <v>8.8999999999999996E-2</v>
      </c>
      <c r="F581" s="181">
        <f t="shared" si="53"/>
        <v>0</v>
      </c>
      <c r="G581" s="181">
        <f t="shared" si="54"/>
        <v>0</v>
      </c>
      <c r="H581" s="181">
        <f t="shared" si="55"/>
        <v>1.4901161193847656E-6</v>
      </c>
      <c r="I581" s="355"/>
      <c r="J581" s="358"/>
    </row>
    <row r="582" spans="2:10">
      <c r="B582" s="185" t="str">
        <f t="shared" si="50"/>
        <v/>
      </c>
      <c r="C582" s="186" t="str">
        <f t="shared" si="51"/>
        <v/>
      </c>
      <c r="D582" s="181">
        <f t="shared" si="52"/>
        <v>0</v>
      </c>
      <c r="E582" s="216">
        <v>8.8999999999999996E-2</v>
      </c>
      <c r="F582" s="181">
        <f t="shared" si="53"/>
        <v>0</v>
      </c>
      <c r="G582" s="181">
        <f t="shared" si="54"/>
        <v>0</v>
      </c>
      <c r="H582" s="181">
        <f t="shared" si="55"/>
        <v>1.4901161193847656E-6</v>
      </c>
      <c r="I582" s="355"/>
      <c r="J582" s="358"/>
    </row>
    <row r="583" spans="2:10">
      <c r="B583" s="185" t="str">
        <f t="shared" si="50"/>
        <v/>
      </c>
      <c r="C583" s="186" t="str">
        <f t="shared" si="51"/>
        <v/>
      </c>
      <c r="D583" s="181">
        <f t="shared" si="52"/>
        <v>0</v>
      </c>
      <c r="E583" s="216">
        <v>8.8999999999999996E-2</v>
      </c>
      <c r="F583" s="181">
        <f t="shared" si="53"/>
        <v>0</v>
      </c>
      <c r="G583" s="181">
        <f t="shared" si="54"/>
        <v>0</v>
      </c>
      <c r="H583" s="181">
        <f t="shared" si="55"/>
        <v>1.4901161193847656E-6</v>
      </c>
      <c r="I583" s="355"/>
      <c r="J583" s="358"/>
    </row>
    <row r="584" spans="2:10">
      <c r="B584" s="185" t="str">
        <f t="shared" si="50"/>
        <v/>
      </c>
      <c r="C584" s="186" t="str">
        <f t="shared" si="51"/>
        <v/>
      </c>
      <c r="D584" s="181">
        <f t="shared" si="52"/>
        <v>0</v>
      </c>
      <c r="E584" s="216">
        <v>8.8999999999999996E-2</v>
      </c>
      <c r="F584" s="181">
        <f t="shared" si="53"/>
        <v>0</v>
      </c>
      <c r="G584" s="181">
        <f t="shared" si="54"/>
        <v>0</v>
      </c>
      <c r="H584" s="181">
        <f t="shared" si="55"/>
        <v>1.4901161193847656E-6</v>
      </c>
      <c r="I584" s="355"/>
      <c r="J584" s="358"/>
    </row>
    <row r="585" spans="2:10">
      <c r="B585" s="185" t="str">
        <f t="shared" si="50"/>
        <v/>
      </c>
      <c r="C585" s="186" t="str">
        <f t="shared" si="51"/>
        <v/>
      </c>
      <c r="D585" s="181">
        <f t="shared" si="52"/>
        <v>0</v>
      </c>
      <c r="E585" s="216">
        <v>8.8999999999999996E-2</v>
      </c>
      <c r="F585" s="181">
        <f t="shared" si="53"/>
        <v>0</v>
      </c>
      <c r="G585" s="181">
        <f t="shared" si="54"/>
        <v>0</v>
      </c>
      <c r="H585" s="181">
        <f t="shared" si="55"/>
        <v>1.4901161193847656E-6</v>
      </c>
      <c r="I585" s="355"/>
      <c r="J585" s="358"/>
    </row>
    <row r="586" spans="2:10">
      <c r="B586" s="185" t="str">
        <f t="shared" si="50"/>
        <v/>
      </c>
      <c r="C586" s="186" t="str">
        <f t="shared" si="51"/>
        <v/>
      </c>
      <c r="D586" s="181">
        <f t="shared" si="52"/>
        <v>0</v>
      </c>
      <c r="E586" s="216">
        <v>8.8999999999999996E-2</v>
      </c>
      <c r="F586" s="181">
        <f t="shared" si="53"/>
        <v>0</v>
      </c>
      <c r="G586" s="181">
        <f t="shared" si="54"/>
        <v>0</v>
      </c>
      <c r="H586" s="181">
        <f t="shared" si="55"/>
        <v>1.4901161193847656E-6</v>
      </c>
      <c r="I586" s="355"/>
      <c r="J586" s="358"/>
    </row>
    <row r="587" spans="2:10">
      <c r="B587" s="185" t="str">
        <f t="shared" si="50"/>
        <v/>
      </c>
      <c r="C587" s="186" t="str">
        <f t="shared" si="51"/>
        <v/>
      </c>
      <c r="D587" s="181">
        <f t="shared" si="52"/>
        <v>0</v>
      </c>
      <c r="E587" s="216">
        <v>8.8999999999999996E-2</v>
      </c>
      <c r="F587" s="181">
        <f t="shared" si="53"/>
        <v>0</v>
      </c>
      <c r="G587" s="181">
        <f t="shared" si="54"/>
        <v>0</v>
      </c>
      <c r="H587" s="181">
        <f t="shared" si="55"/>
        <v>1.4901161193847656E-6</v>
      </c>
      <c r="I587" s="355"/>
      <c r="J587" s="358"/>
    </row>
    <row r="588" spans="2:10" ht="15" thickBot="1">
      <c r="B588" s="185" t="str">
        <f t="shared" si="50"/>
        <v/>
      </c>
      <c r="C588" s="186" t="str">
        <f t="shared" si="51"/>
        <v/>
      </c>
      <c r="D588" s="181">
        <f t="shared" si="52"/>
        <v>0</v>
      </c>
      <c r="E588" s="216">
        <v>8.8999999999999996E-2</v>
      </c>
      <c r="F588" s="181">
        <f t="shared" si="53"/>
        <v>0</v>
      </c>
      <c r="G588" s="181">
        <f t="shared" si="54"/>
        <v>0</v>
      </c>
      <c r="H588" s="181">
        <f t="shared" si="55"/>
        <v>1.4901161193847656E-6</v>
      </c>
      <c r="I588" s="356"/>
      <c r="J588" s="359"/>
    </row>
    <row r="589" spans="2:10">
      <c r="B589" s="183" t="str">
        <f t="shared" si="50"/>
        <v/>
      </c>
      <c r="C589" s="184" t="str">
        <f t="shared" si="51"/>
        <v/>
      </c>
      <c r="D589" s="180">
        <f t="shared" si="52"/>
        <v>0</v>
      </c>
      <c r="E589" s="215">
        <v>8.8999999999999996E-2</v>
      </c>
      <c r="F589" s="180">
        <f t="shared" si="53"/>
        <v>0</v>
      </c>
      <c r="G589" s="180">
        <f t="shared" si="54"/>
        <v>0</v>
      </c>
      <c r="H589" s="180">
        <f t="shared" si="55"/>
        <v>1.4901161193847656E-6</v>
      </c>
      <c r="I589" s="354">
        <v>49</v>
      </c>
      <c r="J589" s="357">
        <f>SUM(G589:G600)</f>
        <v>0</v>
      </c>
    </row>
    <row r="590" spans="2:10">
      <c r="B590" s="185" t="str">
        <f t="shared" si="50"/>
        <v/>
      </c>
      <c r="C590" s="186" t="str">
        <f t="shared" si="51"/>
        <v/>
      </c>
      <c r="D590" s="181">
        <f t="shared" si="52"/>
        <v>0</v>
      </c>
      <c r="E590" s="216">
        <v>8.8999999999999996E-2</v>
      </c>
      <c r="F590" s="181">
        <f t="shared" si="53"/>
        <v>0</v>
      </c>
      <c r="G590" s="181">
        <f t="shared" si="54"/>
        <v>0</v>
      </c>
      <c r="H590" s="181">
        <f t="shared" si="55"/>
        <v>1.4901161193847656E-6</v>
      </c>
      <c r="I590" s="355"/>
      <c r="J590" s="358"/>
    </row>
    <row r="591" spans="2:10">
      <c r="B591" s="185" t="str">
        <f t="shared" ref="B591:B612" si="56">IF(B590&lt;$D$7,B590+1,"")</f>
        <v/>
      </c>
      <c r="C591" s="186" t="str">
        <f t="shared" ref="C591:C612" si="57">IF(B591&lt;&gt;"",EDATE(C590,1),"")</f>
        <v/>
      </c>
      <c r="D591" s="181">
        <f t="shared" ref="D591:D612" si="58">IFERROR(IF(B591&lt;=$D$7,H590*E591/12,0),0)</f>
        <v>0</v>
      </c>
      <c r="E591" s="216">
        <v>8.8999999999999996E-2</v>
      </c>
      <c r="F591" s="181">
        <f t="shared" ref="F591:F612" si="59">IFERROR(IF(B591&lt;=$D$7,$D$6/$D$7,0),0)</f>
        <v>0</v>
      </c>
      <c r="G591" s="181">
        <f t="shared" ref="G591:G612" si="60">D591+F591</f>
        <v>0</v>
      </c>
      <c r="H591" s="181">
        <f t="shared" ref="H591:H612" si="61">H590-F591</f>
        <v>1.4901161193847656E-6</v>
      </c>
      <c r="I591" s="355"/>
      <c r="J591" s="358"/>
    </row>
    <row r="592" spans="2:10">
      <c r="B592" s="185" t="str">
        <f t="shared" si="56"/>
        <v/>
      </c>
      <c r="C592" s="186" t="str">
        <f t="shared" si="57"/>
        <v/>
      </c>
      <c r="D592" s="181">
        <f t="shared" si="58"/>
        <v>0</v>
      </c>
      <c r="E592" s="216">
        <v>8.8999999999999996E-2</v>
      </c>
      <c r="F592" s="181">
        <f t="shared" si="59"/>
        <v>0</v>
      </c>
      <c r="G592" s="181">
        <f t="shared" si="60"/>
        <v>0</v>
      </c>
      <c r="H592" s="181">
        <f t="shared" si="61"/>
        <v>1.4901161193847656E-6</v>
      </c>
      <c r="I592" s="355"/>
      <c r="J592" s="358"/>
    </row>
    <row r="593" spans="2:10">
      <c r="B593" s="185" t="str">
        <f t="shared" si="56"/>
        <v/>
      </c>
      <c r="C593" s="186" t="str">
        <f t="shared" si="57"/>
        <v/>
      </c>
      <c r="D593" s="181">
        <f t="shared" si="58"/>
        <v>0</v>
      </c>
      <c r="E593" s="216">
        <v>8.8999999999999996E-2</v>
      </c>
      <c r="F593" s="181">
        <f t="shared" si="59"/>
        <v>0</v>
      </c>
      <c r="G593" s="181">
        <f t="shared" si="60"/>
        <v>0</v>
      </c>
      <c r="H593" s="181">
        <f t="shared" si="61"/>
        <v>1.4901161193847656E-6</v>
      </c>
      <c r="I593" s="355"/>
      <c r="J593" s="358"/>
    </row>
    <row r="594" spans="2:10">
      <c r="B594" s="185" t="str">
        <f t="shared" si="56"/>
        <v/>
      </c>
      <c r="C594" s="186" t="str">
        <f t="shared" si="57"/>
        <v/>
      </c>
      <c r="D594" s="181">
        <f t="shared" si="58"/>
        <v>0</v>
      </c>
      <c r="E594" s="216">
        <v>8.8999999999999996E-2</v>
      </c>
      <c r="F594" s="181">
        <f t="shared" si="59"/>
        <v>0</v>
      </c>
      <c r="G594" s="181">
        <f t="shared" si="60"/>
        <v>0</v>
      </c>
      <c r="H594" s="181">
        <f t="shared" si="61"/>
        <v>1.4901161193847656E-6</v>
      </c>
      <c r="I594" s="355"/>
      <c r="J594" s="358"/>
    </row>
    <row r="595" spans="2:10">
      <c r="B595" s="185" t="str">
        <f t="shared" si="56"/>
        <v/>
      </c>
      <c r="C595" s="186" t="str">
        <f t="shared" si="57"/>
        <v/>
      </c>
      <c r="D595" s="181">
        <f t="shared" si="58"/>
        <v>0</v>
      </c>
      <c r="E595" s="216">
        <v>8.8999999999999996E-2</v>
      </c>
      <c r="F595" s="181">
        <f t="shared" si="59"/>
        <v>0</v>
      </c>
      <c r="G595" s="181">
        <f t="shared" si="60"/>
        <v>0</v>
      </c>
      <c r="H595" s="181">
        <f t="shared" si="61"/>
        <v>1.4901161193847656E-6</v>
      </c>
      <c r="I595" s="355"/>
      <c r="J595" s="358"/>
    </row>
    <row r="596" spans="2:10">
      <c r="B596" s="185" t="str">
        <f t="shared" si="56"/>
        <v/>
      </c>
      <c r="C596" s="186" t="str">
        <f t="shared" si="57"/>
        <v/>
      </c>
      <c r="D596" s="181">
        <f t="shared" si="58"/>
        <v>0</v>
      </c>
      <c r="E596" s="216">
        <v>8.8999999999999996E-2</v>
      </c>
      <c r="F596" s="181">
        <f t="shared" si="59"/>
        <v>0</v>
      </c>
      <c r="G596" s="181">
        <f t="shared" si="60"/>
        <v>0</v>
      </c>
      <c r="H596" s="181">
        <f t="shared" si="61"/>
        <v>1.4901161193847656E-6</v>
      </c>
      <c r="I596" s="355"/>
      <c r="J596" s="358"/>
    </row>
    <row r="597" spans="2:10">
      <c r="B597" s="185" t="str">
        <f t="shared" si="56"/>
        <v/>
      </c>
      <c r="C597" s="186" t="str">
        <f t="shared" si="57"/>
        <v/>
      </c>
      <c r="D597" s="181">
        <f t="shared" si="58"/>
        <v>0</v>
      </c>
      <c r="E597" s="216">
        <v>8.8999999999999996E-2</v>
      </c>
      <c r="F597" s="181">
        <f t="shared" si="59"/>
        <v>0</v>
      </c>
      <c r="G597" s="181">
        <f t="shared" si="60"/>
        <v>0</v>
      </c>
      <c r="H597" s="181">
        <f t="shared" si="61"/>
        <v>1.4901161193847656E-6</v>
      </c>
      <c r="I597" s="355"/>
      <c r="J597" s="358"/>
    </row>
    <row r="598" spans="2:10">
      <c r="B598" s="185" t="str">
        <f t="shared" si="56"/>
        <v/>
      </c>
      <c r="C598" s="186" t="str">
        <f t="shared" si="57"/>
        <v/>
      </c>
      <c r="D598" s="181">
        <f t="shared" si="58"/>
        <v>0</v>
      </c>
      <c r="E598" s="216">
        <v>8.8999999999999996E-2</v>
      </c>
      <c r="F598" s="181">
        <f t="shared" si="59"/>
        <v>0</v>
      </c>
      <c r="G598" s="181">
        <f t="shared" si="60"/>
        <v>0</v>
      </c>
      <c r="H598" s="181">
        <f t="shared" si="61"/>
        <v>1.4901161193847656E-6</v>
      </c>
      <c r="I598" s="355"/>
      <c r="J598" s="358"/>
    </row>
    <row r="599" spans="2:10">
      <c r="B599" s="185" t="str">
        <f t="shared" si="56"/>
        <v/>
      </c>
      <c r="C599" s="186" t="str">
        <f t="shared" si="57"/>
        <v/>
      </c>
      <c r="D599" s="181">
        <f t="shared" si="58"/>
        <v>0</v>
      </c>
      <c r="E599" s="216">
        <v>8.8999999999999996E-2</v>
      </c>
      <c r="F599" s="181">
        <f t="shared" si="59"/>
        <v>0</v>
      </c>
      <c r="G599" s="181">
        <f t="shared" si="60"/>
        <v>0</v>
      </c>
      <c r="H599" s="181">
        <f t="shared" si="61"/>
        <v>1.4901161193847656E-6</v>
      </c>
      <c r="I599" s="355"/>
      <c r="J599" s="358"/>
    </row>
    <row r="600" spans="2:10" ht="15" thickBot="1">
      <c r="B600" s="185" t="str">
        <f t="shared" si="56"/>
        <v/>
      </c>
      <c r="C600" s="186" t="str">
        <f t="shared" si="57"/>
        <v/>
      </c>
      <c r="D600" s="181">
        <f t="shared" si="58"/>
        <v>0</v>
      </c>
      <c r="E600" s="216">
        <v>8.8999999999999996E-2</v>
      </c>
      <c r="F600" s="181">
        <f t="shared" si="59"/>
        <v>0</v>
      </c>
      <c r="G600" s="181">
        <f t="shared" si="60"/>
        <v>0</v>
      </c>
      <c r="H600" s="181">
        <f t="shared" si="61"/>
        <v>1.4901161193847656E-6</v>
      </c>
      <c r="I600" s="356"/>
      <c r="J600" s="359"/>
    </row>
    <row r="601" spans="2:10">
      <c r="B601" s="183" t="str">
        <f t="shared" si="56"/>
        <v/>
      </c>
      <c r="C601" s="184" t="str">
        <f t="shared" si="57"/>
        <v/>
      </c>
      <c r="D601" s="180">
        <f t="shared" si="58"/>
        <v>0</v>
      </c>
      <c r="E601" s="215">
        <v>8.8999999999999996E-2</v>
      </c>
      <c r="F601" s="180">
        <f t="shared" si="59"/>
        <v>0</v>
      </c>
      <c r="G601" s="180">
        <f t="shared" si="60"/>
        <v>0</v>
      </c>
      <c r="H601" s="180">
        <f t="shared" si="61"/>
        <v>1.4901161193847656E-6</v>
      </c>
      <c r="I601" s="354">
        <v>50</v>
      </c>
      <c r="J601" s="357">
        <f>SUM(G601:G612)</f>
        <v>0</v>
      </c>
    </row>
    <row r="602" spans="2:10">
      <c r="B602" s="185" t="str">
        <f t="shared" si="56"/>
        <v/>
      </c>
      <c r="C602" s="186" t="str">
        <f t="shared" si="57"/>
        <v/>
      </c>
      <c r="D602" s="181">
        <f t="shared" si="58"/>
        <v>0</v>
      </c>
      <c r="E602" s="216">
        <v>8.8999999999999996E-2</v>
      </c>
      <c r="F602" s="181">
        <f t="shared" si="59"/>
        <v>0</v>
      </c>
      <c r="G602" s="181">
        <f t="shared" si="60"/>
        <v>0</v>
      </c>
      <c r="H602" s="181">
        <f t="shared" si="61"/>
        <v>1.4901161193847656E-6</v>
      </c>
      <c r="I602" s="355"/>
      <c r="J602" s="358"/>
    </row>
    <row r="603" spans="2:10">
      <c r="B603" s="185" t="str">
        <f t="shared" si="56"/>
        <v/>
      </c>
      <c r="C603" s="186" t="str">
        <f t="shared" si="57"/>
        <v/>
      </c>
      <c r="D603" s="181">
        <f t="shared" si="58"/>
        <v>0</v>
      </c>
      <c r="E603" s="216">
        <v>8.8999999999999996E-2</v>
      </c>
      <c r="F603" s="181">
        <f t="shared" si="59"/>
        <v>0</v>
      </c>
      <c r="G603" s="181">
        <f t="shared" si="60"/>
        <v>0</v>
      </c>
      <c r="H603" s="181">
        <f t="shared" si="61"/>
        <v>1.4901161193847656E-6</v>
      </c>
      <c r="I603" s="355"/>
      <c r="J603" s="358"/>
    </row>
    <row r="604" spans="2:10">
      <c r="B604" s="185" t="str">
        <f t="shared" si="56"/>
        <v/>
      </c>
      <c r="C604" s="186" t="str">
        <f t="shared" si="57"/>
        <v/>
      </c>
      <c r="D604" s="181">
        <f t="shared" si="58"/>
        <v>0</v>
      </c>
      <c r="E604" s="216">
        <v>8.8999999999999996E-2</v>
      </c>
      <c r="F604" s="181">
        <f t="shared" si="59"/>
        <v>0</v>
      </c>
      <c r="G604" s="181">
        <f t="shared" si="60"/>
        <v>0</v>
      </c>
      <c r="H604" s="181">
        <f t="shared" si="61"/>
        <v>1.4901161193847656E-6</v>
      </c>
      <c r="I604" s="355"/>
      <c r="J604" s="358"/>
    </row>
    <row r="605" spans="2:10">
      <c r="B605" s="185" t="str">
        <f t="shared" si="56"/>
        <v/>
      </c>
      <c r="C605" s="186" t="str">
        <f t="shared" si="57"/>
        <v/>
      </c>
      <c r="D605" s="181">
        <f t="shared" si="58"/>
        <v>0</v>
      </c>
      <c r="E605" s="216">
        <v>8.8999999999999996E-2</v>
      </c>
      <c r="F605" s="181">
        <f t="shared" si="59"/>
        <v>0</v>
      </c>
      <c r="G605" s="181">
        <f t="shared" si="60"/>
        <v>0</v>
      </c>
      <c r="H605" s="181">
        <f t="shared" si="61"/>
        <v>1.4901161193847656E-6</v>
      </c>
      <c r="I605" s="355"/>
      <c r="J605" s="358"/>
    </row>
    <row r="606" spans="2:10">
      <c r="B606" s="185" t="str">
        <f t="shared" si="56"/>
        <v/>
      </c>
      <c r="C606" s="186" t="str">
        <f t="shared" si="57"/>
        <v/>
      </c>
      <c r="D606" s="181">
        <f t="shared" si="58"/>
        <v>0</v>
      </c>
      <c r="E606" s="216">
        <v>8.8999999999999996E-2</v>
      </c>
      <c r="F606" s="181">
        <f t="shared" si="59"/>
        <v>0</v>
      </c>
      <c r="G606" s="181">
        <f t="shared" si="60"/>
        <v>0</v>
      </c>
      <c r="H606" s="181">
        <f t="shared" si="61"/>
        <v>1.4901161193847656E-6</v>
      </c>
      <c r="I606" s="355"/>
      <c r="J606" s="358"/>
    </row>
    <row r="607" spans="2:10">
      <c r="B607" s="185" t="str">
        <f t="shared" si="56"/>
        <v/>
      </c>
      <c r="C607" s="186" t="str">
        <f t="shared" si="57"/>
        <v/>
      </c>
      <c r="D607" s="181">
        <f t="shared" si="58"/>
        <v>0</v>
      </c>
      <c r="E607" s="216">
        <v>8.8999999999999996E-2</v>
      </c>
      <c r="F607" s="181">
        <f t="shared" si="59"/>
        <v>0</v>
      </c>
      <c r="G607" s="181">
        <f t="shared" si="60"/>
        <v>0</v>
      </c>
      <c r="H607" s="181">
        <f t="shared" si="61"/>
        <v>1.4901161193847656E-6</v>
      </c>
      <c r="I607" s="355"/>
      <c r="J607" s="358"/>
    </row>
    <row r="608" spans="2:10">
      <c r="B608" s="185" t="str">
        <f t="shared" si="56"/>
        <v/>
      </c>
      <c r="C608" s="186" t="str">
        <f t="shared" si="57"/>
        <v/>
      </c>
      <c r="D608" s="181">
        <f t="shared" si="58"/>
        <v>0</v>
      </c>
      <c r="E608" s="216">
        <v>8.8999999999999996E-2</v>
      </c>
      <c r="F608" s="181">
        <f t="shared" si="59"/>
        <v>0</v>
      </c>
      <c r="G608" s="181">
        <f t="shared" si="60"/>
        <v>0</v>
      </c>
      <c r="H608" s="181">
        <f t="shared" si="61"/>
        <v>1.4901161193847656E-6</v>
      </c>
      <c r="I608" s="355"/>
      <c r="J608" s="358"/>
    </row>
    <row r="609" spans="2:10">
      <c r="B609" s="185" t="str">
        <f t="shared" si="56"/>
        <v/>
      </c>
      <c r="C609" s="186" t="str">
        <f t="shared" si="57"/>
        <v/>
      </c>
      <c r="D609" s="181">
        <f t="shared" si="58"/>
        <v>0</v>
      </c>
      <c r="E609" s="216">
        <v>8.8999999999999996E-2</v>
      </c>
      <c r="F609" s="181">
        <f t="shared" si="59"/>
        <v>0</v>
      </c>
      <c r="G609" s="181">
        <f t="shared" si="60"/>
        <v>0</v>
      </c>
      <c r="H609" s="181">
        <f t="shared" si="61"/>
        <v>1.4901161193847656E-6</v>
      </c>
      <c r="I609" s="355"/>
      <c r="J609" s="358"/>
    </row>
    <row r="610" spans="2:10">
      <c r="B610" s="185" t="str">
        <f t="shared" si="56"/>
        <v/>
      </c>
      <c r="C610" s="186" t="str">
        <f t="shared" si="57"/>
        <v/>
      </c>
      <c r="D610" s="181">
        <f t="shared" si="58"/>
        <v>0</v>
      </c>
      <c r="E610" s="216">
        <v>8.8999999999999996E-2</v>
      </c>
      <c r="F610" s="181">
        <f t="shared" si="59"/>
        <v>0</v>
      </c>
      <c r="G610" s="181">
        <f t="shared" si="60"/>
        <v>0</v>
      </c>
      <c r="H610" s="181">
        <f t="shared" si="61"/>
        <v>1.4901161193847656E-6</v>
      </c>
      <c r="I610" s="355"/>
      <c r="J610" s="358"/>
    </row>
    <row r="611" spans="2:10">
      <c r="B611" s="185" t="str">
        <f t="shared" si="56"/>
        <v/>
      </c>
      <c r="C611" s="186" t="str">
        <f t="shared" si="57"/>
        <v/>
      </c>
      <c r="D611" s="181">
        <f t="shared" si="58"/>
        <v>0</v>
      </c>
      <c r="E611" s="216">
        <v>8.8999999999999996E-2</v>
      </c>
      <c r="F611" s="181">
        <f t="shared" si="59"/>
        <v>0</v>
      </c>
      <c r="G611" s="181">
        <f t="shared" si="60"/>
        <v>0</v>
      </c>
      <c r="H611" s="181">
        <f t="shared" si="61"/>
        <v>1.4901161193847656E-6</v>
      </c>
      <c r="I611" s="355"/>
      <c r="J611" s="358"/>
    </row>
    <row r="612" spans="2:10" ht="15" thickBot="1">
      <c r="B612" s="185" t="str">
        <f t="shared" si="56"/>
        <v/>
      </c>
      <c r="C612" s="186" t="str">
        <f t="shared" si="57"/>
        <v/>
      </c>
      <c r="D612" s="181">
        <f t="shared" si="58"/>
        <v>0</v>
      </c>
      <c r="E612" s="216">
        <v>8.8999999999999996E-2</v>
      </c>
      <c r="F612" s="181">
        <f t="shared" si="59"/>
        <v>0</v>
      </c>
      <c r="G612" s="181">
        <f t="shared" si="60"/>
        <v>0</v>
      </c>
      <c r="H612" s="181">
        <f t="shared" si="61"/>
        <v>1.4901161193847656E-6</v>
      </c>
      <c r="I612" s="371"/>
      <c r="J612" s="372"/>
    </row>
    <row r="613" spans="2:10" ht="15.75" thickBot="1">
      <c r="B613" s="126" t="s">
        <v>53</v>
      </c>
      <c r="C613" s="123"/>
      <c r="D613" s="140">
        <f>SUM(D13:D612)</f>
        <v>268483333.33333468</v>
      </c>
      <c r="E613" s="124"/>
      <c r="F613" s="140">
        <f>SUM(F13:F612)</f>
        <v>399999999.99999851</v>
      </c>
      <c r="G613" s="140">
        <f>SUM(G13:G612)</f>
        <v>668483333.33333468</v>
      </c>
      <c r="H613" s="141"/>
      <c r="I613" s="125"/>
      <c r="J613" s="142"/>
    </row>
    <row r="614" spans="2:10">
      <c r="C614" s="122"/>
      <c r="D614" s="121">
        <f>IFERROR(D613/15/D6,"")</f>
        <v>4.4747222222222445E-2</v>
      </c>
      <c r="E614" s="115"/>
      <c r="F614" s="113"/>
    </row>
    <row r="615" spans="2:10">
      <c r="G615" s="116"/>
      <c r="H615" s="116"/>
      <c r="I615" s="116"/>
      <c r="J615" s="116"/>
    </row>
  </sheetData>
  <sheetProtection algorithmName="SHA-512" hashValue="GPv3FYAx2E2Sgmx4Cs/WUZmoGdwxCAdZtgyHqmaFhIGI9IG2l5vDbxb0xR1BXYAnSQra9bUTPAfEQVOm4A3fYw==" saltValue="3nAihalvyMGQJadqC3Rlww==" spinCount="100000" sheet="1" autoFilter="0" pivotTables="0"/>
  <mergeCells count="106">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 ref="B4:D4"/>
    <mergeCell ref="B11:J11"/>
    <mergeCell ref="J25:J36"/>
    <mergeCell ref="J37:J48"/>
    <mergeCell ref="J13:J24"/>
    <mergeCell ref="I13:I24"/>
    <mergeCell ref="I25:I36"/>
    <mergeCell ref="I37:I48"/>
    <mergeCell ref="C5:D5"/>
    <mergeCell ref="B6:C6"/>
    <mergeCell ref="B7:C7"/>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I577:I588"/>
    <mergeCell ref="J577:J588"/>
    <mergeCell ref="I565:I576"/>
    <mergeCell ref="J565:J576"/>
    <mergeCell ref="I553:I564"/>
    <mergeCell ref="J553:J564"/>
    <mergeCell ref="I541:I552"/>
    <mergeCell ref="J541:J552"/>
    <mergeCell ref="I529:I540"/>
    <mergeCell ref="J529:J540"/>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9" formatCode="[$$-C09]#,##0.00"/>
            </x14:dxf>
          </x14:cfRule>
          <x14:cfRule type="expression" priority="2" id="{359B3EC0-0186-4F99-ABB8-4F4FE9470903}">
            <xm:f>Transactions!$D$5=Currency!$A$7</xm:f>
            <x14:dxf>
              <numFmt numFmtId="178" formatCode="[$¥-411]#,##0.00"/>
            </x14:dxf>
          </x14:cfRule>
          <x14:cfRule type="expression" priority="3" id="{085460EE-F508-44DE-A8AC-64AE95A1D669}">
            <xm:f>Transactions!$D$5=Currency!$A$6</xm:f>
            <x14:dxf>
              <numFmt numFmtId="177" formatCode="[$$-4809]#,##0.00"/>
            </x14:dxf>
          </x14:cfRule>
          <x14:cfRule type="expression" priority="4" id="{14B514F3-7778-459F-A8BA-2D3DD01EA4C0}">
            <xm:f>Transactions!$D$5=Currency!$A$5</xm:f>
            <x14:dxf>
              <numFmt numFmtId="176" formatCode="[$¥-804]#,##0.00"/>
            </x14:dxf>
          </x14:cfRule>
          <x14:cfRule type="expression" priority="5" id="{00C3BF81-8CA6-4CBC-855A-333DF9B8213F}">
            <xm:f>Transactions!$D$5=Currency!$A$4</xm:f>
            <x14:dxf>
              <numFmt numFmtId="175" formatCode="[$£-809]#,##0.00"/>
            </x14:dxf>
          </x14:cfRule>
          <x14:cfRule type="expression" priority="6" id="{AB9795D3-762A-4CBD-ABA2-8F266DAB050C}">
            <xm:f>Transactions!$D$5=Currency!$A$3</xm:f>
            <x14:dxf>
              <numFmt numFmtId="174"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3"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30"/>
  <sheetViews>
    <sheetView showGridLines="0" topLeftCell="A19" zoomScale="90" zoomScaleNormal="90" workbookViewId="0">
      <selection activeCell="Q5" sqref="Q5"/>
    </sheetView>
  </sheetViews>
  <sheetFormatPr defaultRowHeight="14.25"/>
  <cols>
    <col min="1" max="1" width="2.28515625" style="5" customWidth="1"/>
    <col min="2" max="2" width="9.85546875" style="88" customWidth="1"/>
    <col min="3" max="3" width="21.28515625" style="88" bestFit="1" customWidth="1"/>
    <col min="4" max="4" width="25" style="88" customWidth="1"/>
    <col min="5" max="16" width="9.140625" style="88"/>
    <col min="17" max="17" width="18.140625" style="88" customWidth="1"/>
    <col min="18" max="18" width="28" style="88" customWidth="1"/>
    <col min="19" max="19" width="9.140625" style="88" customWidth="1"/>
    <col min="20" max="20" width="18.85546875" style="252" hidden="1" customWidth="1"/>
    <col min="21" max="21" width="19.5703125" style="252" hidden="1" customWidth="1"/>
    <col min="22" max="22" width="21.140625" style="252" hidden="1" customWidth="1"/>
    <col min="23" max="29" width="9.140625" style="88" customWidth="1"/>
    <col min="30" max="16384" width="9.140625" style="88"/>
  </cols>
  <sheetData>
    <row r="1" spans="1:22" s="87" customFormat="1" ht="44.1" customHeight="1">
      <c r="A1" s="85"/>
      <c r="B1" s="98" t="s">
        <v>118</v>
      </c>
      <c r="C1" s="85"/>
      <c r="D1" s="85"/>
      <c r="E1" s="85"/>
      <c r="F1" s="85"/>
      <c r="G1" s="85"/>
      <c r="H1" s="86"/>
      <c r="Q1" s="87" t="s">
        <v>86</v>
      </c>
      <c r="T1" s="251"/>
      <c r="U1" s="251"/>
      <c r="V1" s="251"/>
    </row>
    <row r="2" spans="1:22" ht="18">
      <c r="A2" s="88"/>
      <c r="B2" s="54" t="s">
        <v>33</v>
      </c>
      <c r="C2" s="101">
        <f>Transactions!C3</f>
        <v>44197</v>
      </c>
      <c r="D2" s="134" t="s">
        <v>119</v>
      </c>
      <c r="E2" s="133"/>
      <c r="F2" s="133"/>
      <c r="G2" s="133"/>
      <c r="H2" s="133"/>
      <c r="I2" s="133"/>
      <c r="J2" s="133"/>
      <c r="K2" s="133"/>
      <c r="L2" s="133"/>
      <c r="M2" s="133"/>
      <c r="N2" s="133"/>
      <c r="O2" s="133"/>
      <c r="P2" s="133"/>
      <c r="Q2" s="133"/>
    </row>
    <row r="3" spans="1:22" ht="18">
      <c r="B3" s="54" t="s">
        <v>68</v>
      </c>
      <c r="C3" s="102">
        <f>Transactions!C4</f>
        <v>2021</v>
      </c>
      <c r="P3" s="134"/>
      <c r="Q3" s="134"/>
      <c r="R3" s="134"/>
      <c r="S3" s="134"/>
    </row>
    <row r="4" spans="1:22" ht="75" customHeight="1">
      <c r="B4" s="54"/>
      <c r="C4" s="102"/>
      <c r="D4" s="353" t="s">
        <v>187</v>
      </c>
      <c r="E4" s="353"/>
      <c r="F4" s="353"/>
      <c r="G4" s="353"/>
      <c r="H4" s="353"/>
      <c r="I4" s="353"/>
      <c r="J4" s="353"/>
      <c r="K4" s="353"/>
      <c r="L4" s="353"/>
      <c r="M4" s="353"/>
      <c r="N4" s="353"/>
      <c r="O4" s="353"/>
      <c r="P4" s="134"/>
      <c r="Q4" s="134"/>
      <c r="R4" s="134"/>
      <c r="S4" s="134"/>
    </row>
    <row r="5" spans="1:22" ht="249" customHeight="1">
      <c r="T5" s="253" t="s">
        <v>131</v>
      </c>
      <c r="U5" s="253" t="s">
        <v>120</v>
      </c>
      <c r="V5" s="254" t="s">
        <v>232</v>
      </c>
    </row>
    <row r="6" spans="1:22">
      <c r="T6" s="254" t="s">
        <v>121</v>
      </c>
      <c r="U6" s="254" t="s">
        <v>122</v>
      </c>
      <c r="V6" s="344">
        <v>10100000</v>
      </c>
    </row>
    <row r="7" spans="1:22">
      <c r="T7" s="254"/>
      <c r="U7" s="254" t="s">
        <v>124</v>
      </c>
      <c r="V7" s="344">
        <v>250000000</v>
      </c>
    </row>
    <row r="8" spans="1:22">
      <c r="T8" s="254"/>
      <c r="U8" s="254" t="s">
        <v>123</v>
      </c>
      <c r="V8" s="344">
        <v>100000000</v>
      </c>
    </row>
    <row r="9" spans="1:22" ht="15">
      <c r="A9" s="7"/>
      <c r="T9" s="254"/>
      <c r="U9" s="254" t="s">
        <v>133</v>
      </c>
      <c r="V9" s="344">
        <v>28000000</v>
      </c>
    </row>
    <row r="10" spans="1:22">
      <c r="T10" s="254"/>
      <c r="U10" s="254" t="s">
        <v>166</v>
      </c>
      <c r="V10" s="344">
        <v>1000000</v>
      </c>
    </row>
    <row r="11" spans="1:22">
      <c r="T11" s="254" t="s">
        <v>140</v>
      </c>
      <c r="U11" s="254"/>
      <c r="V11" s="344">
        <v>389100000</v>
      </c>
    </row>
    <row r="12" spans="1:22">
      <c r="T12" s="254" t="s">
        <v>128</v>
      </c>
      <c r="U12" s="254" t="s">
        <v>139</v>
      </c>
      <c r="V12" s="344">
        <v>-371111111.11111128</v>
      </c>
    </row>
    <row r="13" spans="1:22" s="89" customFormat="1" ht="16.5" thickBot="1">
      <c r="A13" s="4"/>
      <c r="B13" s="90" t="s">
        <v>131</v>
      </c>
      <c r="C13" s="92" t="s">
        <v>120</v>
      </c>
      <c r="D13" s="92" t="s">
        <v>231</v>
      </c>
      <c r="T13" s="254" t="s">
        <v>249</v>
      </c>
      <c r="U13" s="254"/>
      <c r="V13" s="344">
        <v>-371111111.11111128</v>
      </c>
    </row>
    <row r="14" spans="1:22" ht="15">
      <c r="B14" s="90"/>
      <c r="C14" s="190" t="s">
        <v>121</v>
      </c>
      <c r="D14" s="191">
        <f>SUM(D15:D22)</f>
        <v>369100000</v>
      </c>
      <c r="T14" s="254" t="s">
        <v>130</v>
      </c>
      <c r="U14" s="254" t="s">
        <v>130</v>
      </c>
      <c r="V14" s="344">
        <v>17988888.888888717</v>
      </c>
    </row>
    <row r="15" spans="1:22" ht="13.5" customHeight="1">
      <c r="B15" s="91" t="s">
        <v>121</v>
      </c>
      <c r="C15" s="97" t="s">
        <v>122</v>
      </c>
      <c r="D15" s="262">
        <v>10100000</v>
      </c>
      <c r="T15" s="254" t="s">
        <v>167</v>
      </c>
      <c r="U15" s="254"/>
      <c r="V15" s="344">
        <v>17988888.888888717</v>
      </c>
    </row>
    <row r="16" spans="1:22">
      <c r="B16" s="91" t="s">
        <v>121</v>
      </c>
      <c r="C16" s="97" t="s">
        <v>133</v>
      </c>
      <c r="D16" s="217">
        <v>28000000</v>
      </c>
      <c r="T16" s="254" t="s">
        <v>102</v>
      </c>
      <c r="U16" s="254"/>
      <c r="V16" s="344">
        <v>35977777.777777433</v>
      </c>
    </row>
    <row r="17" spans="2:22">
      <c r="B17" s="91" t="s">
        <v>121</v>
      </c>
      <c r="C17" s="97" t="s">
        <v>166</v>
      </c>
      <c r="D17" s="217">
        <v>1000000</v>
      </c>
      <c r="T17"/>
      <c r="U17"/>
      <c r="V17"/>
    </row>
    <row r="18" spans="2:22">
      <c r="B18" s="91" t="s">
        <v>121</v>
      </c>
      <c r="C18" s="97" t="s">
        <v>123</v>
      </c>
      <c r="D18" s="263">
        <f>'Saving Accounts'!B13-'Saving Accounts'!D13</f>
        <v>80000000</v>
      </c>
      <c r="T18"/>
      <c r="U18"/>
      <c r="V18"/>
    </row>
    <row r="19" spans="2:22">
      <c r="B19" s="91" t="s">
        <v>121</v>
      </c>
      <c r="C19" s="97" t="s">
        <v>124</v>
      </c>
      <c r="D19" s="263">
        <f>Investment!C19</f>
        <v>250000000</v>
      </c>
      <c r="T19"/>
      <c r="U19"/>
      <c r="V19"/>
    </row>
    <row r="20" spans="2:22">
      <c r="B20" s="91" t="s">
        <v>121</v>
      </c>
      <c r="C20" s="97" t="s">
        <v>125</v>
      </c>
      <c r="D20" s="263">
        <f>'Real Estate'!B13</f>
        <v>0</v>
      </c>
      <c r="T20"/>
      <c r="U20"/>
      <c r="V20"/>
    </row>
    <row r="21" spans="2:22">
      <c r="B21" s="91" t="s">
        <v>121</v>
      </c>
      <c r="C21" s="97" t="s">
        <v>126</v>
      </c>
      <c r="D21" s="217">
        <v>0</v>
      </c>
      <c r="T21"/>
      <c r="U21"/>
      <c r="V21"/>
    </row>
    <row r="22" spans="2:22">
      <c r="B22" s="91" t="s">
        <v>121</v>
      </c>
      <c r="C22" s="97" t="s">
        <v>127</v>
      </c>
      <c r="D22" s="217">
        <v>0</v>
      </c>
      <c r="T22"/>
      <c r="U22"/>
      <c r="V22"/>
    </row>
    <row r="23" spans="2:22">
      <c r="B23" s="91"/>
      <c r="C23" s="93"/>
      <c r="D23" s="94"/>
      <c r="T23" s="254"/>
    </row>
    <row r="24" spans="2:22" ht="15">
      <c r="B24" s="90"/>
      <c r="C24" s="192" t="s">
        <v>128</v>
      </c>
      <c r="D24" s="193">
        <f>SUM(D25:D28)</f>
        <v>-371111111.11111128</v>
      </c>
      <c r="T24" s="254"/>
    </row>
    <row r="25" spans="2:22">
      <c r="B25" s="91" t="s">
        <v>128</v>
      </c>
      <c r="C25" s="97" t="s">
        <v>135</v>
      </c>
      <c r="D25" s="282">
        <v>0</v>
      </c>
    </row>
    <row r="26" spans="2:22">
      <c r="B26" s="91" t="s">
        <v>128</v>
      </c>
      <c r="C26" s="97" t="s">
        <v>139</v>
      </c>
      <c r="D26" s="282">
        <f>-Loan!H25</f>
        <v>-371111111.11111128</v>
      </c>
    </row>
    <row r="27" spans="2:22">
      <c r="B27" s="91" t="s">
        <v>128</v>
      </c>
      <c r="C27" s="97" t="s">
        <v>154</v>
      </c>
      <c r="D27" s="282">
        <v>0</v>
      </c>
    </row>
    <row r="28" spans="2:22">
      <c r="B28" s="91" t="s">
        <v>128</v>
      </c>
      <c r="C28" s="97" t="s">
        <v>129</v>
      </c>
      <c r="D28" s="282">
        <v>0</v>
      </c>
    </row>
    <row r="29" spans="2:22">
      <c r="B29" s="91"/>
      <c r="C29" s="93"/>
      <c r="D29" s="94"/>
    </row>
    <row r="30" spans="2:22" ht="15">
      <c r="B30" s="90" t="s">
        <v>130</v>
      </c>
      <c r="C30" s="194" t="s">
        <v>130</v>
      </c>
      <c r="D30" s="195">
        <f>D14+D24</f>
        <v>-2011111.1111112833</v>
      </c>
    </row>
  </sheetData>
  <sheetProtection algorithmName="SHA-512" hashValue="NqKvI+ONa/RnKyqzpyRAZLIn8jLrtDELwkf91QzxgwmL5O+AuJYeQnYaQ4kKvTcgvjE0tdoCCKMhlJ9XAphWAg==" saltValue="kX4/EMRnIvpEnLhpY9N19A==" spinCount="100000" sheet="1" sort="0" autoFilter="0" pivotTables="0"/>
  <mergeCells count="1">
    <mergeCell ref="D4:O4"/>
  </mergeCells>
  <hyperlinks>
    <hyperlink ref="H1" location="'Daily Summary'!A1" tooltip="Select to navigate to Daily Summary worksheet" display="DAILY SUMMARY"/>
  </hyperlinks>
  <pageMargins left="0.7" right="0.7" top="0.75" bottom="0.75" header="0.3" footer="0.3"/>
  <pageSetup orientation="portrait" r:id="rId2"/>
  <ignoredErrors>
    <ignoredError sqref="D21:D22 D24:D25 D14 D20 D27:D28" calculatedColumn="1"/>
  </ignoredErrors>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9" formatCode="[$$-C09]#,##0.00"/>
            </x14:dxf>
          </x14:cfRule>
          <x14:cfRule type="expression" priority="2" id="{E2EBD1DD-07A0-40D7-898F-9D88F89BF95C}">
            <xm:f>Transactions!$D$5=Currency!$A$7</xm:f>
            <x14:dxf>
              <numFmt numFmtId="178" formatCode="[$¥-411]#,##0.00"/>
            </x14:dxf>
          </x14:cfRule>
          <x14:cfRule type="expression" priority="3" id="{96C49D73-E3B6-450C-A8A3-B02F2B5D9A0A}">
            <xm:f>Transactions!$D$5=Currency!$A$6</xm:f>
            <x14:dxf>
              <numFmt numFmtId="177" formatCode="[$$-4809]#,##0.00"/>
            </x14:dxf>
          </x14:cfRule>
          <x14:cfRule type="expression" priority="4" id="{3433FF14-F9B9-4178-B1C8-1E95A7817753}">
            <xm:f>Transactions!$D$5=Currency!$A$5</xm:f>
            <x14:dxf>
              <numFmt numFmtId="176" formatCode="[$¥-804]#,##0.00"/>
            </x14:dxf>
          </x14:cfRule>
          <x14:cfRule type="expression" priority="5" id="{F6B5A1C7-8AB3-49F1-B176-E59617529591}">
            <xm:f>Transactions!$D$5=Currency!$A$4</xm:f>
            <x14:dxf>
              <numFmt numFmtId="175" formatCode="[$£-809]#,##0.00"/>
            </x14:dxf>
          </x14:cfRule>
          <x14:cfRule type="expression" priority="6" id="{0221FEA0-B359-4F5A-AAFC-39CCAACC71A9}">
            <xm:f>Transactions!$D$5=Currency!$A$3</xm:f>
            <x14:dxf>
              <numFmt numFmtId="174"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3" formatCode="#,##0\ [$₫-42A]"/>
            </x14:dxf>
          </x14:cfRule>
          <xm:sqref>D14:D22 D24:D28 D30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J10" activePane="bottomRight" state="frozen"/>
      <selection activeCell="D25" sqref="D25"/>
      <selection pane="topRight" activeCell="D25" sqref="D25"/>
      <selection pane="bottomLeft" activeCell="D25" sqref="D25"/>
      <selection pane="bottomRight" activeCell="L11" sqref="L11"/>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51</v>
      </c>
      <c r="C1" s="12"/>
      <c r="D1" s="12"/>
      <c r="E1" s="12"/>
      <c r="F1" s="12"/>
      <c r="G1" s="12"/>
      <c r="H1" s="13"/>
    </row>
    <row r="2" spans="1:18" s="5" customFormat="1" ht="49.5" customHeight="1">
      <c r="B2" s="373"/>
      <c r="C2" s="373"/>
      <c r="D2" s="374" t="s">
        <v>188</v>
      </c>
      <c r="E2" s="374"/>
      <c r="F2" s="374"/>
      <c r="G2" s="374"/>
      <c r="H2" s="374"/>
      <c r="I2" s="374"/>
      <c r="L2" s="53"/>
      <c r="M2" s="53"/>
      <c r="N2" s="53"/>
      <c r="O2" s="53"/>
      <c r="P2" s="53"/>
      <c r="Q2" s="53"/>
      <c r="R2" s="53"/>
    </row>
    <row r="3" spans="1:18" s="5" customFormat="1" ht="30" customHeight="1">
      <c r="B3" s="54" t="s">
        <v>33</v>
      </c>
      <c r="C3" s="230">
        <f>Transactions!C3</f>
        <v>44197</v>
      </c>
      <c r="D3" s="375"/>
      <c r="E3" s="375"/>
      <c r="F3" s="375"/>
      <c r="G3" s="375"/>
      <c r="H3" s="375"/>
      <c r="I3" s="375"/>
      <c r="J3" s="56"/>
      <c r="K3" s="56"/>
      <c r="L3" s="56"/>
      <c r="M3" s="56"/>
      <c r="N3" s="56"/>
      <c r="O3" s="56"/>
      <c r="P3" s="56"/>
      <c r="Q3" s="56"/>
      <c r="R3" s="56"/>
    </row>
    <row r="4" spans="1:18" s="5" customFormat="1" ht="30">
      <c r="B4" s="54" t="s">
        <v>52</v>
      </c>
      <c r="C4" s="231">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6" t="s">
        <v>5</v>
      </c>
      <c r="D8" s="232">
        <f t="shared" ref="D8:O8" si="2">DATE($C$4,D7,1)</f>
        <v>44197</v>
      </c>
      <c r="E8" s="232">
        <f t="shared" si="2"/>
        <v>44228</v>
      </c>
      <c r="F8" s="232">
        <f t="shared" si="2"/>
        <v>44256</v>
      </c>
      <c r="G8" s="232">
        <f t="shared" si="2"/>
        <v>44287</v>
      </c>
      <c r="H8" s="232">
        <f t="shared" si="2"/>
        <v>44317</v>
      </c>
      <c r="I8" s="232">
        <f t="shared" si="2"/>
        <v>44348</v>
      </c>
      <c r="J8" s="232">
        <f t="shared" si="2"/>
        <v>44378</v>
      </c>
      <c r="K8" s="232">
        <f t="shared" si="2"/>
        <v>44409</v>
      </c>
      <c r="L8" s="232">
        <f t="shared" si="2"/>
        <v>44440</v>
      </c>
      <c r="M8" s="232">
        <f t="shared" si="2"/>
        <v>44470</v>
      </c>
      <c r="N8" s="232">
        <f t="shared" si="2"/>
        <v>44501</v>
      </c>
      <c r="O8" s="232">
        <f t="shared" si="2"/>
        <v>44531</v>
      </c>
      <c r="P8" s="233" t="s">
        <v>53</v>
      </c>
      <c r="Q8" s="66"/>
      <c r="R8" s="66"/>
    </row>
    <row r="9" spans="1:18" s="64" customFormat="1" ht="33.75" hidden="1" customHeight="1" thickBot="1">
      <c r="B9" s="36" t="s">
        <v>32</v>
      </c>
      <c r="C9" s="36" t="s">
        <v>5</v>
      </c>
      <c r="D9" s="67" t="s">
        <v>54</v>
      </c>
      <c r="E9" s="67" t="s">
        <v>55</v>
      </c>
      <c r="F9" s="67" t="s">
        <v>56</v>
      </c>
      <c r="G9" s="67" t="s">
        <v>57</v>
      </c>
      <c r="H9" s="67" t="s">
        <v>58</v>
      </c>
      <c r="I9" s="67" t="s">
        <v>59</v>
      </c>
      <c r="J9" s="67" t="s">
        <v>60</v>
      </c>
      <c r="K9" s="67" t="s">
        <v>61</v>
      </c>
      <c r="L9" s="67" t="s">
        <v>62</v>
      </c>
      <c r="M9" s="67" t="s">
        <v>63</v>
      </c>
      <c r="N9" s="67" t="s">
        <v>64</v>
      </c>
      <c r="O9" s="67" t="s">
        <v>65</v>
      </c>
      <c r="P9" s="68" t="s">
        <v>53</v>
      </c>
      <c r="Q9" s="66"/>
      <c r="R9" s="66"/>
    </row>
    <row r="10" spans="1:18" s="69" customFormat="1" ht="26.1" customHeight="1">
      <c r="B10" s="196" t="s">
        <v>1</v>
      </c>
      <c r="C10" s="197" t="str">
        <f>Summary!C18</f>
        <v>Salary</v>
      </c>
      <c r="D10" s="198">
        <v>20000000</v>
      </c>
      <c r="E10" s="198">
        <v>20000000</v>
      </c>
      <c r="F10" s="198">
        <v>20000000</v>
      </c>
      <c r="G10" s="198">
        <v>20000000</v>
      </c>
      <c r="H10" s="198">
        <v>20000000</v>
      </c>
      <c r="I10" s="198">
        <v>20000000</v>
      </c>
      <c r="J10" s="198">
        <v>20000000</v>
      </c>
      <c r="K10" s="198">
        <v>20000000</v>
      </c>
      <c r="L10" s="198">
        <v>20000000</v>
      </c>
      <c r="M10" s="198">
        <v>20000000</v>
      </c>
      <c r="N10" s="198">
        <v>20000000</v>
      </c>
      <c r="O10" s="198">
        <v>20000000</v>
      </c>
      <c r="P10" s="234">
        <f>SUM('Monthly Forecast'!$D10:$O10)</f>
        <v>240000000</v>
      </c>
    </row>
    <row r="11" spans="1:18" s="69" customFormat="1" ht="26.1" customHeight="1">
      <c r="B11" s="199" t="s">
        <v>1</v>
      </c>
      <c r="C11" s="200" t="str">
        <f>Summary!C19</f>
        <v>Commissions</v>
      </c>
      <c r="D11" s="201">
        <v>0</v>
      </c>
      <c r="E11" s="201">
        <v>0</v>
      </c>
      <c r="F11" s="201">
        <v>0</v>
      </c>
      <c r="G11" s="201">
        <v>0</v>
      </c>
      <c r="H11" s="201">
        <v>0</v>
      </c>
      <c r="I11" s="201">
        <v>0</v>
      </c>
      <c r="J11" s="201">
        <v>0</v>
      </c>
      <c r="K11" s="201">
        <v>0</v>
      </c>
      <c r="L11" s="201">
        <v>0</v>
      </c>
      <c r="M11" s="201">
        <v>0</v>
      </c>
      <c r="N11" s="201">
        <v>0</v>
      </c>
      <c r="O11" s="201">
        <v>0</v>
      </c>
      <c r="P11" s="235">
        <f>SUM('Monthly Forecast'!$D11:$O11)</f>
        <v>0</v>
      </c>
    </row>
    <row r="12" spans="1:18" s="69" customFormat="1" ht="26.1" customHeight="1">
      <c r="B12" s="199" t="s">
        <v>1</v>
      </c>
      <c r="C12" s="200" t="str">
        <f>Summary!C20</f>
        <v>Bonus</v>
      </c>
      <c r="D12" s="201">
        <v>0</v>
      </c>
      <c r="E12" s="201">
        <v>0</v>
      </c>
      <c r="F12" s="201">
        <v>0</v>
      </c>
      <c r="G12" s="201">
        <v>0</v>
      </c>
      <c r="H12" s="201">
        <v>0</v>
      </c>
      <c r="I12" s="201">
        <v>0</v>
      </c>
      <c r="J12" s="201">
        <v>0</v>
      </c>
      <c r="K12" s="201">
        <v>0</v>
      </c>
      <c r="L12" s="201">
        <v>0</v>
      </c>
      <c r="M12" s="201">
        <v>0</v>
      </c>
      <c r="N12" s="201">
        <v>0</v>
      </c>
      <c r="O12" s="201">
        <v>0</v>
      </c>
      <c r="P12" s="235">
        <f>SUM('Monthly Forecast'!$D12:$O12)</f>
        <v>0</v>
      </c>
    </row>
    <row r="13" spans="1:18" s="69" customFormat="1" ht="26.1" customHeight="1">
      <c r="B13" s="305" t="s">
        <v>1</v>
      </c>
      <c r="C13" s="306" t="str">
        <f>Summary!C21</f>
        <v>Interest income</v>
      </c>
      <c r="D13" s="307">
        <f>'Saving Accounts'!J13+Investment!J19</f>
        <v>12456320</v>
      </c>
      <c r="E13" s="307">
        <f>'Saving Accounts'!K13</f>
        <v>0</v>
      </c>
      <c r="F13" s="307">
        <f>'Saving Accounts'!L13</f>
        <v>0</v>
      </c>
      <c r="G13" s="307">
        <f>'Saving Accounts'!M13</f>
        <v>0</v>
      </c>
      <c r="H13" s="307">
        <f>'Saving Accounts'!N13</f>
        <v>0</v>
      </c>
      <c r="I13" s="307">
        <f>'Saving Accounts'!O13</f>
        <v>0</v>
      </c>
      <c r="J13" s="307">
        <f>'Saving Accounts'!P13</f>
        <v>0</v>
      </c>
      <c r="K13" s="307">
        <f>'Saving Accounts'!Q13</f>
        <v>0</v>
      </c>
      <c r="L13" s="307">
        <f>'Saving Accounts'!R13</f>
        <v>5862400</v>
      </c>
      <c r="M13" s="307">
        <f>'Saving Accounts'!S13</f>
        <v>0</v>
      </c>
      <c r="N13" s="307">
        <f>'Saving Accounts'!T13</f>
        <v>0</v>
      </c>
      <c r="O13" s="307">
        <f>'Saving Accounts'!U13</f>
        <v>0</v>
      </c>
      <c r="P13" s="308">
        <f>SUM('Monthly Forecast'!$D13:$O13)</f>
        <v>18318720</v>
      </c>
    </row>
    <row r="14" spans="1:18" s="69" customFormat="1" ht="26.1" customHeight="1">
      <c r="B14" s="199" t="s">
        <v>1</v>
      </c>
      <c r="C14" s="200" t="str">
        <f>Summary!C22</f>
        <v>Tax refund</v>
      </c>
      <c r="D14" s="201"/>
      <c r="E14" s="201"/>
      <c r="F14" s="201"/>
      <c r="G14" s="201"/>
      <c r="H14" s="201"/>
      <c r="I14" s="201"/>
      <c r="J14" s="201"/>
      <c r="K14" s="201"/>
      <c r="L14" s="201"/>
      <c r="M14" s="201"/>
      <c r="N14" s="201"/>
      <c r="O14" s="201"/>
      <c r="P14" s="235">
        <f>SUM('Monthly Forecast'!$D14:$O14)</f>
        <v>0</v>
      </c>
    </row>
    <row r="15" spans="1:18" s="69" customFormat="1" ht="26.1" customHeight="1">
      <c r="B15" s="199" t="s">
        <v>1</v>
      </c>
      <c r="C15" s="200" t="str">
        <f>Summary!C23</f>
        <v>Receivable lending</v>
      </c>
      <c r="D15" s="201">
        <v>0</v>
      </c>
      <c r="E15" s="201">
        <v>0</v>
      </c>
      <c r="F15" s="201">
        <v>0</v>
      </c>
      <c r="G15" s="201">
        <v>0</v>
      </c>
      <c r="H15" s="201">
        <v>0</v>
      </c>
      <c r="I15" s="201">
        <v>0</v>
      </c>
      <c r="J15" s="201">
        <v>0</v>
      </c>
      <c r="K15" s="201">
        <v>0</v>
      </c>
      <c r="L15" s="201">
        <v>0</v>
      </c>
      <c r="M15" s="201">
        <v>0</v>
      </c>
      <c r="N15" s="201">
        <v>0</v>
      </c>
      <c r="O15" s="201">
        <v>0</v>
      </c>
      <c r="P15" s="235">
        <f>SUM('Monthly Forecast'!$D15:$O15)</f>
        <v>0</v>
      </c>
    </row>
    <row r="16" spans="1:18" s="69" customFormat="1" ht="26.1" customHeight="1">
      <c r="B16" s="199" t="s">
        <v>1</v>
      </c>
      <c r="C16" s="200" t="str">
        <f>Summary!C24</f>
        <v>Other income</v>
      </c>
      <c r="D16" s="201">
        <v>0</v>
      </c>
      <c r="E16" s="201">
        <v>0</v>
      </c>
      <c r="F16" s="201">
        <v>0</v>
      </c>
      <c r="G16" s="201">
        <v>0</v>
      </c>
      <c r="H16" s="201">
        <v>0</v>
      </c>
      <c r="I16" s="201">
        <v>0</v>
      </c>
      <c r="J16" s="201">
        <v>0</v>
      </c>
      <c r="K16" s="201">
        <v>0</v>
      </c>
      <c r="L16" s="201">
        <v>0</v>
      </c>
      <c r="M16" s="201">
        <v>0</v>
      </c>
      <c r="N16" s="201">
        <v>0</v>
      </c>
      <c r="O16" s="201">
        <v>0</v>
      </c>
      <c r="P16" s="235">
        <f>SUM('Monthly Forecast'!$D16:$O16)</f>
        <v>0</v>
      </c>
    </row>
    <row r="17" spans="2:16384" s="69" customFormat="1" ht="26.1" customHeight="1">
      <c r="B17" s="199" t="s">
        <v>1</v>
      </c>
      <c r="C17" s="200" t="str">
        <f>Summary!C25</f>
        <v>Investment income</v>
      </c>
      <c r="D17" s="201"/>
      <c r="E17" s="201"/>
      <c r="F17" s="201"/>
      <c r="G17" s="201"/>
      <c r="H17" s="201"/>
      <c r="I17" s="201"/>
      <c r="J17" s="201"/>
      <c r="K17" s="201"/>
      <c r="L17" s="201"/>
      <c r="M17" s="201"/>
      <c r="N17" s="201"/>
      <c r="O17" s="201"/>
      <c r="P17" s="235">
        <f>SUM('Monthly Forecast'!$D17:$O17)</f>
        <v>0</v>
      </c>
    </row>
    <row r="18" spans="2:16384" s="69" customFormat="1" ht="26.1" customHeight="1">
      <c r="B18" s="199" t="s">
        <v>1</v>
      </c>
      <c r="C18" s="200" t="str">
        <f>Summary!C26</f>
        <v>Income category 2</v>
      </c>
      <c r="D18" s="201"/>
      <c r="E18" s="201"/>
      <c r="F18" s="201"/>
      <c r="G18" s="201"/>
      <c r="H18" s="201"/>
      <c r="I18" s="201"/>
      <c r="J18" s="201"/>
      <c r="K18" s="201"/>
      <c r="L18" s="201"/>
      <c r="M18" s="201"/>
      <c r="N18" s="201"/>
      <c r="O18" s="201"/>
      <c r="P18" s="235">
        <f>SUM('Monthly Forecast'!$D18:$O18)</f>
        <v>0</v>
      </c>
    </row>
    <row r="19" spans="2:16384" s="81" customFormat="1" ht="26.1" customHeight="1">
      <c r="B19" s="202" t="s">
        <v>0</v>
      </c>
      <c r="C19" s="203" t="str">
        <f>Summary!C27</f>
        <v>Grosceries &amp; Other Supplies</v>
      </c>
      <c r="D19" s="204">
        <v>6000000</v>
      </c>
      <c r="E19" s="204">
        <v>5000000</v>
      </c>
      <c r="F19" s="204">
        <v>5000000</v>
      </c>
      <c r="G19" s="204">
        <v>5000000</v>
      </c>
      <c r="H19" s="204">
        <v>5000000</v>
      </c>
      <c r="I19" s="204">
        <v>5000000</v>
      </c>
      <c r="J19" s="204">
        <v>5000000</v>
      </c>
      <c r="K19" s="204">
        <v>5000000</v>
      </c>
      <c r="L19" s="204">
        <v>5000000</v>
      </c>
      <c r="M19" s="204">
        <v>5000000</v>
      </c>
      <c r="N19" s="204">
        <v>5000000</v>
      </c>
      <c r="O19" s="204">
        <v>5000000</v>
      </c>
      <c r="P19" s="236">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2" t="s">
        <v>0</v>
      </c>
      <c r="C20" s="203" t="str">
        <f>Summary!C28</f>
        <v>Transportation</v>
      </c>
      <c r="D20" s="204">
        <v>300000</v>
      </c>
      <c r="E20" s="204">
        <v>300000</v>
      </c>
      <c r="F20" s="204">
        <v>300000</v>
      </c>
      <c r="G20" s="204">
        <v>300000</v>
      </c>
      <c r="H20" s="204">
        <v>300000</v>
      </c>
      <c r="I20" s="204">
        <v>300000</v>
      </c>
      <c r="J20" s="204">
        <v>300000</v>
      </c>
      <c r="K20" s="204">
        <v>300000</v>
      </c>
      <c r="L20" s="204">
        <v>300000</v>
      </c>
      <c r="M20" s="204">
        <v>300000</v>
      </c>
      <c r="N20" s="204">
        <v>300000</v>
      </c>
      <c r="O20" s="204">
        <v>300000</v>
      </c>
      <c r="P20" s="236">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2" t="s">
        <v>0</v>
      </c>
      <c r="C21" s="203" t="str">
        <f>Summary!C29</f>
        <v>Utilities</v>
      </c>
      <c r="D21" s="204">
        <v>1000000</v>
      </c>
      <c r="E21" s="204">
        <v>1000000</v>
      </c>
      <c r="F21" s="204">
        <v>1000000</v>
      </c>
      <c r="G21" s="204">
        <v>1000000</v>
      </c>
      <c r="H21" s="204">
        <v>1000000</v>
      </c>
      <c r="I21" s="204">
        <v>1000000</v>
      </c>
      <c r="J21" s="204">
        <v>1000000</v>
      </c>
      <c r="K21" s="204">
        <v>1000000</v>
      </c>
      <c r="L21" s="204">
        <v>1000000</v>
      </c>
      <c r="M21" s="204">
        <v>1000000</v>
      </c>
      <c r="N21" s="204">
        <v>1000000</v>
      </c>
      <c r="O21" s="204">
        <v>1000000</v>
      </c>
      <c r="P21" s="236">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2" t="s">
        <v>0</v>
      </c>
      <c r="C22" s="203" t="str">
        <f>Summary!C30</f>
        <v>Health expenses</v>
      </c>
      <c r="D22" s="204">
        <v>1100000</v>
      </c>
      <c r="E22" s="204">
        <v>1100000</v>
      </c>
      <c r="F22" s="204">
        <v>1100000</v>
      </c>
      <c r="G22" s="204">
        <v>1100000</v>
      </c>
      <c r="H22" s="204">
        <v>1100000</v>
      </c>
      <c r="I22" s="204">
        <v>1100000</v>
      </c>
      <c r="J22" s="204">
        <v>1100000</v>
      </c>
      <c r="K22" s="204">
        <v>1100000</v>
      </c>
      <c r="L22" s="204">
        <v>1100000</v>
      </c>
      <c r="M22" s="204">
        <v>1100000</v>
      </c>
      <c r="N22" s="204">
        <v>1100000</v>
      </c>
      <c r="O22" s="204">
        <v>1100000</v>
      </c>
      <c r="P22" s="236">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2" t="s">
        <v>0</v>
      </c>
      <c r="C23" s="203" t="str">
        <f>Summary!C31</f>
        <v>Personal</v>
      </c>
      <c r="D23" s="204">
        <v>500000</v>
      </c>
      <c r="E23" s="204">
        <v>500000</v>
      </c>
      <c r="F23" s="204">
        <v>500000</v>
      </c>
      <c r="G23" s="204">
        <v>500000</v>
      </c>
      <c r="H23" s="204">
        <v>500000</v>
      </c>
      <c r="I23" s="204">
        <v>500000</v>
      </c>
      <c r="J23" s="204">
        <v>500000</v>
      </c>
      <c r="K23" s="204">
        <v>500000</v>
      </c>
      <c r="L23" s="204">
        <v>500000</v>
      </c>
      <c r="M23" s="204">
        <v>500000</v>
      </c>
      <c r="N23" s="204">
        <v>500000</v>
      </c>
      <c r="O23" s="204">
        <v>500000</v>
      </c>
      <c r="P23" s="236">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2" t="s">
        <v>0</v>
      </c>
      <c r="C24" s="203" t="str">
        <f>Summary!C32</f>
        <v>Education &amp; Childcare</v>
      </c>
      <c r="D24" s="204">
        <v>5000000</v>
      </c>
      <c r="E24" s="204">
        <v>5000000</v>
      </c>
      <c r="F24" s="204">
        <v>5000000</v>
      </c>
      <c r="G24" s="204">
        <v>5000000</v>
      </c>
      <c r="H24" s="204">
        <v>5000000</v>
      </c>
      <c r="I24" s="204">
        <v>5000000</v>
      </c>
      <c r="J24" s="204">
        <v>5000000</v>
      </c>
      <c r="K24" s="204">
        <v>5000000</v>
      </c>
      <c r="L24" s="204">
        <v>5000000</v>
      </c>
      <c r="M24" s="204">
        <v>5000000</v>
      </c>
      <c r="N24" s="204">
        <v>5000000</v>
      </c>
      <c r="O24" s="204">
        <v>5000000</v>
      </c>
      <c r="P24" s="236">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2" t="s">
        <v>0</v>
      </c>
      <c r="C25" s="203" t="str">
        <f>Summary!C33</f>
        <v>Vehicle maintenance</v>
      </c>
      <c r="D25" s="204">
        <v>0</v>
      </c>
      <c r="E25" s="204">
        <v>0</v>
      </c>
      <c r="F25" s="204">
        <v>100000</v>
      </c>
      <c r="G25" s="204">
        <v>0</v>
      </c>
      <c r="H25" s="204">
        <v>0</v>
      </c>
      <c r="I25" s="204">
        <v>100000</v>
      </c>
      <c r="J25" s="204">
        <v>0</v>
      </c>
      <c r="K25" s="204">
        <v>0</v>
      </c>
      <c r="L25" s="204">
        <v>100000</v>
      </c>
      <c r="M25" s="204">
        <v>0</v>
      </c>
      <c r="N25" s="204">
        <v>1000000</v>
      </c>
      <c r="O25" s="204">
        <v>0</v>
      </c>
      <c r="P25" s="236">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2" t="s">
        <v>0</v>
      </c>
      <c r="C26" s="203" t="str">
        <f>Summary!C34</f>
        <v>Lending</v>
      </c>
      <c r="D26" s="204">
        <v>0</v>
      </c>
      <c r="E26" s="204">
        <v>0</v>
      </c>
      <c r="F26" s="204">
        <v>0</v>
      </c>
      <c r="G26" s="204">
        <v>0</v>
      </c>
      <c r="H26" s="204">
        <v>0</v>
      </c>
      <c r="I26" s="204">
        <v>0</v>
      </c>
      <c r="J26" s="204">
        <v>0</v>
      </c>
      <c r="K26" s="204">
        <v>0</v>
      </c>
      <c r="L26" s="204">
        <v>0</v>
      </c>
      <c r="M26" s="204">
        <v>0</v>
      </c>
      <c r="N26" s="204">
        <v>0</v>
      </c>
      <c r="O26" s="204">
        <v>0</v>
      </c>
      <c r="P26" s="236">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2" t="s">
        <v>0</v>
      </c>
      <c r="C27" s="203" t="str">
        <f>Summary!C35</f>
        <v>Mobile fee</v>
      </c>
      <c r="D27" s="204">
        <v>100000</v>
      </c>
      <c r="E27" s="204">
        <v>100000</v>
      </c>
      <c r="F27" s="204">
        <v>100000</v>
      </c>
      <c r="G27" s="204">
        <v>100000</v>
      </c>
      <c r="H27" s="204">
        <v>100000</v>
      </c>
      <c r="I27" s="204">
        <v>100000</v>
      </c>
      <c r="J27" s="204">
        <v>100000</v>
      </c>
      <c r="K27" s="204">
        <v>100000</v>
      </c>
      <c r="L27" s="204">
        <v>100000</v>
      </c>
      <c r="M27" s="204">
        <v>100000</v>
      </c>
      <c r="N27" s="204">
        <v>100000</v>
      </c>
      <c r="O27" s="204">
        <v>100000</v>
      </c>
      <c r="P27" s="236">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09" t="s">
        <v>0</v>
      </c>
      <c r="C28" s="310" t="str">
        <f>Summary!C36</f>
        <v>Loan Principal payment</v>
      </c>
      <c r="D28" s="311">
        <f>SUMIF(Loan!$C$13:$C$612,'Monthly Forecast'!D$8,Loan!$F$13:$F$612)</f>
        <v>2222222.222222222</v>
      </c>
      <c r="E28" s="311">
        <f>SUMIF(Loan!$C$13:$C$612,'Monthly Forecast'!E$8,Loan!$F$13:$F$612)</f>
        <v>2222222.222222222</v>
      </c>
      <c r="F28" s="311">
        <f>SUMIF(Loan!$C$13:$C$612,'Monthly Forecast'!F$8,Loan!$F$13:$F$612)</f>
        <v>2222222.222222222</v>
      </c>
      <c r="G28" s="311">
        <f>SUMIF(Loan!$C$13:$C$612,'Monthly Forecast'!G$8,Loan!$F$13:$F$612)</f>
        <v>2222222.222222222</v>
      </c>
      <c r="H28" s="311">
        <f>SUMIF(Loan!$C$13:$C$612,'Monthly Forecast'!H$8,Loan!$F$13:$F$612)</f>
        <v>2222222.222222222</v>
      </c>
      <c r="I28" s="311">
        <f>SUMIF(Loan!$C$13:$C$612,'Monthly Forecast'!I$8,Loan!$F$13:$F$612)</f>
        <v>2222222.222222222</v>
      </c>
      <c r="J28" s="311">
        <f>SUMIF(Loan!$C$13:$C$612,'Monthly Forecast'!J$8,Loan!$F$13:$F$612)</f>
        <v>2222222.222222222</v>
      </c>
      <c r="K28" s="311">
        <f>SUMIF(Loan!$C$13:$C$612,'Monthly Forecast'!K$8,Loan!$F$13:$F$612)</f>
        <v>2222222.222222222</v>
      </c>
      <c r="L28" s="311">
        <f>SUMIF(Loan!$C$13:$C$612,'Monthly Forecast'!L$8,Loan!$F$13:$F$612)</f>
        <v>2222222.222222222</v>
      </c>
      <c r="M28" s="311">
        <f>SUMIF(Loan!$C$13:$C$612,'Monthly Forecast'!M$8,Loan!$F$13:$F$612)</f>
        <v>2222222.222222222</v>
      </c>
      <c r="N28" s="311">
        <f>SUMIF(Loan!$C$13:$C$612,'Monthly Forecast'!N$8,Loan!$F$13:$F$612)</f>
        <v>2222222.222222222</v>
      </c>
      <c r="O28" s="311">
        <f>SUMIF(Loan!$C$13:$C$612,'Monthly Forecast'!O$8,Loan!$F$13:$F$612)</f>
        <v>2222222.222222222</v>
      </c>
      <c r="P28" s="312">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09" t="s">
        <v>0</v>
      </c>
      <c r="C29" s="310" t="str">
        <f>Summary!C37</f>
        <v>Loan Interest expense</v>
      </c>
      <c r="D29" s="311">
        <f>SUMIF(Loan!$C$13:$C$612,'Monthly Forecast'!D$8,Loan!$D$13:$D$612)</f>
        <v>2768888.8888888899</v>
      </c>
      <c r="E29" s="311">
        <f>SUMIF(Loan!$C$13:$C$612,'Monthly Forecast'!E$8,Loan!$D$13:$D$612)</f>
        <v>2752407.4074074086</v>
      </c>
      <c r="F29" s="311">
        <f>SUMIF(Loan!$C$13:$C$612,'Monthly Forecast'!F$8,Loan!$D$13:$D$612)</f>
        <v>2735925.9259259272</v>
      </c>
      <c r="G29" s="311">
        <f>SUMIF(Loan!$C$13:$C$612,'Monthly Forecast'!G$8,Loan!$D$13:$D$612)</f>
        <v>2719444.4444444459</v>
      </c>
      <c r="H29" s="311">
        <f>SUMIF(Loan!$C$13:$C$612,'Monthly Forecast'!H$8,Loan!$D$13:$D$612)</f>
        <v>2702962.9629629645</v>
      </c>
      <c r="I29" s="311">
        <f>SUMIF(Loan!$C$13:$C$612,'Monthly Forecast'!I$8,Loan!$D$13:$D$612)</f>
        <v>2686481.4814814827</v>
      </c>
      <c r="J29" s="311">
        <f>SUMIF(Loan!$C$13:$C$612,'Monthly Forecast'!J$8,Loan!$D$13:$D$612)</f>
        <v>2670000.0000000014</v>
      </c>
      <c r="K29" s="311">
        <f>SUMIF(Loan!$C$13:$C$612,'Monthly Forecast'!K$8,Loan!$D$13:$D$612)</f>
        <v>2653518.5185185201</v>
      </c>
      <c r="L29" s="311">
        <f>SUMIF(Loan!$C$13:$C$612,'Monthly Forecast'!L$8,Loan!$D$13:$D$612)</f>
        <v>2637037.0370370387</v>
      </c>
      <c r="M29" s="311">
        <f>SUMIF(Loan!$C$13:$C$612,'Monthly Forecast'!M$8,Loan!$D$13:$D$612)</f>
        <v>2620555.5555555574</v>
      </c>
      <c r="N29" s="311">
        <f>SUMIF(Loan!$C$13:$C$612,'Monthly Forecast'!N$8,Loan!$D$13:$D$612)</f>
        <v>2604074.074074076</v>
      </c>
      <c r="O29" s="311">
        <f>SUMIF(Loan!$C$13:$C$612,'Monthly Forecast'!O$8,Loan!$D$13:$D$612)</f>
        <v>2587592.5925925947</v>
      </c>
      <c r="P29" s="312">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2" t="s">
        <v>0</v>
      </c>
      <c r="C30" s="203" t="str">
        <f>Summary!C38</f>
        <v>Service animals &amp; Pets</v>
      </c>
      <c r="D30" s="204">
        <v>0</v>
      </c>
      <c r="E30" s="204">
        <v>0</v>
      </c>
      <c r="F30" s="204">
        <v>0</v>
      </c>
      <c r="G30" s="204">
        <v>0</v>
      </c>
      <c r="H30" s="204">
        <v>0</v>
      </c>
      <c r="I30" s="204">
        <v>0</v>
      </c>
      <c r="J30" s="204">
        <v>0</v>
      </c>
      <c r="K30" s="204">
        <v>0</v>
      </c>
      <c r="L30" s="204">
        <v>0</v>
      </c>
      <c r="M30" s="204">
        <v>0</v>
      </c>
      <c r="N30" s="204">
        <v>0</v>
      </c>
      <c r="O30" s="204">
        <v>0</v>
      </c>
      <c r="P30" s="236">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2" t="s">
        <v>0</v>
      </c>
      <c r="C31" s="203" t="str">
        <f>Summary!C39</f>
        <v>Other expenses</v>
      </c>
      <c r="D31" s="204">
        <v>100000</v>
      </c>
      <c r="E31" s="204">
        <v>100000</v>
      </c>
      <c r="F31" s="204">
        <v>100000</v>
      </c>
      <c r="G31" s="204">
        <v>100000</v>
      </c>
      <c r="H31" s="204">
        <v>100000</v>
      </c>
      <c r="I31" s="204">
        <v>100000</v>
      </c>
      <c r="J31" s="204">
        <v>100000</v>
      </c>
      <c r="K31" s="204">
        <v>100000</v>
      </c>
      <c r="L31" s="204">
        <v>100000</v>
      </c>
      <c r="M31" s="204">
        <v>100000</v>
      </c>
      <c r="N31" s="204">
        <v>100000</v>
      </c>
      <c r="O31" s="204">
        <v>100000</v>
      </c>
      <c r="P31" s="236">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2" t="s">
        <v>0</v>
      </c>
      <c r="C32" s="203" t="str">
        <f>Summary!C40</f>
        <v>Expenses category 1</v>
      </c>
      <c r="D32" s="204"/>
      <c r="E32" s="204"/>
      <c r="F32" s="204"/>
      <c r="G32" s="204"/>
      <c r="H32" s="204"/>
      <c r="I32" s="204"/>
      <c r="J32" s="204"/>
      <c r="K32" s="204"/>
      <c r="L32" s="204"/>
      <c r="M32" s="204"/>
      <c r="N32" s="204"/>
      <c r="O32" s="204"/>
      <c r="P32" s="236">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2" t="s">
        <v>0</v>
      </c>
      <c r="C33" s="203" t="str">
        <f>Summary!C41</f>
        <v>Expenses category 2</v>
      </c>
      <c r="D33" s="204"/>
      <c r="E33" s="204"/>
      <c r="F33" s="204"/>
      <c r="G33" s="204"/>
      <c r="H33" s="204"/>
      <c r="I33" s="204"/>
      <c r="J33" s="204"/>
      <c r="K33" s="204"/>
      <c r="L33" s="204"/>
      <c r="M33" s="204"/>
      <c r="N33" s="204"/>
      <c r="O33" s="204"/>
      <c r="P33" s="236">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2" t="s">
        <v>27</v>
      </c>
      <c r="C34" s="203" t="str">
        <f>Summary!C42</f>
        <v>Entertainment</v>
      </c>
      <c r="D34" s="204">
        <v>300000</v>
      </c>
      <c r="E34" s="204">
        <v>300000</v>
      </c>
      <c r="F34" s="204">
        <v>300000</v>
      </c>
      <c r="G34" s="204">
        <v>300000</v>
      </c>
      <c r="H34" s="204">
        <v>300000</v>
      </c>
      <c r="I34" s="204">
        <v>300000</v>
      </c>
      <c r="J34" s="204">
        <v>300000</v>
      </c>
      <c r="K34" s="204">
        <v>300000</v>
      </c>
      <c r="L34" s="204">
        <v>300000</v>
      </c>
      <c r="M34" s="204">
        <v>300000</v>
      </c>
      <c r="N34" s="204">
        <v>300000</v>
      </c>
      <c r="O34" s="204">
        <v>300000</v>
      </c>
      <c r="P34" s="236">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2" t="s">
        <v>27</v>
      </c>
      <c r="C35" s="203" t="str">
        <f>Summary!C43</f>
        <v>Shopping</v>
      </c>
      <c r="D35" s="204">
        <v>400000</v>
      </c>
      <c r="E35" s="204">
        <v>400000</v>
      </c>
      <c r="F35" s="204">
        <v>400000</v>
      </c>
      <c r="G35" s="204">
        <v>400000</v>
      </c>
      <c r="H35" s="204">
        <v>400000</v>
      </c>
      <c r="I35" s="204">
        <v>400000</v>
      </c>
      <c r="J35" s="204">
        <v>400000</v>
      </c>
      <c r="K35" s="204">
        <v>400000</v>
      </c>
      <c r="L35" s="204">
        <v>400000</v>
      </c>
      <c r="M35" s="204">
        <v>400000</v>
      </c>
      <c r="N35" s="204">
        <v>400000</v>
      </c>
      <c r="O35" s="204">
        <v>400000</v>
      </c>
      <c r="P35" s="236">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2" t="s">
        <v>27</v>
      </c>
      <c r="C36" s="203" t="str">
        <f>Summary!C44</f>
        <v>Travelling</v>
      </c>
      <c r="D36" s="204">
        <v>0</v>
      </c>
      <c r="E36" s="204">
        <v>0</v>
      </c>
      <c r="F36" s="204">
        <v>0</v>
      </c>
      <c r="G36" s="204">
        <v>0</v>
      </c>
      <c r="H36" s="204">
        <v>0</v>
      </c>
      <c r="I36" s="204">
        <v>0</v>
      </c>
      <c r="J36" s="204">
        <v>0</v>
      </c>
      <c r="K36" s="204">
        <v>0</v>
      </c>
      <c r="L36" s="204">
        <v>0</v>
      </c>
      <c r="M36" s="204">
        <v>0</v>
      </c>
      <c r="N36" s="204">
        <v>0</v>
      </c>
      <c r="O36" s="204">
        <v>0</v>
      </c>
      <c r="P36" s="236">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2" t="s">
        <v>27</v>
      </c>
      <c r="C37" s="203" t="str">
        <f>Summary!C45</f>
        <v>Other discretionary</v>
      </c>
      <c r="D37" s="204">
        <v>0</v>
      </c>
      <c r="E37" s="204">
        <v>0</v>
      </c>
      <c r="F37" s="204">
        <v>0</v>
      </c>
      <c r="G37" s="204">
        <v>0</v>
      </c>
      <c r="H37" s="204">
        <v>0</v>
      </c>
      <c r="I37" s="204">
        <v>0</v>
      </c>
      <c r="J37" s="204">
        <v>0</v>
      </c>
      <c r="K37" s="204">
        <v>0</v>
      </c>
      <c r="L37" s="204">
        <v>0</v>
      </c>
      <c r="M37" s="204">
        <v>0</v>
      </c>
      <c r="N37" s="204">
        <v>0</v>
      </c>
      <c r="O37" s="204">
        <v>0</v>
      </c>
      <c r="P37" s="236">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2" t="s">
        <v>27</v>
      </c>
      <c r="C38" s="203" t="str">
        <f>Summary!C46</f>
        <v>Discretionary category 1</v>
      </c>
      <c r="D38" s="204"/>
      <c r="E38" s="204"/>
      <c r="F38" s="204"/>
      <c r="G38" s="204"/>
      <c r="H38" s="204"/>
      <c r="I38" s="204"/>
      <c r="J38" s="204"/>
      <c r="K38" s="204"/>
      <c r="L38" s="204"/>
      <c r="M38" s="204"/>
      <c r="N38" s="204"/>
      <c r="O38" s="204"/>
      <c r="P38" s="236">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2" t="s">
        <v>27</v>
      </c>
      <c r="C39" s="203" t="str">
        <f>Summary!C47</f>
        <v>Discretionary category 2</v>
      </c>
      <c r="D39" s="204"/>
      <c r="E39" s="204"/>
      <c r="F39" s="204"/>
      <c r="G39" s="204"/>
      <c r="H39" s="204"/>
      <c r="I39" s="204"/>
      <c r="J39" s="204"/>
      <c r="K39" s="204"/>
      <c r="L39" s="204"/>
      <c r="M39" s="204"/>
      <c r="N39" s="204"/>
      <c r="O39" s="204"/>
      <c r="P39" s="236">
        <f>SUM('Monthly Forecast'!$D39:$O39)</f>
        <v>0</v>
      </c>
      <c r="Q39" s="69"/>
    </row>
    <row r="40" spans="1:16384" ht="26.1" customHeight="1">
      <c r="B40" s="264" t="s">
        <v>66</v>
      </c>
      <c r="C40" s="265" t="s">
        <v>50</v>
      </c>
      <c r="D40" s="266">
        <f t="shared" ref="D40:O40" si="3">SUM(D10:D18)-SUM(D19:D39)</f>
        <v>12665208.888888888</v>
      </c>
      <c r="E40" s="266">
        <f t="shared" si="3"/>
        <v>1225370.3703703694</v>
      </c>
      <c r="F40" s="266">
        <f t="shared" si="3"/>
        <v>1141851.8518518507</v>
      </c>
      <c r="G40" s="266">
        <f t="shared" si="3"/>
        <v>1258333.3333333321</v>
      </c>
      <c r="H40" s="266">
        <f t="shared" si="3"/>
        <v>1274814.8148148134</v>
      </c>
      <c r="I40" s="266">
        <f t="shared" si="3"/>
        <v>1191296.2962962948</v>
      </c>
      <c r="J40" s="266">
        <f t="shared" si="3"/>
        <v>1307777.7777777761</v>
      </c>
      <c r="K40" s="266">
        <f t="shared" si="3"/>
        <v>1324259.2592592575</v>
      </c>
      <c r="L40" s="266">
        <f t="shared" si="3"/>
        <v>7103140.7407407388</v>
      </c>
      <c r="M40" s="266">
        <f t="shared" si="3"/>
        <v>1357222.2222222202</v>
      </c>
      <c r="N40" s="266">
        <f t="shared" si="3"/>
        <v>373703.7037037015</v>
      </c>
      <c r="O40" s="266">
        <f t="shared" si="3"/>
        <v>1390185.1851851828</v>
      </c>
      <c r="P40" s="266">
        <f>SUM('Monthly Forecast'!$D40:$O40)</f>
        <v>31613164.444444425</v>
      </c>
      <c r="Q40" s="69"/>
    </row>
    <row r="41" spans="1:16384" ht="26.1" customHeight="1">
      <c r="Q41" s="69"/>
    </row>
  </sheetData>
  <sheetProtection algorithmName="SHA-512" hashValue="eab7DvdZZ6ViBJNcEnCVDWNJgD/H5fU6OWTmS9ebo6C/BBnNicQgBRTiw9gi7855tNFP4OB1nfnUc0hK3YVGxA==" saltValue="MV/dTajZg0jIXMG+7Ob0Og==" spinCount="100000" sheet="1" autoFilter="0" pivotTables="0"/>
  <mergeCells count="2">
    <mergeCell ref="B2:C2"/>
    <mergeCell ref="D2:I3"/>
  </mergeCells>
  <conditionalFormatting sqref="B10:P39">
    <cfRule type="expression" dxfId="245" priority="9">
      <formula>(MOD(ROW(),2)=0)*($B10="Income")</formula>
    </cfRule>
    <cfRule type="expression" dxfId="244" priority="10">
      <formula>(MOD(ROW(),2)&lt;&gt;0)*($B10="Income")</formula>
    </cfRule>
    <cfRule type="expression" dxfId="243" priority="11">
      <formula>(MOD(ROW(),2)=0)*($B10="Expenses")</formula>
    </cfRule>
    <cfRule type="expression" dxfId="242" priority="12">
      <formula>(MOD(ROW(),2)&lt;&gt;0)*($B10="Expenses")</formula>
    </cfRule>
    <cfRule type="expression" dxfId="241" priority="15">
      <formula>(MOD(ROW(),2)&lt;&gt;0)*($B10="Discretionary")</formula>
    </cfRule>
    <cfRule type="expression" dxfId="240" priority="16">
      <formula>(MOD(ROW(),2)=0)*($B10="Discretionary")</formula>
    </cfRule>
  </conditionalFormatting>
  <dataValidations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9" formatCode="[$$-C09]#,##0.00"/>
            </x14:dxf>
          </x14:cfRule>
          <x14:cfRule type="expression" priority="2" id="{D73F4C96-F7E4-4904-BA79-6F2CE7CADD06}">
            <xm:f>Transactions!$D$5=Currency!$A$7</xm:f>
            <x14:dxf>
              <numFmt numFmtId="178" formatCode="[$¥-411]#,##0.00"/>
            </x14:dxf>
          </x14:cfRule>
          <x14:cfRule type="expression" priority="3" id="{CBF840E9-8DC4-4A78-AD59-26C5F15978AB}">
            <xm:f>Transactions!$D$5=Currency!$A$6</xm:f>
            <x14:dxf>
              <numFmt numFmtId="177" formatCode="[$$-4809]#,##0.00"/>
            </x14:dxf>
          </x14:cfRule>
          <x14:cfRule type="expression" priority="4" id="{67E7C285-DF41-4CC5-8C87-976FFB8605A0}">
            <xm:f>Transactions!$D$5=Currency!$A$5</xm:f>
            <x14:dxf>
              <numFmt numFmtId="176" formatCode="[$¥-804]#,##0.00"/>
            </x14:dxf>
          </x14:cfRule>
          <x14:cfRule type="expression" priority="5" id="{BC9C5B37-DD6D-4F3E-9510-9F2B086226BF}">
            <xm:f>Transactions!$D$5=Currency!$A$4</xm:f>
            <x14:dxf>
              <numFmt numFmtId="175" formatCode="[$£-809]#,##0.00"/>
            </x14:dxf>
          </x14:cfRule>
          <x14:cfRule type="expression" priority="6" id="{D807B543-30A1-4C86-BF1F-AC5EB98039B6}">
            <xm:f>Transactions!$D$5=Currency!$A$3</xm:f>
            <x14:dxf>
              <numFmt numFmtId="174"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3"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zoomScale="85" zoomScaleNormal="85" workbookViewId="0">
      <pane xSplit="3" ySplit="8" topLeftCell="F32" activePane="bottomRight" state="frozen"/>
      <selection activeCell="D25" sqref="D25"/>
      <selection pane="topRight" activeCell="D25" sqref="D25"/>
      <selection pane="bottomLeft" activeCell="D25" sqref="D25"/>
      <selection pane="bottomRight" activeCell="H34" sqref="H34"/>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98" t="s">
        <v>67</v>
      </c>
      <c r="C1" s="12"/>
      <c r="D1" s="12"/>
      <c r="E1" s="12"/>
      <c r="F1" s="12"/>
      <c r="G1" s="12"/>
      <c r="H1" s="13"/>
    </row>
    <row r="2" spans="1:18" s="5" customFormat="1" ht="30">
      <c r="B2" s="55"/>
      <c r="C2" s="55"/>
      <c r="D2" s="55"/>
      <c r="E2" s="55"/>
      <c r="F2" s="374" t="s">
        <v>157</v>
      </c>
      <c r="G2" s="376"/>
      <c r="H2" s="376"/>
      <c r="I2" s="376"/>
      <c r="J2" s="376"/>
      <c r="K2" s="376"/>
      <c r="L2" s="53"/>
      <c r="M2" s="53"/>
      <c r="N2" s="53"/>
      <c r="O2" s="53"/>
      <c r="P2" s="53"/>
      <c r="Q2" s="53"/>
      <c r="R2" s="53"/>
    </row>
    <row r="3" spans="1:18" s="5" customFormat="1" ht="30">
      <c r="B3" s="54" t="s">
        <v>33</v>
      </c>
      <c r="C3" s="230">
        <f>Transactions!C3</f>
        <v>44197</v>
      </c>
      <c r="D3" s="55"/>
      <c r="E3" s="55"/>
      <c r="F3" s="73"/>
      <c r="G3" s="74"/>
      <c r="H3" s="74"/>
      <c r="I3" s="74"/>
      <c r="J3" s="74"/>
      <c r="K3" s="74"/>
      <c r="L3" s="53"/>
      <c r="M3" s="53"/>
      <c r="N3" s="53"/>
      <c r="O3" s="53"/>
      <c r="P3" s="53"/>
      <c r="Q3" s="53"/>
      <c r="R3" s="53"/>
    </row>
    <row r="4" spans="1:18" s="5" customFormat="1" ht="30">
      <c r="B4" s="54" t="s">
        <v>68</v>
      </c>
      <c r="C4" s="231">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6" t="s">
        <v>5</v>
      </c>
      <c r="D8" s="232">
        <f t="shared" ref="D8:O8" si="2">DATE($C$4,D7,1)</f>
        <v>44197</v>
      </c>
      <c r="E8" s="232">
        <f t="shared" si="2"/>
        <v>44228</v>
      </c>
      <c r="F8" s="232">
        <f t="shared" si="2"/>
        <v>44256</v>
      </c>
      <c r="G8" s="232">
        <f t="shared" si="2"/>
        <v>44287</v>
      </c>
      <c r="H8" s="232">
        <f t="shared" si="2"/>
        <v>44317</v>
      </c>
      <c r="I8" s="232">
        <f t="shared" si="2"/>
        <v>44348</v>
      </c>
      <c r="J8" s="232">
        <f t="shared" si="2"/>
        <v>44378</v>
      </c>
      <c r="K8" s="232">
        <f t="shared" si="2"/>
        <v>44409</v>
      </c>
      <c r="L8" s="232">
        <f t="shared" si="2"/>
        <v>44440</v>
      </c>
      <c r="M8" s="232">
        <f t="shared" si="2"/>
        <v>44470</v>
      </c>
      <c r="N8" s="232">
        <f t="shared" si="2"/>
        <v>44501</v>
      </c>
      <c r="O8" s="232">
        <f t="shared" si="2"/>
        <v>44531</v>
      </c>
      <c r="P8" s="233" t="s">
        <v>53</v>
      </c>
      <c r="Q8" s="66"/>
      <c r="R8" s="66"/>
    </row>
    <row r="9" spans="1:18" s="69" customFormat="1" ht="26.1" hidden="1" customHeight="1" thickBot="1">
      <c r="B9" s="38" t="s">
        <v>32</v>
      </c>
      <c r="C9" s="75" t="s">
        <v>5</v>
      </c>
      <c r="D9" s="40" t="s">
        <v>71</v>
      </c>
      <c r="E9" s="40" t="s">
        <v>72</v>
      </c>
      <c r="F9" s="40" t="s">
        <v>73</v>
      </c>
      <c r="G9" s="40" t="s">
        <v>74</v>
      </c>
      <c r="H9" s="40" t="s">
        <v>75</v>
      </c>
      <c r="I9" s="40" t="s">
        <v>76</v>
      </c>
      <c r="J9" s="40" t="s">
        <v>77</v>
      </c>
      <c r="K9" s="40" t="s">
        <v>78</v>
      </c>
      <c r="L9" s="40" t="s">
        <v>79</v>
      </c>
      <c r="M9" s="40" t="s">
        <v>80</v>
      </c>
      <c r="N9" s="40" t="s">
        <v>81</v>
      </c>
      <c r="O9" s="40" t="s">
        <v>82</v>
      </c>
      <c r="P9" s="71" t="s">
        <v>83</v>
      </c>
    </row>
    <row r="10" spans="1:18" s="69" customFormat="1" ht="26.1" customHeight="1">
      <c r="B10" s="37" t="s">
        <v>1</v>
      </c>
      <c r="C10" s="70" t="str">
        <f>Summary!C18</f>
        <v>Salary</v>
      </c>
      <c r="D10" s="219">
        <f>SUMIFS(Transactions!$P$10:$P$1002,Transactions!$R$10:$R$1002,Monthly_Actual[[#This Row],[Category]],Transactions!$O$10:$O$1002,'Monthly Actual'!D$7)</f>
        <v>20000000</v>
      </c>
      <c r="E10" s="219">
        <f>SUMIFS(Transactions!$P$10:$P$1002,Transactions!$R$10:$R$1002,Monthly_Actual[[#This Row],[Category]],Transactions!$O$10:$O$1002,'Monthly Actual'!E$7)</f>
        <v>0</v>
      </c>
      <c r="F10" s="219">
        <f>SUMIFS(Transactions!$P$10:$P$1002,Transactions!$R$10:$R$1002,Monthly_Actual[[#This Row],[Category]],Transactions!$O$10:$O$1002,'Monthly Actual'!F$7)</f>
        <v>0</v>
      </c>
      <c r="G10" s="219">
        <f>SUMIFS(Transactions!$P$10:$P$1002,Transactions!$R$10:$R$1002,Monthly_Actual[[#This Row],[Category]],Transactions!$O$10:$O$1002,'Monthly Actual'!G$7)</f>
        <v>0</v>
      </c>
      <c r="H10" s="219">
        <f>SUMIFS(Transactions!$P$10:$P$1002,Transactions!$R$10:$R$1002,Monthly_Actual[[#This Row],[Category]],Transactions!$O$10:$O$1002,'Monthly Actual'!H$7)</f>
        <v>0</v>
      </c>
      <c r="I10" s="219">
        <f>SUMIFS(Transactions!$P$10:$P$1002,Transactions!$R$10:$R$1002,Monthly_Actual[[#This Row],[Category]],Transactions!$O$10:$O$1002,'Monthly Actual'!I$7)</f>
        <v>0</v>
      </c>
      <c r="J10" s="219">
        <f>SUMIFS(Transactions!$P$10:$P$1002,Transactions!$R$10:$R$1002,Monthly_Actual[[#This Row],[Category]],Transactions!$O$10:$O$1002,'Monthly Actual'!J$7)</f>
        <v>0</v>
      </c>
      <c r="K10" s="219">
        <f>SUMIFS(Transactions!$P$10:$P$1002,Transactions!$R$10:$R$1002,Monthly_Actual[[#This Row],[Category]],Transactions!$O$10:$O$1002,'Monthly Actual'!K$7)</f>
        <v>0</v>
      </c>
      <c r="L10" s="219">
        <f>SUMIFS(Transactions!$P$10:$P$1002,Transactions!$R$10:$R$1002,Monthly_Actual[[#This Row],[Category]],Transactions!$O$10:$O$1002,'Monthly Actual'!L$7)</f>
        <v>0</v>
      </c>
      <c r="M10" s="219">
        <f>SUMIFS(Transactions!$P$10:$P$1002,Transactions!$R$10:$R$1002,Monthly_Actual[[#This Row],[Category]],Transactions!$O$10:$O$1002,'Monthly Actual'!M$7)</f>
        <v>0</v>
      </c>
      <c r="N10" s="219">
        <f>SUMIFS(Transactions!$P$10:$P$1002,Transactions!$R$10:$R$1002,Monthly_Actual[[#This Row],[Category]],Transactions!$O$10:$O$1002,'Monthly Actual'!N$7)</f>
        <v>0</v>
      </c>
      <c r="O10" s="219">
        <f>SUMIFS(Transactions!$P$10:$P$1002,Transactions!$R$10:$R$1002,Monthly_Actual[[#This Row],[Category]],Transactions!$O$10:$O$1002,'Monthly Actual'!O$7)</f>
        <v>0</v>
      </c>
      <c r="P10" s="220">
        <f>SUM(Monthly_Actual[[#This Row],[Column3]:[Column14]])</f>
        <v>20000000</v>
      </c>
    </row>
    <row r="11" spans="1:18" s="69" customFormat="1" ht="26.1" customHeight="1">
      <c r="B11" s="38" t="s">
        <v>1</v>
      </c>
      <c r="C11" s="39" t="str">
        <f>Summary!C19</f>
        <v>Commissions</v>
      </c>
      <c r="D11" s="221">
        <f>SUMIFS(Transactions!$P$10:$P$1002,Transactions!$R$10:$R$1002,Monthly_Actual[[#This Row],[Category]],Transactions!$O$10:$O$1002,'Monthly Actual'!D$7)</f>
        <v>0</v>
      </c>
      <c r="E11" s="221">
        <f>SUMIFS(Transactions!$P$10:$P$1002,Transactions!$R$10:$R$1002,Monthly_Actual[[#This Row],[Category]],Transactions!$O$10:$O$1002,'Monthly Actual'!E$7)</f>
        <v>0</v>
      </c>
      <c r="F11" s="221">
        <f>SUMIFS(Transactions!$P$10:$P$1002,Transactions!$R$10:$R$1002,Monthly_Actual[[#This Row],[Category]],Transactions!$O$10:$O$1002,'Monthly Actual'!F$7)</f>
        <v>0</v>
      </c>
      <c r="G11" s="221">
        <f>SUMIFS(Transactions!$P$10:$P$1002,Transactions!$R$10:$R$1002,Monthly_Actual[[#This Row],[Category]],Transactions!$O$10:$O$1002,'Monthly Actual'!G$7)</f>
        <v>0</v>
      </c>
      <c r="H11" s="221">
        <f>SUMIFS(Transactions!$P$10:$P$1002,Transactions!$R$10:$R$1002,Monthly_Actual[[#This Row],[Category]],Transactions!$O$10:$O$1002,'Monthly Actual'!H$7)</f>
        <v>0</v>
      </c>
      <c r="I11" s="221">
        <f>SUMIFS(Transactions!$P$10:$P$1002,Transactions!$R$10:$R$1002,Monthly_Actual[[#This Row],[Category]],Transactions!$O$10:$O$1002,'Monthly Actual'!I$7)</f>
        <v>0</v>
      </c>
      <c r="J11" s="221">
        <f>SUMIFS(Transactions!$P$10:$P$1002,Transactions!$R$10:$R$1002,Monthly_Actual[[#This Row],[Category]],Transactions!$O$10:$O$1002,'Monthly Actual'!J$7)</f>
        <v>0</v>
      </c>
      <c r="K11" s="221">
        <f>SUMIFS(Transactions!$P$10:$P$1002,Transactions!$R$10:$R$1002,Monthly_Actual[[#This Row],[Category]],Transactions!$O$10:$O$1002,'Monthly Actual'!K$7)</f>
        <v>0</v>
      </c>
      <c r="L11" s="221">
        <f>SUMIFS(Transactions!$P$10:$P$1002,Transactions!$R$10:$R$1002,Monthly_Actual[[#This Row],[Category]],Transactions!$O$10:$O$1002,'Monthly Actual'!L$7)</f>
        <v>0</v>
      </c>
      <c r="M11" s="221">
        <f>SUMIFS(Transactions!$P$10:$P$1002,Transactions!$R$10:$R$1002,Monthly_Actual[[#This Row],[Category]],Transactions!$O$10:$O$1002,'Monthly Actual'!M$7)</f>
        <v>0</v>
      </c>
      <c r="N11" s="221">
        <f>SUMIFS(Transactions!$P$10:$P$1002,Transactions!$R$10:$R$1002,Monthly_Actual[[#This Row],[Category]],Transactions!$O$10:$O$1002,'Monthly Actual'!N$7)</f>
        <v>0</v>
      </c>
      <c r="O11" s="221">
        <f>SUMIFS(Transactions!$P$10:$P$1002,Transactions!$R$10:$R$1002,Monthly_Actual[[#This Row],[Category]],Transactions!$O$10:$O$1002,'Monthly Actual'!O$7)</f>
        <v>0</v>
      </c>
      <c r="P11" s="222">
        <f>SUM(Monthly_Actual[[#This Row],[Column3]:[Column14]])</f>
        <v>0</v>
      </c>
    </row>
    <row r="12" spans="1:18" s="69" customFormat="1" ht="26.1" customHeight="1">
      <c r="B12" s="38" t="s">
        <v>1</v>
      </c>
      <c r="C12" s="39" t="str">
        <f>Summary!C20</f>
        <v>Bonus</v>
      </c>
      <c r="D12" s="221">
        <f>SUMIFS(Transactions!$P$10:$P$1002,Transactions!$R$10:$R$1002,Monthly_Actual[[#This Row],[Category]],Transactions!$O$10:$O$1002,'Monthly Actual'!D$7)</f>
        <v>0</v>
      </c>
      <c r="E12" s="221">
        <f>SUMIFS(Transactions!$P$10:$P$1002,Transactions!$R$10:$R$1002,Monthly_Actual[[#This Row],[Category]],Transactions!$O$10:$O$1002,'Monthly Actual'!E$7)</f>
        <v>0</v>
      </c>
      <c r="F12" s="221">
        <f>SUMIFS(Transactions!$P$10:$P$1002,Transactions!$R$10:$R$1002,Monthly_Actual[[#This Row],[Category]],Transactions!$O$10:$O$1002,'Monthly Actual'!F$7)</f>
        <v>0</v>
      </c>
      <c r="G12" s="221">
        <f>SUMIFS(Transactions!$P$10:$P$1002,Transactions!$R$10:$R$1002,Monthly_Actual[[#This Row],[Category]],Transactions!$O$10:$O$1002,'Monthly Actual'!G$7)</f>
        <v>0</v>
      </c>
      <c r="H12" s="221">
        <f>SUMIFS(Transactions!$P$10:$P$1002,Transactions!$R$10:$R$1002,Monthly_Actual[[#This Row],[Category]],Transactions!$O$10:$O$1002,'Monthly Actual'!H$7)</f>
        <v>0</v>
      </c>
      <c r="I12" s="221">
        <f>SUMIFS(Transactions!$P$10:$P$1002,Transactions!$R$10:$R$1002,Monthly_Actual[[#This Row],[Category]],Transactions!$O$10:$O$1002,'Monthly Actual'!I$7)</f>
        <v>0</v>
      </c>
      <c r="J12" s="221">
        <f>SUMIFS(Transactions!$P$10:$P$1002,Transactions!$R$10:$R$1002,Monthly_Actual[[#This Row],[Category]],Transactions!$O$10:$O$1002,'Monthly Actual'!J$7)</f>
        <v>0</v>
      </c>
      <c r="K12" s="221">
        <f>SUMIFS(Transactions!$P$10:$P$1002,Transactions!$R$10:$R$1002,Monthly_Actual[[#This Row],[Category]],Transactions!$O$10:$O$1002,'Monthly Actual'!K$7)</f>
        <v>0</v>
      </c>
      <c r="L12" s="221">
        <f>SUMIFS(Transactions!$P$10:$P$1002,Transactions!$R$10:$R$1002,Monthly_Actual[[#This Row],[Category]],Transactions!$O$10:$O$1002,'Monthly Actual'!L$7)</f>
        <v>0</v>
      </c>
      <c r="M12" s="221">
        <f>SUMIFS(Transactions!$P$10:$P$1002,Transactions!$R$10:$R$1002,Monthly_Actual[[#This Row],[Category]],Transactions!$O$10:$O$1002,'Monthly Actual'!M$7)</f>
        <v>0</v>
      </c>
      <c r="N12" s="221">
        <f>SUMIFS(Transactions!$P$10:$P$1002,Transactions!$R$10:$R$1002,Monthly_Actual[[#This Row],[Category]],Transactions!$O$10:$O$1002,'Monthly Actual'!N$7)</f>
        <v>0</v>
      </c>
      <c r="O12" s="221">
        <f>SUMIFS(Transactions!$P$10:$P$1002,Transactions!$R$10:$R$1002,Monthly_Actual[[#This Row],[Category]],Transactions!$O$10:$O$1002,'Monthly Actual'!O$7)</f>
        <v>0</v>
      </c>
      <c r="P12" s="222">
        <f>SUM(Monthly_Actual[[#This Row],[Column3]:[Column14]])</f>
        <v>0</v>
      </c>
    </row>
    <row r="13" spans="1:18" s="69" customFormat="1" ht="26.1" customHeight="1">
      <c r="B13" s="38" t="s">
        <v>1</v>
      </c>
      <c r="C13" s="39" t="str">
        <f>Summary!C21</f>
        <v>Interest income</v>
      </c>
      <c r="D13" s="221">
        <f>SUMIFS(Transactions!$P$10:$P$1002,Transactions!$R$10:$R$1002,Monthly_Actual[[#This Row],[Category]],Transactions!$O$10:$O$1002,'Monthly Actual'!D$7)</f>
        <v>18000000</v>
      </c>
      <c r="E13" s="221">
        <f>SUMIFS(Transactions!$P$10:$P$1002,Transactions!$R$10:$R$1002,Monthly_Actual[[#This Row],[Category]],Transactions!$O$10:$O$1002,'Monthly Actual'!E$7)</f>
        <v>0</v>
      </c>
      <c r="F13" s="221">
        <f>SUMIFS(Transactions!$P$10:$P$1002,Transactions!$R$10:$R$1002,Monthly_Actual[[#This Row],[Category]],Transactions!$O$10:$O$1002,'Monthly Actual'!F$7)</f>
        <v>0</v>
      </c>
      <c r="G13" s="221">
        <f>SUMIFS(Transactions!$P$10:$P$1002,Transactions!$R$10:$R$1002,Monthly_Actual[[#This Row],[Category]],Transactions!$O$10:$O$1002,'Monthly Actual'!G$7)</f>
        <v>0</v>
      </c>
      <c r="H13" s="221">
        <f>SUMIFS(Transactions!$P$10:$P$1002,Transactions!$R$10:$R$1002,Monthly_Actual[[#This Row],[Category]],Transactions!$O$10:$O$1002,'Monthly Actual'!H$7)</f>
        <v>0</v>
      </c>
      <c r="I13" s="221">
        <f>SUMIFS(Transactions!$P$10:$P$1002,Transactions!$R$10:$R$1002,Monthly_Actual[[#This Row],[Category]],Transactions!$O$10:$O$1002,'Monthly Actual'!I$7)</f>
        <v>0</v>
      </c>
      <c r="J13" s="221">
        <f>SUMIFS(Transactions!$P$10:$P$1002,Transactions!$R$10:$R$1002,Monthly_Actual[[#This Row],[Category]],Transactions!$O$10:$O$1002,'Monthly Actual'!J$7)</f>
        <v>0</v>
      </c>
      <c r="K13" s="221">
        <f>SUMIFS(Transactions!$P$10:$P$1002,Transactions!$R$10:$R$1002,Monthly_Actual[[#This Row],[Category]],Transactions!$O$10:$O$1002,'Monthly Actual'!K$7)</f>
        <v>0</v>
      </c>
      <c r="L13" s="221">
        <f>SUMIFS(Transactions!$P$10:$P$1002,Transactions!$R$10:$R$1002,Monthly_Actual[[#This Row],[Category]],Transactions!$O$10:$O$1002,'Monthly Actual'!L$7)</f>
        <v>0</v>
      </c>
      <c r="M13" s="221">
        <f>SUMIFS(Transactions!$P$10:$P$1002,Transactions!$R$10:$R$1002,Monthly_Actual[[#This Row],[Category]],Transactions!$O$10:$O$1002,'Monthly Actual'!M$7)</f>
        <v>0</v>
      </c>
      <c r="N13" s="221">
        <f>SUMIFS(Transactions!$P$10:$P$1002,Transactions!$R$10:$R$1002,Monthly_Actual[[#This Row],[Category]],Transactions!$O$10:$O$1002,'Monthly Actual'!N$7)</f>
        <v>0</v>
      </c>
      <c r="O13" s="221">
        <f>SUMIFS(Transactions!$P$10:$P$1002,Transactions!$R$10:$R$1002,Monthly_Actual[[#This Row],[Category]],Transactions!$O$10:$O$1002,'Monthly Actual'!O$7)</f>
        <v>0</v>
      </c>
      <c r="P13" s="222">
        <f>SUM(Monthly_Actual[[#This Row],[Column3]:[Column14]])</f>
        <v>18000000</v>
      </c>
    </row>
    <row r="14" spans="1:18" s="69" customFormat="1" ht="26.1" customHeight="1">
      <c r="B14" s="38" t="s">
        <v>1</v>
      </c>
      <c r="C14" s="39" t="str">
        <f>Summary!C22</f>
        <v>Tax refund</v>
      </c>
      <c r="D14" s="221">
        <f>SUMIFS(Transactions!$P$10:$P$1002,Transactions!$R$10:$R$1002,Monthly_Actual[[#This Row],[Category]],Transactions!$O$10:$O$1002,'Monthly Actual'!D$7)</f>
        <v>0</v>
      </c>
      <c r="E14" s="221">
        <f>SUMIFS(Transactions!$P$10:$P$1002,Transactions!$R$10:$R$1002,Monthly_Actual[[#This Row],[Category]],Transactions!$O$10:$O$1002,'Monthly Actual'!E$7)</f>
        <v>0</v>
      </c>
      <c r="F14" s="221">
        <f>SUMIFS(Transactions!$P$10:$P$1002,Transactions!$R$10:$R$1002,Monthly_Actual[[#This Row],[Category]],Transactions!$O$10:$O$1002,'Monthly Actual'!F$7)</f>
        <v>0</v>
      </c>
      <c r="G14" s="221">
        <f>SUMIFS(Transactions!$P$10:$P$1002,Transactions!$R$10:$R$1002,Monthly_Actual[[#This Row],[Category]],Transactions!$O$10:$O$1002,'Monthly Actual'!G$7)</f>
        <v>0</v>
      </c>
      <c r="H14" s="221">
        <f>SUMIFS(Transactions!$P$10:$P$1002,Transactions!$R$10:$R$1002,Monthly_Actual[[#This Row],[Category]],Transactions!$O$10:$O$1002,'Monthly Actual'!H$7)</f>
        <v>0</v>
      </c>
      <c r="I14" s="221">
        <f>SUMIFS(Transactions!$P$10:$P$1002,Transactions!$R$10:$R$1002,Monthly_Actual[[#This Row],[Category]],Transactions!$O$10:$O$1002,'Monthly Actual'!I$7)</f>
        <v>0</v>
      </c>
      <c r="J14" s="221">
        <f>SUMIFS(Transactions!$P$10:$P$1002,Transactions!$R$10:$R$1002,Monthly_Actual[[#This Row],[Category]],Transactions!$O$10:$O$1002,'Monthly Actual'!J$7)</f>
        <v>0</v>
      </c>
      <c r="K14" s="221">
        <f>SUMIFS(Transactions!$P$10:$P$1002,Transactions!$R$10:$R$1002,Monthly_Actual[[#This Row],[Category]],Transactions!$O$10:$O$1002,'Monthly Actual'!K$7)</f>
        <v>0</v>
      </c>
      <c r="L14" s="221">
        <f>SUMIFS(Transactions!$P$10:$P$1002,Transactions!$R$10:$R$1002,Monthly_Actual[[#This Row],[Category]],Transactions!$O$10:$O$1002,'Monthly Actual'!L$7)</f>
        <v>0</v>
      </c>
      <c r="M14" s="221">
        <f>SUMIFS(Transactions!$P$10:$P$1002,Transactions!$R$10:$R$1002,Monthly_Actual[[#This Row],[Category]],Transactions!$O$10:$O$1002,'Monthly Actual'!M$7)</f>
        <v>0</v>
      </c>
      <c r="N14" s="221">
        <f>SUMIFS(Transactions!$P$10:$P$1002,Transactions!$R$10:$R$1002,Monthly_Actual[[#This Row],[Category]],Transactions!$O$10:$O$1002,'Monthly Actual'!N$7)</f>
        <v>0</v>
      </c>
      <c r="O14" s="221">
        <f>SUMIFS(Transactions!$P$10:$P$1002,Transactions!$R$10:$R$1002,Monthly_Actual[[#This Row],[Category]],Transactions!$O$10:$O$1002,'Monthly Actual'!O$7)</f>
        <v>0</v>
      </c>
      <c r="P14" s="222">
        <f>SUM(Monthly_Actual[[#This Row],[Column3]:[Column14]])</f>
        <v>0</v>
      </c>
    </row>
    <row r="15" spans="1:18" s="69" customFormat="1" ht="26.1" customHeight="1">
      <c r="B15" s="38" t="s">
        <v>1</v>
      </c>
      <c r="C15" s="39" t="str">
        <f>Summary!C23</f>
        <v>Receivable lending</v>
      </c>
      <c r="D15" s="221">
        <f>SUMIFS(Transactions!$P$10:$P$1002,Transactions!$R$10:$R$1002,Monthly_Actual[[#This Row],[Category]],Transactions!$O$10:$O$1002,'Monthly Actual'!D$7)</f>
        <v>0</v>
      </c>
      <c r="E15" s="221">
        <f>SUMIFS(Transactions!$P$10:$P$1002,Transactions!$R$10:$R$1002,Monthly_Actual[[#This Row],[Category]],Transactions!$O$10:$O$1002,'Monthly Actual'!E$7)</f>
        <v>0</v>
      </c>
      <c r="F15" s="221">
        <f>SUMIFS(Transactions!$P$10:$P$1002,Transactions!$R$10:$R$1002,Monthly_Actual[[#This Row],[Category]],Transactions!$O$10:$O$1002,'Monthly Actual'!F$7)</f>
        <v>0</v>
      </c>
      <c r="G15" s="221">
        <f>SUMIFS(Transactions!$P$10:$P$1002,Transactions!$R$10:$R$1002,Monthly_Actual[[#This Row],[Category]],Transactions!$O$10:$O$1002,'Monthly Actual'!G$7)</f>
        <v>0</v>
      </c>
      <c r="H15" s="221">
        <f>SUMIFS(Transactions!$P$10:$P$1002,Transactions!$R$10:$R$1002,Monthly_Actual[[#This Row],[Category]],Transactions!$O$10:$O$1002,'Monthly Actual'!H$7)</f>
        <v>0</v>
      </c>
      <c r="I15" s="221">
        <f>SUMIFS(Transactions!$P$10:$P$1002,Transactions!$R$10:$R$1002,Monthly_Actual[[#This Row],[Category]],Transactions!$O$10:$O$1002,'Monthly Actual'!I$7)</f>
        <v>0</v>
      </c>
      <c r="J15" s="221">
        <f>SUMIFS(Transactions!$P$10:$P$1002,Transactions!$R$10:$R$1002,Monthly_Actual[[#This Row],[Category]],Transactions!$O$10:$O$1002,'Monthly Actual'!J$7)</f>
        <v>0</v>
      </c>
      <c r="K15" s="221">
        <f>SUMIFS(Transactions!$P$10:$P$1002,Transactions!$R$10:$R$1002,Monthly_Actual[[#This Row],[Category]],Transactions!$O$10:$O$1002,'Monthly Actual'!K$7)</f>
        <v>0</v>
      </c>
      <c r="L15" s="221">
        <f>SUMIFS(Transactions!$P$10:$P$1002,Transactions!$R$10:$R$1002,Monthly_Actual[[#This Row],[Category]],Transactions!$O$10:$O$1002,'Monthly Actual'!L$7)</f>
        <v>0</v>
      </c>
      <c r="M15" s="221">
        <f>SUMIFS(Transactions!$P$10:$P$1002,Transactions!$R$10:$R$1002,Monthly_Actual[[#This Row],[Category]],Transactions!$O$10:$O$1002,'Monthly Actual'!M$7)</f>
        <v>0</v>
      </c>
      <c r="N15" s="221">
        <f>SUMIFS(Transactions!$P$10:$P$1002,Transactions!$R$10:$R$1002,Monthly_Actual[[#This Row],[Category]],Transactions!$O$10:$O$1002,'Monthly Actual'!N$7)</f>
        <v>0</v>
      </c>
      <c r="O15" s="221">
        <f>SUMIFS(Transactions!$P$10:$P$1002,Transactions!$R$10:$R$1002,Monthly_Actual[[#This Row],[Category]],Transactions!$O$10:$O$1002,'Monthly Actual'!O$7)</f>
        <v>0</v>
      </c>
      <c r="P15" s="222">
        <f>SUM(Monthly_Actual[[#This Row],[Column3]:[Column14]])</f>
        <v>0</v>
      </c>
    </row>
    <row r="16" spans="1:18" s="69" customFormat="1" ht="26.1" customHeight="1">
      <c r="B16" s="38" t="s">
        <v>1</v>
      </c>
      <c r="C16" s="39" t="str">
        <f>Summary!C24</f>
        <v>Other income</v>
      </c>
      <c r="D16" s="221">
        <f>SUMIFS(Transactions!$P$10:$P$1002,Transactions!$R$10:$R$1002,Monthly_Actual[[#This Row],[Category]],Transactions!$O$10:$O$1002,'Monthly Actual'!D$7)</f>
        <v>0</v>
      </c>
      <c r="E16" s="221">
        <f>SUMIFS(Transactions!$P$10:$P$1002,Transactions!$R$10:$R$1002,Monthly_Actual[[#This Row],[Category]],Transactions!$O$10:$O$1002,'Monthly Actual'!E$7)</f>
        <v>0</v>
      </c>
      <c r="F16" s="221">
        <f>SUMIFS(Transactions!$P$10:$P$1002,Transactions!$R$10:$R$1002,Monthly_Actual[[#This Row],[Category]],Transactions!$O$10:$O$1002,'Monthly Actual'!F$7)</f>
        <v>0</v>
      </c>
      <c r="G16" s="221">
        <f>SUMIFS(Transactions!$P$10:$P$1002,Transactions!$R$10:$R$1002,Monthly_Actual[[#This Row],[Category]],Transactions!$O$10:$O$1002,'Monthly Actual'!G$7)</f>
        <v>0</v>
      </c>
      <c r="H16" s="221">
        <f>SUMIFS(Transactions!$P$10:$P$1002,Transactions!$R$10:$R$1002,Monthly_Actual[[#This Row],[Category]],Transactions!$O$10:$O$1002,'Monthly Actual'!H$7)</f>
        <v>0</v>
      </c>
      <c r="I16" s="221">
        <f>SUMIFS(Transactions!$P$10:$P$1002,Transactions!$R$10:$R$1002,Monthly_Actual[[#This Row],[Category]],Transactions!$O$10:$O$1002,'Monthly Actual'!I$7)</f>
        <v>0</v>
      </c>
      <c r="J16" s="221">
        <f>SUMIFS(Transactions!$P$10:$P$1002,Transactions!$R$10:$R$1002,Monthly_Actual[[#This Row],[Category]],Transactions!$O$10:$O$1002,'Monthly Actual'!J$7)</f>
        <v>0</v>
      </c>
      <c r="K16" s="221">
        <f>SUMIFS(Transactions!$P$10:$P$1002,Transactions!$R$10:$R$1002,Monthly_Actual[[#This Row],[Category]],Transactions!$O$10:$O$1002,'Monthly Actual'!K$7)</f>
        <v>0</v>
      </c>
      <c r="L16" s="221">
        <f>SUMIFS(Transactions!$P$10:$P$1002,Transactions!$R$10:$R$1002,Monthly_Actual[[#This Row],[Category]],Transactions!$O$10:$O$1002,'Monthly Actual'!L$7)</f>
        <v>0</v>
      </c>
      <c r="M16" s="221">
        <f>SUMIFS(Transactions!$P$10:$P$1002,Transactions!$R$10:$R$1002,Monthly_Actual[[#This Row],[Category]],Transactions!$O$10:$O$1002,'Monthly Actual'!M$7)</f>
        <v>0</v>
      </c>
      <c r="N16" s="221">
        <f>SUMIFS(Transactions!$P$10:$P$1002,Transactions!$R$10:$R$1002,Monthly_Actual[[#This Row],[Category]],Transactions!$O$10:$O$1002,'Monthly Actual'!N$7)</f>
        <v>0</v>
      </c>
      <c r="O16" s="221">
        <f>SUMIFS(Transactions!$P$10:$P$1002,Transactions!$R$10:$R$1002,Monthly_Actual[[#This Row],[Category]],Transactions!$O$10:$O$1002,'Monthly Actual'!O$7)</f>
        <v>0</v>
      </c>
      <c r="P16" s="222">
        <f>SUM(Monthly_Actual[[#This Row],[Column3]:[Column14]])</f>
        <v>0</v>
      </c>
    </row>
    <row r="17" spans="2:17" s="69" customFormat="1" ht="26.1" customHeight="1">
      <c r="B17" s="38" t="s">
        <v>1</v>
      </c>
      <c r="C17" s="39" t="str">
        <f>Summary!C25</f>
        <v>Investment income</v>
      </c>
      <c r="D17" s="221">
        <f>SUMIFS(Transactions!$P$10:$P$1002,Transactions!$R$10:$R$1002,Monthly_Actual[[#This Row],[Category]],Transactions!$O$10:$O$1002,'Monthly Actual'!D$7)</f>
        <v>0</v>
      </c>
      <c r="E17" s="221">
        <f>SUMIFS(Transactions!$P$10:$P$1002,Transactions!$R$10:$R$1002,Monthly_Actual[[#This Row],[Category]],Transactions!$O$10:$O$1002,'Monthly Actual'!E$7)</f>
        <v>0</v>
      </c>
      <c r="F17" s="221">
        <f>SUMIFS(Transactions!$P$10:$P$1002,Transactions!$R$10:$R$1002,Monthly_Actual[[#This Row],[Category]],Transactions!$O$10:$O$1002,'Monthly Actual'!F$7)</f>
        <v>0</v>
      </c>
      <c r="G17" s="221">
        <f>SUMIFS(Transactions!$P$10:$P$1002,Transactions!$R$10:$R$1002,Monthly_Actual[[#This Row],[Category]],Transactions!$O$10:$O$1002,'Monthly Actual'!G$7)</f>
        <v>0</v>
      </c>
      <c r="H17" s="221">
        <f>SUMIFS(Transactions!$P$10:$P$1002,Transactions!$R$10:$R$1002,Monthly_Actual[[#This Row],[Category]],Transactions!$O$10:$O$1002,'Monthly Actual'!H$7)</f>
        <v>0</v>
      </c>
      <c r="I17" s="221">
        <f>SUMIFS(Transactions!$P$10:$P$1002,Transactions!$R$10:$R$1002,Monthly_Actual[[#This Row],[Category]],Transactions!$O$10:$O$1002,'Monthly Actual'!I$7)</f>
        <v>0</v>
      </c>
      <c r="J17" s="221">
        <f>SUMIFS(Transactions!$P$10:$P$1002,Transactions!$R$10:$R$1002,Monthly_Actual[[#This Row],[Category]],Transactions!$O$10:$O$1002,'Monthly Actual'!J$7)</f>
        <v>0</v>
      </c>
      <c r="K17" s="221">
        <f>SUMIFS(Transactions!$P$10:$P$1002,Transactions!$R$10:$R$1002,Monthly_Actual[[#This Row],[Category]],Transactions!$O$10:$O$1002,'Monthly Actual'!K$7)</f>
        <v>0</v>
      </c>
      <c r="L17" s="221">
        <f>SUMIFS(Transactions!$P$10:$P$1002,Transactions!$R$10:$R$1002,Monthly_Actual[[#This Row],[Category]],Transactions!$O$10:$O$1002,'Monthly Actual'!L$7)</f>
        <v>0</v>
      </c>
      <c r="M17" s="221">
        <f>SUMIFS(Transactions!$P$10:$P$1002,Transactions!$R$10:$R$1002,Monthly_Actual[[#This Row],[Category]],Transactions!$O$10:$O$1002,'Monthly Actual'!M$7)</f>
        <v>0</v>
      </c>
      <c r="N17" s="221">
        <f>SUMIFS(Transactions!$P$10:$P$1002,Transactions!$R$10:$R$1002,Monthly_Actual[[#This Row],[Category]],Transactions!$O$10:$O$1002,'Monthly Actual'!N$7)</f>
        <v>0</v>
      </c>
      <c r="O17" s="221">
        <f>SUMIFS(Transactions!$P$10:$P$1002,Transactions!$R$10:$R$1002,Monthly_Actual[[#This Row],[Category]],Transactions!$O$10:$O$1002,'Monthly Actual'!O$7)</f>
        <v>0</v>
      </c>
      <c r="P17" s="222">
        <f>SUM(Monthly_Actual[[#This Row],[Column3]:[Column14]])</f>
        <v>0</v>
      </c>
    </row>
    <row r="18" spans="2:17" s="69" customFormat="1" ht="26.1" customHeight="1">
      <c r="B18" s="38" t="s">
        <v>1</v>
      </c>
      <c r="C18" s="39" t="str">
        <f>Summary!C26</f>
        <v>Income category 2</v>
      </c>
      <c r="D18" s="221">
        <f>SUMIFS(Transactions!$P$10:$P$1002,Transactions!$R$10:$R$1002,Monthly_Actual[[#This Row],[Category]],Transactions!$O$10:$O$1002,'Monthly Actual'!D$7)</f>
        <v>0</v>
      </c>
      <c r="E18" s="221">
        <f>SUMIFS(Transactions!$P$10:$P$1002,Transactions!$R$10:$R$1002,Monthly_Actual[[#This Row],[Category]],Transactions!$O$10:$O$1002,'Monthly Actual'!E$7)</f>
        <v>0</v>
      </c>
      <c r="F18" s="221">
        <f>SUMIFS(Transactions!$P$10:$P$1002,Transactions!$R$10:$R$1002,Monthly_Actual[[#This Row],[Category]],Transactions!$O$10:$O$1002,'Monthly Actual'!F$7)</f>
        <v>0</v>
      </c>
      <c r="G18" s="221">
        <f>SUMIFS(Transactions!$P$10:$P$1002,Transactions!$R$10:$R$1002,Monthly_Actual[[#This Row],[Category]],Transactions!$O$10:$O$1002,'Monthly Actual'!G$7)</f>
        <v>0</v>
      </c>
      <c r="H18" s="221">
        <f>SUMIFS(Transactions!$P$10:$P$1002,Transactions!$R$10:$R$1002,Monthly_Actual[[#This Row],[Category]],Transactions!$O$10:$O$1002,'Monthly Actual'!H$7)</f>
        <v>0</v>
      </c>
      <c r="I18" s="221">
        <f>SUMIFS(Transactions!$P$10:$P$1002,Transactions!$R$10:$R$1002,Monthly_Actual[[#This Row],[Category]],Transactions!$O$10:$O$1002,'Monthly Actual'!I$7)</f>
        <v>0</v>
      </c>
      <c r="J18" s="221">
        <f>SUMIFS(Transactions!$P$10:$P$1002,Transactions!$R$10:$R$1002,Monthly_Actual[[#This Row],[Category]],Transactions!$O$10:$O$1002,'Monthly Actual'!J$7)</f>
        <v>0</v>
      </c>
      <c r="K18" s="221">
        <f>SUMIFS(Transactions!$P$10:$P$1002,Transactions!$R$10:$R$1002,Monthly_Actual[[#This Row],[Category]],Transactions!$O$10:$O$1002,'Monthly Actual'!K$7)</f>
        <v>0</v>
      </c>
      <c r="L18" s="221">
        <f>SUMIFS(Transactions!$P$10:$P$1002,Transactions!$R$10:$R$1002,Monthly_Actual[[#This Row],[Category]],Transactions!$O$10:$O$1002,'Monthly Actual'!L$7)</f>
        <v>0</v>
      </c>
      <c r="M18" s="221">
        <f>SUMIFS(Transactions!$P$10:$P$1002,Transactions!$R$10:$R$1002,Monthly_Actual[[#This Row],[Category]],Transactions!$O$10:$O$1002,'Monthly Actual'!M$7)</f>
        <v>0</v>
      </c>
      <c r="N18" s="221">
        <f>SUMIFS(Transactions!$P$10:$P$1002,Transactions!$R$10:$R$1002,Monthly_Actual[[#This Row],[Category]],Transactions!$O$10:$O$1002,'Monthly Actual'!N$7)</f>
        <v>0</v>
      </c>
      <c r="O18" s="221">
        <f>SUMIFS(Transactions!$P$10:$P$1002,Transactions!$R$10:$R$1002,Monthly_Actual[[#This Row],[Category]],Transactions!$O$10:$O$1002,'Monthly Actual'!O$7)</f>
        <v>0</v>
      </c>
      <c r="P18" s="222">
        <f>SUM(Monthly_Actual[[#This Row],[Column3]:[Column14]])</f>
        <v>0</v>
      </c>
    </row>
    <row r="19" spans="2:17" s="69" customFormat="1" ht="26.1" customHeight="1">
      <c r="B19" s="45" t="s">
        <v>0</v>
      </c>
      <c r="C19" s="46" t="str">
        <f>Summary!C27</f>
        <v>Grosceries &amp; Other Supplies</v>
      </c>
      <c r="D19" s="223">
        <f>SUMIFS(Transactions!$D$10:$D$1002,Transactions!$F$10:$F$1002,Monthly_Actual[[#This Row],[Category]],Transactions!$C$10:$C$1002,'Monthly Actual'!D$7)</f>
        <v>4600000</v>
      </c>
      <c r="E19" s="223">
        <f>SUMIFS(Transactions!$D$10:$D$1002,Transactions!$F$10:$F$1002,Monthly_Actual[[#This Row],[Category]],Transactions!$C$10:$C$1002,'Monthly Actual'!E$7)</f>
        <v>0</v>
      </c>
      <c r="F19" s="223">
        <f>SUMIFS(Transactions!$D$10:$D$1002,Transactions!$F$10:$F$1002,Monthly_Actual[[#This Row],[Category]],Transactions!$C$10:$C$1002,'Monthly Actual'!F$7)</f>
        <v>0</v>
      </c>
      <c r="G19" s="223">
        <f>SUMIFS(Transactions!$D$10:$D$1002,Transactions!$F$10:$F$1002,Monthly_Actual[[#This Row],[Category]],Transactions!$C$10:$C$1002,'Monthly Actual'!G$7)</f>
        <v>0</v>
      </c>
      <c r="H19" s="223">
        <f>SUMIFS(Transactions!$D$10:$D$1002,Transactions!$F$10:$F$1002,Monthly_Actual[[#This Row],[Category]],Transactions!$C$10:$C$1002,'Monthly Actual'!H$7)</f>
        <v>0</v>
      </c>
      <c r="I19" s="223">
        <f>SUMIFS(Transactions!$D$10:$D$1002,Transactions!$F$10:$F$1002,Monthly_Actual[[#This Row],[Category]],Transactions!$C$10:$C$1002,'Monthly Actual'!I$7)</f>
        <v>0</v>
      </c>
      <c r="J19" s="223">
        <f>SUMIFS(Transactions!$D$10:$D$1002,Transactions!$F$10:$F$1002,Monthly_Actual[[#This Row],[Category]],Transactions!$C$10:$C$1002,'Monthly Actual'!J$7)</f>
        <v>0</v>
      </c>
      <c r="K19" s="223">
        <f>SUMIFS(Transactions!$D$10:$D$1002,Transactions!$F$10:$F$1002,Monthly_Actual[[#This Row],[Category]],Transactions!$C$10:$C$1002,'Monthly Actual'!K$7)</f>
        <v>0</v>
      </c>
      <c r="L19" s="223">
        <f>SUMIFS(Transactions!$D$10:$D$1002,Transactions!$F$10:$F$1002,Monthly_Actual[[#This Row],[Category]],Transactions!$C$10:$C$1002,'Monthly Actual'!L$7)</f>
        <v>0</v>
      </c>
      <c r="M19" s="223">
        <f>SUMIFS(Transactions!$D$10:$D$1002,Transactions!$F$10:$F$1002,Monthly_Actual[[#This Row],[Category]],Transactions!$C$10:$C$1002,'Monthly Actual'!M$7)</f>
        <v>0</v>
      </c>
      <c r="N19" s="223">
        <f>SUMIFS(Transactions!$D$10:$D$1002,Transactions!$F$10:$F$1002,Monthly_Actual[[#This Row],[Category]],Transactions!$C$10:$C$1002,'Monthly Actual'!N$7)</f>
        <v>0</v>
      </c>
      <c r="O19" s="223">
        <f>SUMIFS(Transactions!$D$10:$D$1002,Transactions!$F$10:$F$1002,Monthly_Actual[[#This Row],[Category]],Transactions!$C$10:$C$1002,'Monthly Actual'!O$7)</f>
        <v>0</v>
      </c>
      <c r="P19" s="224">
        <f>SUM(Monthly_Actual[[#This Row],[Column3]:[Column14]])</f>
        <v>4600000</v>
      </c>
    </row>
    <row r="20" spans="2:17" s="69" customFormat="1" ht="26.1" customHeight="1">
      <c r="B20" s="47" t="s">
        <v>0</v>
      </c>
      <c r="C20" s="48" t="str">
        <f>Summary!C28</f>
        <v>Transportation</v>
      </c>
      <c r="D20" s="225">
        <f>SUMIFS(Transactions!$D$10:$D$1002,Transactions!$F$10:$F$1002,Monthly_Actual[[#This Row],[Category]],Transactions!$C$10:$C$1002,'Monthly Actual'!D$7)</f>
        <v>200000</v>
      </c>
      <c r="E20" s="225">
        <f>SUMIFS(Transactions!$D$10:$D$1002,Transactions!$F$10:$F$1002,Monthly_Actual[[#This Row],[Category]],Transactions!$C$10:$C$1002,'Monthly Actual'!E$7)</f>
        <v>0</v>
      </c>
      <c r="F20" s="225">
        <f>SUMIFS(Transactions!$D$10:$D$1002,Transactions!$F$10:$F$1002,Monthly_Actual[[#This Row],[Category]],Transactions!$C$10:$C$1002,'Monthly Actual'!F$7)</f>
        <v>0</v>
      </c>
      <c r="G20" s="225">
        <f>SUMIFS(Transactions!$D$10:$D$1002,Transactions!$F$10:$F$1002,Monthly_Actual[[#This Row],[Category]],Transactions!$C$10:$C$1002,'Monthly Actual'!G$7)</f>
        <v>0</v>
      </c>
      <c r="H20" s="225">
        <f>SUMIFS(Transactions!$D$10:$D$1002,Transactions!$F$10:$F$1002,Monthly_Actual[[#This Row],[Category]],Transactions!$C$10:$C$1002,'Monthly Actual'!H$7)</f>
        <v>0</v>
      </c>
      <c r="I20" s="225">
        <f>SUMIFS(Transactions!$D$10:$D$1002,Transactions!$F$10:$F$1002,Monthly_Actual[[#This Row],[Category]],Transactions!$C$10:$C$1002,'Monthly Actual'!I$7)</f>
        <v>0</v>
      </c>
      <c r="J20" s="225">
        <f>SUMIFS(Transactions!$D$10:$D$1002,Transactions!$F$10:$F$1002,Monthly_Actual[[#This Row],[Category]],Transactions!$C$10:$C$1002,'Monthly Actual'!J$7)</f>
        <v>0</v>
      </c>
      <c r="K20" s="225">
        <f>SUMIFS(Transactions!$D$10:$D$1002,Transactions!$F$10:$F$1002,Monthly_Actual[[#This Row],[Category]],Transactions!$C$10:$C$1002,'Monthly Actual'!K$7)</f>
        <v>0</v>
      </c>
      <c r="L20" s="225">
        <f>SUMIFS(Transactions!$D$10:$D$1002,Transactions!$F$10:$F$1002,Monthly_Actual[[#This Row],[Category]],Transactions!$C$10:$C$1002,'Monthly Actual'!L$7)</f>
        <v>0</v>
      </c>
      <c r="M20" s="225">
        <f>SUMIFS(Transactions!$D$10:$D$1002,Transactions!$F$10:$F$1002,Monthly_Actual[[#This Row],[Category]],Transactions!$C$10:$C$1002,'Monthly Actual'!M$7)</f>
        <v>0</v>
      </c>
      <c r="N20" s="225">
        <f>SUMIFS(Transactions!$D$10:$D$1002,Transactions!$F$10:$F$1002,Monthly_Actual[[#This Row],[Category]],Transactions!$C$10:$C$1002,'Monthly Actual'!N$7)</f>
        <v>0</v>
      </c>
      <c r="O20" s="225">
        <f>SUMIFS(Transactions!$D$10:$D$1002,Transactions!$F$10:$F$1002,Monthly_Actual[[#This Row],[Category]],Transactions!$C$10:$C$1002,'Monthly Actual'!O$7)</f>
        <v>0</v>
      </c>
      <c r="P20" s="226">
        <f>SUM(Monthly_Actual[[#This Row],[Column3]:[Column14]])</f>
        <v>200000</v>
      </c>
    </row>
    <row r="21" spans="2:17" s="69" customFormat="1" ht="26.1" customHeight="1">
      <c r="B21" s="45" t="s">
        <v>0</v>
      </c>
      <c r="C21" s="46" t="str">
        <f>Summary!C29</f>
        <v>Utilities</v>
      </c>
      <c r="D21" s="223">
        <f>SUMIFS(Transactions!$D$10:$D$1002,Transactions!$F$10:$F$1002,Monthly_Actual[[#This Row],[Category]],Transactions!$C$10:$C$1002,'Monthly Actual'!D$7)</f>
        <v>800000</v>
      </c>
      <c r="E21" s="223">
        <f>SUMIFS(Transactions!$D$10:$D$1002,Transactions!$F$10:$F$1002,Monthly_Actual[[#This Row],[Category]],Transactions!$C$10:$C$1002,'Monthly Actual'!E$7)</f>
        <v>0</v>
      </c>
      <c r="F21" s="223">
        <f>SUMIFS(Transactions!$D$10:$D$1002,Transactions!$F$10:$F$1002,Monthly_Actual[[#This Row],[Category]],Transactions!$C$10:$C$1002,'Monthly Actual'!F$7)</f>
        <v>0</v>
      </c>
      <c r="G21" s="223">
        <f>SUMIFS(Transactions!$D$10:$D$1002,Transactions!$F$10:$F$1002,Monthly_Actual[[#This Row],[Category]],Transactions!$C$10:$C$1002,'Monthly Actual'!G$7)</f>
        <v>0</v>
      </c>
      <c r="H21" s="223">
        <f>SUMIFS(Transactions!$D$10:$D$1002,Transactions!$F$10:$F$1002,Monthly_Actual[[#This Row],[Category]],Transactions!$C$10:$C$1002,'Monthly Actual'!H$7)</f>
        <v>0</v>
      </c>
      <c r="I21" s="223">
        <f>SUMIFS(Transactions!$D$10:$D$1002,Transactions!$F$10:$F$1002,Monthly_Actual[[#This Row],[Category]],Transactions!$C$10:$C$1002,'Monthly Actual'!I$7)</f>
        <v>0</v>
      </c>
      <c r="J21" s="223">
        <f>SUMIFS(Transactions!$D$10:$D$1002,Transactions!$F$10:$F$1002,Monthly_Actual[[#This Row],[Category]],Transactions!$C$10:$C$1002,'Monthly Actual'!J$7)</f>
        <v>0</v>
      </c>
      <c r="K21" s="223">
        <f>SUMIFS(Transactions!$D$10:$D$1002,Transactions!$F$10:$F$1002,Monthly_Actual[[#This Row],[Category]],Transactions!$C$10:$C$1002,'Monthly Actual'!K$7)</f>
        <v>0</v>
      </c>
      <c r="L21" s="223">
        <f>SUMIFS(Transactions!$D$10:$D$1002,Transactions!$F$10:$F$1002,Monthly_Actual[[#This Row],[Category]],Transactions!$C$10:$C$1002,'Monthly Actual'!L$7)</f>
        <v>0</v>
      </c>
      <c r="M21" s="223">
        <f>SUMIFS(Transactions!$D$10:$D$1002,Transactions!$F$10:$F$1002,Monthly_Actual[[#This Row],[Category]],Transactions!$C$10:$C$1002,'Monthly Actual'!M$7)</f>
        <v>0</v>
      </c>
      <c r="N21" s="223">
        <f>SUMIFS(Transactions!$D$10:$D$1002,Transactions!$F$10:$F$1002,Monthly_Actual[[#This Row],[Category]],Transactions!$C$10:$C$1002,'Monthly Actual'!N$7)</f>
        <v>0</v>
      </c>
      <c r="O21" s="223">
        <f>SUMIFS(Transactions!$D$10:$D$1002,Transactions!$F$10:$F$1002,Monthly_Actual[[#This Row],[Category]],Transactions!$C$10:$C$1002,'Monthly Actual'!O$7)</f>
        <v>0</v>
      </c>
      <c r="P21" s="224">
        <f>SUM(Monthly_Actual[[#This Row],[Column3]:[Column14]])</f>
        <v>800000</v>
      </c>
    </row>
    <row r="22" spans="2:17" s="69" customFormat="1" ht="26.1" customHeight="1">
      <c r="B22" s="47" t="s">
        <v>0</v>
      </c>
      <c r="C22" s="48" t="str">
        <f>Summary!C30</f>
        <v>Health expenses</v>
      </c>
      <c r="D22" s="225">
        <f>SUMIFS(Transactions!$D$10:$D$1002,Transactions!$F$10:$F$1002,Monthly_Actual[[#This Row],[Category]],Transactions!$C$10:$C$1002,'Monthly Actual'!D$7)</f>
        <v>1000000</v>
      </c>
      <c r="E22" s="225">
        <f>SUMIFS(Transactions!$D$10:$D$1002,Transactions!$F$10:$F$1002,Monthly_Actual[[#This Row],[Category]],Transactions!$C$10:$C$1002,'Monthly Actual'!E$7)</f>
        <v>0</v>
      </c>
      <c r="F22" s="225">
        <f>SUMIFS(Transactions!$D$10:$D$1002,Transactions!$F$10:$F$1002,Monthly_Actual[[#This Row],[Category]],Transactions!$C$10:$C$1002,'Monthly Actual'!F$7)</f>
        <v>0</v>
      </c>
      <c r="G22" s="225">
        <f>SUMIFS(Transactions!$D$10:$D$1002,Transactions!$F$10:$F$1002,Monthly_Actual[[#This Row],[Category]],Transactions!$C$10:$C$1002,'Monthly Actual'!G$7)</f>
        <v>0</v>
      </c>
      <c r="H22" s="225">
        <f>SUMIFS(Transactions!$D$10:$D$1002,Transactions!$F$10:$F$1002,Monthly_Actual[[#This Row],[Category]],Transactions!$C$10:$C$1002,'Monthly Actual'!H$7)</f>
        <v>0</v>
      </c>
      <c r="I22" s="225">
        <f>SUMIFS(Transactions!$D$10:$D$1002,Transactions!$F$10:$F$1002,Monthly_Actual[[#This Row],[Category]],Transactions!$C$10:$C$1002,'Monthly Actual'!I$7)</f>
        <v>0</v>
      </c>
      <c r="J22" s="225">
        <f>SUMIFS(Transactions!$D$10:$D$1002,Transactions!$F$10:$F$1002,Monthly_Actual[[#This Row],[Category]],Transactions!$C$10:$C$1002,'Monthly Actual'!J$7)</f>
        <v>0</v>
      </c>
      <c r="K22" s="225">
        <f>SUMIFS(Transactions!$D$10:$D$1002,Transactions!$F$10:$F$1002,Monthly_Actual[[#This Row],[Category]],Transactions!$C$10:$C$1002,'Monthly Actual'!K$7)</f>
        <v>0</v>
      </c>
      <c r="L22" s="225">
        <f>SUMIFS(Transactions!$D$10:$D$1002,Transactions!$F$10:$F$1002,Monthly_Actual[[#This Row],[Category]],Transactions!$C$10:$C$1002,'Monthly Actual'!L$7)</f>
        <v>0</v>
      </c>
      <c r="M22" s="225">
        <f>SUMIFS(Transactions!$D$10:$D$1002,Transactions!$F$10:$F$1002,Monthly_Actual[[#This Row],[Category]],Transactions!$C$10:$C$1002,'Monthly Actual'!M$7)</f>
        <v>0</v>
      </c>
      <c r="N22" s="225">
        <f>SUMIFS(Transactions!$D$10:$D$1002,Transactions!$F$10:$F$1002,Monthly_Actual[[#This Row],[Category]],Transactions!$C$10:$C$1002,'Monthly Actual'!N$7)</f>
        <v>0</v>
      </c>
      <c r="O22" s="225">
        <f>SUMIFS(Transactions!$D$10:$D$1002,Transactions!$F$10:$F$1002,Monthly_Actual[[#This Row],[Category]],Transactions!$C$10:$C$1002,'Monthly Actual'!O$7)</f>
        <v>0</v>
      </c>
      <c r="P22" s="226">
        <f>SUM(Monthly_Actual[[#This Row],[Column3]:[Column14]])</f>
        <v>1000000</v>
      </c>
    </row>
    <row r="23" spans="2:17" s="69" customFormat="1" ht="26.1" customHeight="1">
      <c r="B23" s="45" t="s">
        <v>0</v>
      </c>
      <c r="C23" s="46" t="str">
        <f>Summary!C31</f>
        <v>Personal</v>
      </c>
      <c r="D23" s="223">
        <f>SUMIFS(Transactions!$D$10:$D$1002,Transactions!$F$10:$F$1002,Monthly_Actual[[#This Row],[Category]],Transactions!$C$10:$C$1002,'Monthly Actual'!D$7)</f>
        <v>400000</v>
      </c>
      <c r="E23" s="223">
        <f>SUMIFS(Transactions!$D$10:$D$1002,Transactions!$F$10:$F$1002,Monthly_Actual[[#This Row],[Category]],Transactions!$C$10:$C$1002,'Monthly Actual'!E$7)</f>
        <v>0</v>
      </c>
      <c r="F23" s="223">
        <f>SUMIFS(Transactions!$D$10:$D$1002,Transactions!$F$10:$F$1002,Monthly_Actual[[#This Row],[Category]],Transactions!$C$10:$C$1002,'Monthly Actual'!F$7)</f>
        <v>0</v>
      </c>
      <c r="G23" s="223">
        <f>SUMIFS(Transactions!$D$10:$D$1002,Transactions!$F$10:$F$1002,Monthly_Actual[[#This Row],[Category]],Transactions!$C$10:$C$1002,'Monthly Actual'!G$7)</f>
        <v>0</v>
      </c>
      <c r="H23" s="223">
        <f>SUMIFS(Transactions!$D$10:$D$1002,Transactions!$F$10:$F$1002,Monthly_Actual[[#This Row],[Category]],Transactions!$C$10:$C$1002,'Monthly Actual'!H$7)</f>
        <v>0</v>
      </c>
      <c r="I23" s="223">
        <f>SUMIFS(Transactions!$D$10:$D$1002,Transactions!$F$10:$F$1002,Monthly_Actual[[#This Row],[Category]],Transactions!$C$10:$C$1002,'Monthly Actual'!I$7)</f>
        <v>0</v>
      </c>
      <c r="J23" s="223">
        <f>SUMIFS(Transactions!$D$10:$D$1002,Transactions!$F$10:$F$1002,Monthly_Actual[[#This Row],[Category]],Transactions!$C$10:$C$1002,'Monthly Actual'!J$7)</f>
        <v>0</v>
      </c>
      <c r="K23" s="223">
        <f>SUMIFS(Transactions!$D$10:$D$1002,Transactions!$F$10:$F$1002,Monthly_Actual[[#This Row],[Category]],Transactions!$C$10:$C$1002,'Monthly Actual'!K$7)</f>
        <v>0</v>
      </c>
      <c r="L23" s="223">
        <f>SUMIFS(Transactions!$D$10:$D$1002,Transactions!$F$10:$F$1002,Monthly_Actual[[#This Row],[Category]],Transactions!$C$10:$C$1002,'Monthly Actual'!L$7)</f>
        <v>0</v>
      </c>
      <c r="M23" s="223">
        <f>SUMIFS(Transactions!$D$10:$D$1002,Transactions!$F$10:$F$1002,Monthly_Actual[[#This Row],[Category]],Transactions!$C$10:$C$1002,'Monthly Actual'!M$7)</f>
        <v>0</v>
      </c>
      <c r="N23" s="223">
        <f>SUMIFS(Transactions!$D$10:$D$1002,Transactions!$F$10:$F$1002,Monthly_Actual[[#This Row],[Category]],Transactions!$C$10:$C$1002,'Monthly Actual'!N$7)</f>
        <v>0</v>
      </c>
      <c r="O23" s="223">
        <f>SUMIFS(Transactions!$D$10:$D$1002,Transactions!$F$10:$F$1002,Monthly_Actual[[#This Row],[Category]],Transactions!$C$10:$C$1002,'Monthly Actual'!O$7)</f>
        <v>0</v>
      </c>
      <c r="P23" s="224">
        <f>SUM(Monthly_Actual[[#This Row],[Column3]:[Column14]])</f>
        <v>400000</v>
      </c>
    </row>
    <row r="24" spans="2:17" s="69" customFormat="1" ht="26.1" customHeight="1">
      <c r="B24" s="47" t="s">
        <v>0</v>
      </c>
      <c r="C24" s="48" t="str">
        <f>Summary!C32</f>
        <v>Education &amp; Childcare</v>
      </c>
      <c r="D24" s="225">
        <f>SUMIFS(Transactions!$D$10:$D$1002,Transactions!$F$10:$F$1002,Monthly_Actual[[#This Row],[Category]],Transactions!$C$10:$C$1002,'Monthly Actual'!D$7)</f>
        <v>0</v>
      </c>
      <c r="E24" s="225">
        <f>SUMIFS(Transactions!$D$10:$D$1002,Transactions!$F$10:$F$1002,Monthly_Actual[[#This Row],[Category]],Transactions!$C$10:$C$1002,'Monthly Actual'!E$7)</f>
        <v>0</v>
      </c>
      <c r="F24" s="225">
        <f>SUMIFS(Transactions!$D$10:$D$1002,Transactions!$F$10:$F$1002,Monthly_Actual[[#This Row],[Category]],Transactions!$C$10:$C$1002,'Monthly Actual'!F$7)</f>
        <v>0</v>
      </c>
      <c r="G24" s="225">
        <f>SUMIFS(Transactions!$D$10:$D$1002,Transactions!$F$10:$F$1002,Monthly_Actual[[#This Row],[Category]],Transactions!$C$10:$C$1002,'Monthly Actual'!G$7)</f>
        <v>0</v>
      </c>
      <c r="H24" s="225">
        <f>SUMIFS(Transactions!$D$10:$D$1002,Transactions!$F$10:$F$1002,Monthly_Actual[[#This Row],[Category]],Transactions!$C$10:$C$1002,'Monthly Actual'!H$7)</f>
        <v>0</v>
      </c>
      <c r="I24" s="225">
        <f>SUMIFS(Transactions!$D$10:$D$1002,Transactions!$F$10:$F$1002,Monthly_Actual[[#This Row],[Category]],Transactions!$C$10:$C$1002,'Monthly Actual'!I$7)</f>
        <v>0</v>
      </c>
      <c r="J24" s="225">
        <f>SUMIFS(Transactions!$D$10:$D$1002,Transactions!$F$10:$F$1002,Monthly_Actual[[#This Row],[Category]],Transactions!$C$10:$C$1002,'Monthly Actual'!J$7)</f>
        <v>0</v>
      </c>
      <c r="K24" s="225">
        <f>SUMIFS(Transactions!$D$10:$D$1002,Transactions!$F$10:$F$1002,Monthly_Actual[[#This Row],[Category]],Transactions!$C$10:$C$1002,'Monthly Actual'!K$7)</f>
        <v>0</v>
      </c>
      <c r="L24" s="225">
        <f>SUMIFS(Transactions!$D$10:$D$1002,Transactions!$F$10:$F$1002,Monthly_Actual[[#This Row],[Category]],Transactions!$C$10:$C$1002,'Monthly Actual'!L$7)</f>
        <v>0</v>
      </c>
      <c r="M24" s="225">
        <f>SUMIFS(Transactions!$D$10:$D$1002,Transactions!$F$10:$F$1002,Monthly_Actual[[#This Row],[Category]],Transactions!$C$10:$C$1002,'Monthly Actual'!M$7)</f>
        <v>0</v>
      </c>
      <c r="N24" s="225">
        <f>SUMIFS(Transactions!$D$10:$D$1002,Transactions!$F$10:$F$1002,Monthly_Actual[[#This Row],[Category]],Transactions!$C$10:$C$1002,'Monthly Actual'!N$7)</f>
        <v>0</v>
      </c>
      <c r="O24" s="225">
        <f>SUMIFS(Transactions!$D$10:$D$1002,Transactions!$F$10:$F$1002,Monthly_Actual[[#This Row],[Category]],Transactions!$C$10:$C$1002,'Monthly Actual'!O$7)</f>
        <v>0</v>
      </c>
      <c r="P24" s="226">
        <f>SUM(Monthly_Actual[[#This Row],[Column3]:[Column14]])</f>
        <v>0</v>
      </c>
    </row>
    <row r="25" spans="2:17" ht="26.1" customHeight="1">
      <c r="B25" s="47" t="s">
        <v>0</v>
      </c>
      <c r="C25" s="48" t="str">
        <f>Summary!C36</f>
        <v>Loan Principal payment</v>
      </c>
      <c r="D25" s="225">
        <f>SUMIFS(Transactions!$D$10:$D$1002,Transactions!$F$10:$F$1002,Monthly_Actual[[#This Row],[Category]],Transactions!$C$10:$C$1002,'Monthly Actual'!D$7)</f>
        <v>0</v>
      </c>
      <c r="E25" s="225">
        <f>SUMIFS(Transactions!$D$10:$D$1002,Transactions!$F$10:$F$1002,Monthly_Actual[[#This Row],[Category]],Transactions!$C$10:$C$1002,'Monthly Actual'!E$7)</f>
        <v>0</v>
      </c>
      <c r="F25" s="225">
        <f>SUMIFS(Transactions!$D$10:$D$1002,Transactions!$F$10:$F$1002,Monthly_Actual[[#This Row],[Category]],Transactions!$C$10:$C$1002,'Monthly Actual'!F$7)</f>
        <v>0</v>
      </c>
      <c r="G25" s="225">
        <f>SUMIFS(Transactions!$D$10:$D$1002,Transactions!$F$10:$F$1002,Monthly_Actual[[#This Row],[Category]],Transactions!$C$10:$C$1002,'Monthly Actual'!G$7)</f>
        <v>0</v>
      </c>
      <c r="H25" s="225">
        <f>SUMIFS(Transactions!$D$10:$D$1002,Transactions!$F$10:$F$1002,Monthly_Actual[[#This Row],[Category]],Transactions!$C$10:$C$1002,'Monthly Actual'!H$7)</f>
        <v>0</v>
      </c>
      <c r="I25" s="225">
        <f>SUMIFS(Transactions!$D$10:$D$1002,Transactions!$F$10:$F$1002,Monthly_Actual[[#This Row],[Category]],Transactions!$C$10:$C$1002,'Monthly Actual'!I$7)</f>
        <v>0</v>
      </c>
      <c r="J25" s="225">
        <f>SUMIFS(Transactions!$D$10:$D$1002,Transactions!$F$10:$F$1002,Monthly_Actual[[#This Row],[Category]],Transactions!$C$10:$C$1002,'Monthly Actual'!J$7)</f>
        <v>0</v>
      </c>
      <c r="K25" s="225">
        <f>SUMIFS(Transactions!$D$10:$D$1002,Transactions!$F$10:$F$1002,Monthly_Actual[[#This Row],[Category]],Transactions!$C$10:$C$1002,'Monthly Actual'!K$7)</f>
        <v>0</v>
      </c>
      <c r="L25" s="225">
        <f>SUMIFS(Transactions!$D$10:$D$1002,Transactions!$F$10:$F$1002,Monthly_Actual[[#This Row],[Category]],Transactions!$C$10:$C$1002,'Monthly Actual'!L$7)</f>
        <v>0</v>
      </c>
      <c r="M25" s="225">
        <f>SUMIFS(Transactions!$D$10:$D$1002,Transactions!$F$10:$F$1002,Monthly_Actual[[#This Row],[Category]],Transactions!$C$10:$C$1002,'Monthly Actual'!M$7)</f>
        <v>0</v>
      </c>
      <c r="N25" s="225">
        <f>SUMIFS(Transactions!$D$10:$D$1002,Transactions!$F$10:$F$1002,Monthly_Actual[[#This Row],[Category]],Transactions!$C$10:$C$1002,'Monthly Actual'!N$7)</f>
        <v>0</v>
      </c>
      <c r="O25" s="225">
        <f>SUMIFS(Transactions!$D$10:$D$1002,Transactions!$F$10:$F$1002,Monthly_Actual[[#This Row],[Category]],Transactions!$C$10:$C$1002,'Monthly Actual'!O$7)</f>
        <v>0</v>
      </c>
      <c r="P25" s="226">
        <f>SUM(Monthly_Actual[[#This Row],[Column3]:[Column14]])</f>
        <v>0</v>
      </c>
      <c r="Q25" s="69"/>
    </row>
    <row r="26" spans="2:17" ht="26.1" customHeight="1">
      <c r="B26" s="45" t="s">
        <v>0</v>
      </c>
      <c r="C26" s="46" t="str">
        <f>Summary!C37</f>
        <v>Loan Interest expense</v>
      </c>
      <c r="D26" s="223">
        <f>SUMIFS(Transactions!$D$10:$D$1002,Transactions!$F$10:$F$1002,Monthly_Actual[[#This Row],[Category]],Transactions!$C$10:$C$1002,'Monthly Actual'!D$7)</f>
        <v>0</v>
      </c>
      <c r="E26" s="223">
        <f>SUMIFS(Transactions!$D$10:$D$1002,Transactions!$F$10:$F$1002,Monthly_Actual[[#This Row],[Category]],Transactions!$C$10:$C$1002,'Monthly Actual'!E$7)</f>
        <v>0</v>
      </c>
      <c r="F26" s="223">
        <f>SUMIFS(Transactions!$D$10:$D$1002,Transactions!$F$10:$F$1002,Monthly_Actual[[#This Row],[Category]],Transactions!$C$10:$C$1002,'Monthly Actual'!F$7)</f>
        <v>0</v>
      </c>
      <c r="G26" s="223">
        <f>SUMIFS(Transactions!$D$10:$D$1002,Transactions!$F$10:$F$1002,Monthly_Actual[[#This Row],[Category]],Transactions!$C$10:$C$1002,'Monthly Actual'!G$7)</f>
        <v>0</v>
      </c>
      <c r="H26" s="223">
        <f>SUMIFS(Transactions!$D$10:$D$1002,Transactions!$F$10:$F$1002,Monthly_Actual[[#This Row],[Category]],Transactions!$C$10:$C$1002,'Monthly Actual'!H$7)</f>
        <v>0</v>
      </c>
      <c r="I26" s="223">
        <f>SUMIFS(Transactions!$D$10:$D$1002,Transactions!$F$10:$F$1002,Monthly_Actual[[#This Row],[Category]],Transactions!$C$10:$C$1002,'Monthly Actual'!I$7)</f>
        <v>0</v>
      </c>
      <c r="J26" s="223">
        <f>SUMIFS(Transactions!$D$10:$D$1002,Transactions!$F$10:$F$1002,Monthly_Actual[[#This Row],[Category]],Transactions!$C$10:$C$1002,'Monthly Actual'!J$7)</f>
        <v>0</v>
      </c>
      <c r="K26" s="223">
        <f>SUMIFS(Transactions!$D$10:$D$1002,Transactions!$F$10:$F$1002,Monthly_Actual[[#This Row],[Category]],Transactions!$C$10:$C$1002,'Monthly Actual'!K$7)</f>
        <v>0</v>
      </c>
      <c r="L26" s="223">
        <f>SUMIFS(Transactions!$D$10:$D$1002,Transactions!$F$10:$F$1002,Monthly_Actual[[#This Row],[Category]],Transactions!$C$10:$C$1002,'Monthly Actual'!L$7)</f>
        <v>0</v>
      </c>
      <c r="M26" s="223">
        <f>SUMIFS(Transactions!$D$10:$D$1002,Transactions!$F$10:$F$1002,Monthly_Actual[[#This Row],[Category]],Transactions!$C$10:$C$1002,'Monthly Actual'!M$7)</f>
        <v>0</v>
      </c>
      <c r="N26" s="223">
        <f>SUMIFS(Transactions!$D$10:$D$1002,Transactions!$F$10:$F$1002,Monthly_Actual[[#This Row],[Category]],Transactions!$C$10:$C$1002,'Monthly Actual'!N$7)</f>
        <v>0</v>
      </c>
      <c r="O26" s="223">
        <f>SUMIFS(Transactions!$D$10:$D$1002,Transactions!$F$10:$F$1002,Monthly_Actual[[#This Row],[Category]],Transactions!$C$10:$C$1002,'Monthly Actual'!O$7)</f>
        <v>0</v>
      </c>
      <c r="P26" s="224">
        <f>SUM(Monthly_Actual[[#This Row],[Column3]:[Column14]])</f>
        <v>0</v>
      </c>
      <c r="Q26" s="69"/>
    </row>
    <row r="27" spans="2:17" ht="26.1" customHeight="1">
      <c r="B27" s="47" t="s">
        <v>0</v>
      </c>
      <c r="C27" s="48" t="str">
        <f>Summary!C38</f>
        <v>Service animals &amp; Pets</v>
      </c>
      <c r="D27" s="225">
        <f>SUMIFS(Transactions!$D$10:$D$1002,Transactions!$F$10:$F$1002,Monthly_Actual[[#This Row],[Category]],Transactions!$C$10:$C$1002,'Monthly Actual'!D$7)</f>
        <v>0</v>
      </c>
      <c r="E27" s="225">
        <f>SUMIFS(Transactions!$D$10:$D$1002,Transactions!$F$10:$F$1002,Monthly_Actual[[#This Row],[Category]],Transactions!$C$10:$C$1002,'Monthly Actual'!E$7)</f>
        <v>0</v>
      </c>
      <c r="F27" s="225">
        <f>SUMIFS(Transactions!$D$10:$D$1002,Transactions!$F$10:$F$1002,Monthly_Actual[[#This Row],[Category]],Transactions!$C$10:$C$1002,'Monthly Actual'!F$7)</f>
        <v>0</v>
      </c>
      <c r="G27" s="225">
        <f>SUMIFS(Transactions!$D$10:$D$1002,Transactions!$F$10:$F$1002,Monthly_Actual[[#This Row],[Category]],Transactions!$C$10:$C$1002,'Monthly Actual'!G$7)</f>
        <v>0</v>
      </c>
      <c r="H27" s="225">
        <f>SUMIFS(Transactions!$D$10:$D$1002,Transactions!$F$10:$F$1002,Monthly_Actual[[#This Row],[Category]],Transactions!$C$10:$C$1002,'Monthly Actual'!H$7)</f>
        <v>0</v>
      </c>
      <c r="I27" s="225">
        <f>SUMIFS(Transactions!$D$10:$D$1002,Transactions!$F$10:$F$1002,Monthly_Actual[[#This Row],[Category]],Transactions!$C$10:$C$1002,'Monthly Actual'!I$7)</f>
        <v>0</v>
      </c>
      <c r="J27" s="225">
        <f>SUMIFS(Transactions!$D$10:$D$1002,Transactions!$F$10:$F$1002,Monthly_Actual[[#This Row],[Category]],Transactions!$C$10:$C$1002,'Monthly Actual'!J$7)</f>
        <v>0</v>
      </c>
      <c r="K27" s="225">
        <f>SUMIFS(Transactions!$D$10:$D$1002,Transactions!$F$10:$F$1002,Monthly_Actual[[#This Row],[Category]],Transactions!$C$10:$C$1002,'Monthly Actual'!K$7)</f>
        <v>0</v>
      </c>
      <c r="L27" s="225">
        <f>SUMIFS(Transactions!$D$10:$D$1002,Transactions!$F$10:$F$1002,Monthly_Actual[[#This Row],[Category]],Transactions!$C$10:$C$1002,'Monthly Actual'!L$7)</f>
        <v>0</v>
      </c>
      <c r="M27" s="225">
        <f>SUMIFS(Transactions!$D$10:$D$1002,Transactions!$F$10:$F$1002,Monthly_Actual[[#This Row],[Category]],Transactions!$C$10:$C$1002,'Monthly Actual'!M$7)</f>
        <v>0</v>
      </c>
      <c r="N27" s="225">
        <f>SUMIFS(Transactions!$D$10:$D$1002,Transactions!$F$10:$F$1002,Monthly_Actual[[#This Row],[Category]],Transactions!$C$10:$C$1002,'Monthly Actual'!N$7)</f>
        <v>0</v>
      </c>
      <c r="O27" s="225">
        <f>SUMIFS(Transactions!$D$10:$D$1002,Transactions!$F$10:$F$1002,Monthly_Actual[[#This Row],[Category]],Transactions!$C$10:$C$1002,'Monthly Actual'!O$7)</f>
        <v>0</v>
      </c>
      <c r="P27" s="226">
        <f>SUM(Monthly_Actual[[#This Row],[Column3]:[Column14]])</f>
        <v>0</v>
      </c>
      <c r="Q27" s="69"/>
    </row>
    <row r="28" spans="2:17" ht="26.1" customHeight="1">
      <c r="B28" s="45" t="s">
        <v>0</v>
      </c>
      <c r="C28" s="46" t="str">
        <f>Summary!C39</f>
        <v>Other expenses</v>
      </c>
      <c r="D28" s="223">
        <f>SUMIFS(Transactions!$D$10:$D$1002,Transactions!$F$10:$F$1002,Monthly_Actual[[#This Row],[Category]],Transactions!$C$10:$C$1002,'Monthly Actual'!D$7)</f>
        <v>0</v>
      </c>
      <c r="E28" s="223">
        <f>SUMIFS(Transactions!$D$10:$D$1002,Transactions!$F$10:$F$1002,Monthly_Actual[[#This Row],[Category]],Transactions!$C$10:$C$1002,'Monthly Actual'!E$7)</f>
        <v>0</v>
      </c>
      <c r="F28" s="223">
        <f>SUMIFS(Transactions!$D$10:$D$1002,Transactions!$F$10:$F$1002,Monthly_Actual[[#This Row],[Category]],Transactions!$C$10:$C$1002,'Monthly Actual'!F$7)</f>
        <v>0</v>
      </c>
      <c r="G28" s="223">
        <f>SUMIFS(Transactions!$D$10:$D$1002,Transactions!$F$10:$F$1002,Monthly_Actual[[#This Row],[Category]],Transactions!$C$10:$C$1002,'Monthly Actual'!G$7)</f>
        <v>0</v>
      </c>
      <c r="H28" s="223">
        <f>SUMIFS(Transactions!$D$10:$D$1002,Transactions!$F$10:$F$1002,Monthly_Actual[[#This Row],[Category]],Transactions!$C$10:$C$1002,'Monthly Actual'!H$7)</f>
        <v>0</v>
      </c>
      <c r="I28" s="223">
        <f>SUMIFS(Transactions!$D$10:$D$1002,Transactions!$F$10:$F$1002,Monthly_Actual[[#This Row],[Category]],Transactions!$C$10:$C$1002,'Monthly Actual'!I$7)</f>
        <v>0</v>
      </c>
      <c r="J28" s="223">
        <f>SUMIFS(Transactions!$D$10:$D$1002,Transactions!$F$10:$F$1002,Monthly_Actual[[#This Row],[Category]],Transactions!$C$10:$C$1002,'Monthly Actual'!J$7)</f>
        <v>0</v>
      </c>
      <c r="K28" s="223">
        <f>SUMIFS(Transactions!$D$10:$D$1002,Transactions!$F$10:$F$1002,Monthly_Actual[[#This Row],[Category]],Transactions!$C$10:$C$1002,'Monthly Actual'!K$7)</f>
        <v>0</v>
      </c>
      <c r="L28" s="223">
        <f>SUMIFS(Transactions!$D$10:$D$1002,Transactions!$F$10:$F$1002,Monthly_Actual[[#This Row],[Category]],Transactions!$C$10:$C$1002,'Monthly Actual'!L$7)</f>
        <v>0</v>
      </c>
      <c r="M28" s="223">
        <f>SUMIFS(Transactions!$D$10:$D$1002,Transactions!$F$10:$F$1002,Monthly_Actual[[#This Row],[Category]],Transactions!$C$10:$C$1002,'Monthly Actual'!M$7)</f>
        <v>0</v>
      </c>
      <c r="N28" s="223">
        <f>SUMIFS(Transactions!$D$10:$D$1002,Transactions!$F$10:$F$1002,Monthly_Actual[[#This Row],[Category]],Transactions!$C$10:$C$1002,'Monthly Actual'!N$7)</f>
        <v>0</v>
      </c>
      <c r="O28" s="223">
        <f>SUMIFS(Transactions!$D$10:$D$1002,Transactions!$F$10:$F$1002,Monthly_Actual[[#This Row],[Category]],Transactions!$C$10:$C$1002,'Monthly Actual'!O$7)</f>
        <v>0</v>
      </c>
      <c r="P28" s="224">
        <f>SUM(Monthly_Actual[[#This Row],[Column3]:[Column14]])</f>
        <v>0</v>
      </c>
      <c r="Q28" s="69"/>
    </row>
    <row r="29" spans="2:17" ht="26.1" customHeight="1">
      <c r="B29" s="47" t="s">
        <v>0</v>
      </c>
      <c r="C29" s="48" t="str">
        <f>Summary!C33</f>
        <v>Vehicle maintenance</v>
      </c>
      <c r="D29" s="225">
        <f>SUMIFS(Transactions!$D$10:$D$1002,Transactions!$F$10:$F$1002,Monthly_Actual[[#This Row],[Category]],Transactions!$C$10:$C$1002,'Monthly Actual'!D$7)</f>
        <v>0</v>
      </c>
      <c r="E29" s="225">
        <f>SUMIFS(Transactions!$D$10:$D$1002,Transactions!$F$10:$F$1002,Monthly_Actual[[#This Row],[Category]],Transactions!$C$10:$C$1002,'Monthly Actual'!E$7)</f>
        <v>0</v>
      </c>
      <c r="F29" s="225">
        <f>SUMIFS(Transactions!$D$10:$D$1002,Transactions!$F$10:$F$1002,Monthly_Actual[[#This Row],[Category]],Transactions!$C$10:$C$1002,'Monthly Actual'!F$7)</f>
        <v>0</v>
      </c>
      <c r="G29" s="225">
        <f>SUMIFS(Transactions!$D$10:$D$1002,Transactions!$F$10:$F$1002,Monthly_Actual[[#This Row],[Category]],Transactions!$C$10:$C$1002,'Monthly Actual'!G$7)</f>
        <v>0</v>
      </c>
      <c r="H29" s="225">
        <f>SUMIFS(Transactions!$D$10:$D$1002,Transactions!$F$10:$F$1002,Monthly_Actual[[#This Row],[Category]],Transactions!$C$10:$C$1002,'Monthly Actual'!H$7)</f>
        <v>0</v>
      </c>
      <c r="I29" s="225">
        <f>SUMIFS(Transactions!$D$10:$D$1002,Transactions!$F$10:$F$1002,Monthly_Actual[[#This Row],[Category]],Transactions!$C$10:$C$1002,'Monthly Actual'!I$7)</f>
        <v>0</v>
      </c>
      <c r="J29" s="225">
        <f>SUMIFS(Transactions!$D$10:$D$1002,Transactions!$F$10:$F$1002,Monthly_Actual[[#This Row],[Category]],Transactions!$C$10:$C$1002,'Monthly Actual'!J$7)</f>
        <v>0</v>
      </c>
      <c r="K29" s="225">
        <f>SUMIFS(Transactions!$D$10:$D$1002,Transactions!$F$10:$F$1002,Monthly_Actual[[#This Row],[Category]],Transactions!$C$10:$C$1002,'Monthly Actual'!K$7)</f>
        <v>0</v>
      </c>
      <c r="L29" s="225">
        <f>SUMIFS(Transactions!$D$10:$D$1002,Transactions!$F$10:$F$1002,Monthly_Actual[[#This Row],[Category]],Transactions!$C$10:$C$1002,'Monthly Actual'!L$7)</f>
        <v>0</v>
      </c>
      <c r="M29" s="225">
        <f>SUMIFS(Transactions!$D$10:$D$1002,Transactions!$F$10:$F$1002,Monthly_Actual[[#This Row],[Category]],Transactions!$C$10:$C$1002,'Monthly Actual'!M$7)</f>
        <v>0</v>
      </c>
      <c r="N29" s="225">
        <f>SUMIFS(Transactions!$D$10:$D$1002,Transactions!$F$10:$F$1002,Monthly_Actual[[#This Row],[Category]],Transactions!$C$10:$C$1002,'Monthly Actual'!N$7)</f>
        <v>0</v>
      </c>
      <c r="O29" s="225">
        <f>SUMIFS(Transactions!$D$10:$D$1002,Transactions!$F$10:$F$1002,Monthly_Actual[[#This Row],[Category]],Transactions!$C$10:$C$1002,'Monthly Actual'!O$7)</f>
        <v>0</v>
      </c>
      <c r="P29" s="226">
        <f>SUM(Monthly_Actual[[#This Row],[Column3]:[Column14]])</f>
        <v>0</v>
      </c>
      <c r="Q29" s="69"/>
    </row>
    <row r="30" spans="2:17" ht="26.1" customHeight="1">
      <c r="B30" s="45" t="s">
        <v>0</v>
      </c>
      <c r="C30" s="46" t="str">
        <f>Summary!C34</f>
        <v>Lending</v>
      </c>
      <c r="D30" s="223">
        <f>SUMIFS(Transactions!$D$10:$D$1002,Transactions!$F$10:$F$1002,Monthly_Actual[[#This Row],[Category]],Transactions!$C$10:$C$1002,'Monthly Actual'!D$7)</f>
        <v>0</v>
      </c>
      <c r="E30" s="223">
        <f>SUMIFS(Transactions!$D$10:$D$1002,Transactions!$F$10:$F$1002,Monthly_Actual[[#This Row],[Category]],Transactions!$C$10:$C$1002,'Monthly Actual'!E$7)</f>
        <v>0</v>
      </c>
      <c r="F30" s="223">
        <f>SUMIFS(Transactions!$D$10:$D$1002,Transactions!$F$10:$F$1002,Monthly_Actual[[#This Row],[Category]],Transactions!$C$10:$C$1002,'Monthly Actual'!F$7)</f>
        <v>0</v>
      </c>
      <c r="G30" s="223">
        <f>SUMIFS(Transactions!$D$10:$D$1002,Transactions!$F$10:$F$1002,Monthly_Actual[[#This Row],[Category]],Transactions!$C$10:$C$1002,'Monthly Actual'!G$7)</f>
        <v>0</v>
      </c>
      <c r="H30" s="223">
        <f>SUMIFS(Transactions!$D$10:$D$1002,Transactions!$F$10:$F$1002,Monthly_Actual[[#This Row],[Category]],Transactions!$C$10:$C$1002,'Monthly Actual'!H$7)</f>
        <v>0</v>
      </c>
      <c r="I30" s="223">
        <f>SUMIFS(Transactions!$D$10:$D$1002,Transactions!$F$10:$F$1002,Monthly_Actual[[#This Row],[Category]],Transactions!$C$10:$C$1002,'Monthly Actual'!I$7)</f>
        <v>0</v>
      </c>
      <c r="J30" s="223">
        <f>SUMIFS(Transactions!$D$10:$D$1002,Transactions!$F$10:$F$1002,Monthly_Actual[[#This Row],[Category]],Transactions!$C$10:$C$1002,'Monthly Actual'!J$7)</f>
        <v>0</v>
      </c>
      <c r="K30" s="223">
        <f>SUMIFS(Transactions!$D$10:$D$1002,Transactions!$F$10:$F$1002,Monthly_Actual[[#This Row],[Category]],Transactions!$C$10:$C$1002,'Monthly Actual'!K$7)</f>
        <v>0</v>
      </c>
      <c r="L30" s="223">
        <f>SUMIFS(Transactions!$D$10:$D$1002,Transactions!$F$10:$F$1002,Monthly_Actual[[#This Row],[Category]],Transactions!$C$10:$C$1002,'Monthly Actual'!L$7)</f>
        <v>0</v>
      </c>
      <c r="M30" s="223">
        <f>SUMIFS(Transactions!$D$10:$D$1002,Transactions!$F$10:$F$1002,Monthly_Actual[[#This Row],[Category]],Transactions!$C$10:$C$1002,'Monthly Actual'!M$7)</f>
        <v>0</v>
      </c>
      <c r="N30" s="223">
        <f>SUMIFS(Transactions!$D$10:$D$1002,Transactions!$F$10:$F$1002,Monthly_Actual[[#This Row],[Category]],Transactions!$C$10:$C$1002,'Monthly Actual'!N$7)</f>
        <v>0</v>
      </c>
      <c r="O30" s="223">
        <f>SUMIFS(Transactions!$D$10:$D$1002,Transactions!$F$10:$F$1002,Monthly_Actual[[#This Row],[Category]],Transactions!$C$10:$C$1002,'Monthly Actual'!O$7)</f>
        <v>0</v>
      </c>
      <c r="P30" s="224">
        <f>SUM(Monthly_Actual[[#This Row],[Column3]:[Column14]])</f>
        <v>0</v>
      </c>
      <c r="Q30" s="69"/>
    </row>
    <row r="31" spans="2:17" ht="26.1" customHeight="1">
      <c r="B31" s="47" t="s">
        <v>0</v>
      </c>
      <c r="C31" s="48" t="str">
        <f>Summary!C35</f>
        <v>Mobile fee</v>
      </c>
      <c r="D31" s="225">
        <f>SUMIFS(Transactions!$D$10:$D$1002,Transactions!$F$10:$F$1002,Monthly_Actual[[#This Row],[Category]],Transactions!$C$10:$C$1002,'Monthly Actual'!D$7)</f>
        <v>200000</v>
      </c>
      <c r="E31" s="225">
        <f>SUMIFS(Transactions!$D$10:$D$1002,Transactions!$F$10:$F$1002,Monthly_Actual[[#This Row],[Category]],Transactions!$C$10:$C$1002,'Monthly Actual'!E$7)</f>
        <v>0</v>
      </c>
      <c r="F31" s="225">
        <f>SUMIFS(Transactions!$D$10:$D$1002,Transactions!$F$10:$F$1002,Monthly_Actual[[#This Row],[Category]],Transactions!$C$10:$C$1002,'Monthly Actual'!F$7)</f>
        <v>0</v>
      </c>
      <c r="G31" s="225">
        <f>SUMIFS(Transactions!$D$10:$D$1002,Transactions!$F$10:$F$1002,Monthly_Actual[[#This Row],[Category]],Transactions!$C$10:$C$1002,'Monthly Actual'!G$7)</f>
        <v>0</v>
      </c>
      <c r="H31" s="225">
        <f>SUMIFS(Transactions!$D$10:$D$1002,Transactions!$F$10:$F$1002,Monthly_Actual[[#This Row],[Category]],Transactions!$C$10:$C$1002,'Monthly Actual'!H$7)</f>
        <v>0</v>
      </c>
      <c r="I31" s="225">
        <f>SUMIFS(Transactions!$D$10:$D$1002,Transactions!$F$10:$F$1002,Monthly_Actual[[#This Row],[Category]],Transactions!$C$10:$C$1002,'Monthly Actual'!I$7)</f>
        <v>0</v>
      </c>
      <c r="J31" s="225">
        <f>SUMIFS(Transactions!$D$10:$D$1002,Transactions!$F$10:$F$1002,Monthly_Actual[[#This Row],[Category]],Transactions!$C$10:$C$1002,'Monthly Actual'!J$7)</f>
        <v>0</v>
      </c>
      <c r="K31" s="225">
        <f>SUMIFS(Transactions!$D$10:$D$1002,Transactions!$F$10:$F$1002,Monthly_Actual[[#This Row],[Category]],Transactions!$C$10:$C$1002,'Monthly Actual'!K$7)</f>
        <v>0</v>
      </c>
      <c r="L31" s="225">
        <f>SUMIFS(Transactions!$D$10:$D$1002,Transactions!$F$10:$F$1002,Monthly_Actual[[#This Row],[Category]],Transactions!$C$10:$C$1002,'Monthly Actual'!L$7)</f>
        <v>0</v>
      </c>
      <c r="M31" s="225">
        <f>SUMIFS(Transactions!$D$10:$D$1002,Transactions!$F$10:$F$1002,Monthly_Actual[[#This Row],[Category]],Transactions!$C$10:$C$1002,'Monthly Actual'!M$7)</f>
        <v>0</v>
      </c>
      <c r="N31" s="225">
        <f>SUMIFS(Transactions!$D$10:$D$1002,Transactions!$F$10:$F$1002,Monthly_Actual[[#This Row],[Category]],Transactions!$C$10:$C$1002,'Monthly Actual'!N$7)</f>
        <v>0</v>
      </c>
      <c r="O31" s="225">
        <f>SUMIFS(Transactions!$D$10:$D$1002,Transactions!$F$10:$F$1002,Monthly_Actual[[#This Row],[Category]],Transactions!$C$10:$C$1002,'Monthly Actual'!O$7)</f>
        <v>0</v>
      </c>
      <c r="P31" s="226">
        <f>SUM(Monthly_Actual[[#This Row],[Column3]:[Column14]])</f>
        <v>200000</v>
      </c>
      <c r="Q31" s="69"/>
    </row>
    <row r="32" spans="2:17" ht="26.1" customHeight="1">
      <c r="B32" s="45" t="s">
        <v>0</v>
      </c>
      <c r="C32" s="46" t="str">
        <f>Summary!C40</f>
        <v>Expenses category 1</v>
      </c>
      <c r="D32" s="223">
        <f>SUMIFS(Transactions!$D$10:$D$1002,Transactions!$F$10:$F$1002,Monthly_Actual[[#This Row],[Category]],Transactions!$C$10:$C$1002,'Monthly Actual'!D$7)</f>
        <v>0</v>
      </c>
      <c r="E32" s="223">
        <f>SUMIFS(Transactions!$D$10:$D$1002,Transactions!$F$10:$F$1002,Monthly_Actual[[#This Row],[Category]],Transactions!$C$10:$C$1002,'Monthly Actual'!E$7)</f>
        <v>0</v>
      </c>
      <c r="F32" s="223">
        <f>SUMIFS(Transactions!$D$10:$D$1002,Transactions!$F$10:$F$1002,Monthly_Actual[[#This Row],[Category]],Transactions!$C$10:$C$1002,'Monthly Actual'!F$7)</f>
        <v>0</v>
      </c>
      <c r="G32" s="223">
        <f>SUMIFS(Transactions!$D$10:$D$1002,Transactions!$F$10:$F$1002,Monthly_Actual[[#This Row],[Category]],Transactions!$C$10:$C$1002,'Monthly Actual'!G$7)</f>
        <v>0</v>
      </c>
      <c r="H32" s="223">
        <f>SUMIFS(Transactions!$D$10:$D$1002,Transactions!$F$10:$F$1002,Monthly_Actual[[#This Row],[Category]],Transactions!$C$10:$C$1002,'Monthly Actual'!H$7)</f>
        <v>0</v>
      </c>
      <c r="I32" s="223">
        <f>SUMIFS(Transactions!$D$10:$D$1002,Transactions!$F$10:$F$1002,Monthly_Actual[[#This Row],[Category]],Transactions!$C$10:$C$1002,'Monthly Actual'!I$7)</f>
        <v>0</v>
      </c>
      <c r="J32" s="223">
        <f>SUMIFS(Transactions!$D$10:$D$1002,Transactions!$F$10:$F$1002,Monthly_Actual[[#This Row],[Category]],Transactions!$C$10:$C$1002,'Monthly Actual'!J$7)</f>
        <v>0</v>
      </c>
      <c r="K32" s="223">
        <f>SUMIFS(Transactions!$D$10:$D$1002,Transactions!$F$10:$F$1002,Monthly_Actual[[#This Row],[Category]],Transactions!$C$10:$C$1002,'Monthly Actual'!K$7)</f>
        <v>0</v>
      </c>
      <c r="L32" s="223">
        <f>SUMIFS(Transactions!$D$10:$D$1002,Transactions!$F$10:$F$1002,Monthly_Actual[[#This Row],[Category]],Transactions!$C$10:$C$1002,'Monthly Actual'!L$7)</f>
        <v>0</v>
      </c>
      <c r="M32" s="223">
        <f>SUMIFS(Transactions!$D$10:$D$1002,Transactions!$F$10:$F$1002,Monthly_Actual[[#This Row],[Category]],Transactions!$C$10:$C$1002,'Monthly Actual'!M$7)</f>
        <v>0</v>
      </c>
      <c r="N32" s="223">
        <f>SUMIFS(Transactions!$D$10:$D$1002,Transactions!$F$10:$F$1002,Monthly_Actual[[#This Row],[Category]],Transactions!$C$10:$C$1002,'Monthly Actual'!N$7)</f>
        <v>0</v>
      </c>
      <c r="O32" s="223">
        <f>SUMIFS(Transactions!$D$10:$D$1002,Transactions!$F$10:$F$1002,Monthly_Actual[[#This Row],[Category]],Transactions!$C$10:$C$1002,'Monthly Actual'!O$7)</f>
        <v>0</v>
      </c>
      <c r="P32" s="224">
        <f>SUM(Monthly_Actual[[#This Row],[Column3]:[Column14]])</f>
        <v>0</v>
      </c>
      <c r="Q32" s="69"/>
    </row>
    <row r="33" spans="2:17" ht="26.1" customHeight="1">
      <c r="B33" s="47" t="s">
        <v>0</v>
      </c>
      <c r="C33" s="48" t="str">
        <f>Summary!C41</f>
        <v>Expenses category 2</v>
      </c>
      <c r="D33" s="225">
        <f>SUMIFS(Transactions!$D$10:$D$1002,Transactions!$F$10:$F$1002,Monthly_Actual[[#This Row],[Category]],Transactions!$C$10:$C$1002,'Monthly Actual'!D$7)</f>
        <v>0</v>
      </c>
      <c r="E33" s="225">
        <f>SUMIFS(Transactions!$D$10:$D$1002,Transactions!$F$10:$F$1002,Monthly_Actual[[#This Row],[Category]],Transactions!$C$10:$C$1002,'Monthly Actual'!E$7)</f>
        <v>0</v>
      </c>
      <c r="F33" s="225">
        <f>SUMIFS(Transactions!$D$10:$D$1002,Transactions!$F$10:$F$1002,Monthly_Actual[[#This Row],[Category]],Transactions!$C$10:$C$1002,'Monthly Actual'!F$7)</f>
        <v>0</v>
      </c>
      <c r="G33" s="225">
        <f>SUMIFS(Transactions!$D$10:$D$1002,Transactions!$F$10:$F$1002,Monthly_Actual[[#This Row],[Category]],Transactions!$C$10:$C$1002,'Monthly Actual'!G$7)</f>
        <v>0</v>
      </c>
      <c r="H33" s="225">
        <f>SUMIFS(Transactions!$D$10:$D$1002,Transactions!$F$10:$F$1002,Monthly_Actual[[#This Row],[Category]],Transactions!$C$10:$C$1002,'Monthly Actual'!H$7)</f>
        <v>0</v>
      </c>
      <c r="I33" s="225">
        <f>SUMIFS(Transactions!$D$10:$D$1002,Transactions!$F$10:$F$1002,Monthly_Actual[[#This Row],[Category]],Transactions!$C$10:$C$1002,'Monthly Actual'!I$7)</f>
        <v>0</v>
      </c>
      <c r="J33" s="225">
        <f>SUMIFS(Transactions!$D$10:$D$1002,Transactions!$F$10:$F$1002,Monthly_Actual[[#This Row],[Category]],Transactions!$C$10:$C$1002,'Monthly Actual'!J$7)</f>
        <v>0</v>
      </c>
      <c r="K33" s="225">
        <f>SUMIFS(Transactions!$D$10:$D$1002,Transactions!$F$10:$F$1002,Monthly_Actual[[#This Row],[Category]],Transactions!$C$10:$C$1002,'Monthly Actual'!K$7)</f>
        <v>0</v>
      </c>
      <c r="L33" s="225">
        <f>SUMIFS(Transactions!$D$10:$D$1002,Transactions!$F$10:$F$1002,Monthly_Actual[[#This Row],[Category]],Transactions!$C$10:$C$1002,'Monthly Actual'!L$7)</f>
        <v>0</v>
      </c>
      <c r="M33" s="225">
        <f>SUMIFS(Transactions!$D$10:$D$1002,Transactions!$F$10:$F$1002,Monthly_Actual[[#This Row],[Category]],Transactions!$C$10:$C$1002,'Monthly Actual'!M$7)</f>
        <v>0</v>
      </c>
      <c r="N33" s="225">
        <f>SUMIFS(Transactions!$D$10:$D$1002,Transactions!$F$10:$F$1002,Monthly_Actual[[#This Row],[Category]],Transactions!$C$10:$C$1002,'Monthly Actual'!N$7)</f>
        <v>0</v>
      </c>
      <c r="O33" s="225">
        <f>SUMIFS(Transactions!$D$10:$D$1002,Transactions!$F$10:$F$1002,Monthly_Actual[[#This Row],[Category]],Transactions!$C$10:$C$1002,'Monthly Actual'!O$7)</f>
        <v>0</v>
      </c>
      <c r="P33" s="226">
        <f>SUM(Monthly_Actual[[#This Row],[Column3]:[Column14]])</f>
        <v>0</v>
      </c>
      <c r="Q33" s="69"/>
    </row>
    <row r="34" spans="2:17" ht="26.1" customHeight="1">
      <c r="B34" s="49" t="s">
        <v>27</v>
      </c>
      <c r="C34" s="50" t="str">
        <f>Summary!C42</f>
        <v>Entertainment</v>
      </c>
      <c r="D34" s="218">
        <f>SUMIFS(Transactions!$J$10:$J$1002,Transactions!$L$10:$L$1002,Monthly_Actual[[#This Row],[Category]],Transactions!$I$10:$I$1002,'Monthly Actual'!D$7)</f>
        <v>200000</v>
      </c>
      <c r="E34" s="218">
        <f>SUMIFS(Transactions!$J$10:$J$1002,Transactions!$L$10:$L$1002,Monthly_Actual[[#This Row],[Category]],Transactions!$I$10:$I$1002,'Monthly Actual'!E$7)</f>
        <v>0</v>
      </c>
      <c r="F34" s="218">
        <f>SUMIFS(Transactions!$J$10:$J$1002,Transactions!$L$10:$L$1002,Monthly_Actual[[#This Row],[Category]],Transactions!$I$10:$I$1002,'Monthly Actual'!F$7)</f>
        <v>0</v>
      </c>
      <c r="G34" s="218">
        <f>SUMIFS(Transactions!$J$10:$J$1002,Transactions!$L$10:$L$1002,Monthly_Actual[[#This Row],[Category]],Transactions!$I$10:$I$1002,'Monthly Actual'!G$7)</f>
        <v>0</v>
      </c>
      <c r="H34" s="218">
        <f>SUMIFS(Transactions!$J$10:$J$1002,Transactions!$L$10:$L$1002,Monthly_Actual[[#This Row],[Category]],Transactions!$I$10:$I$1002,'Monthly Actual'!H$7)</f>
        <v>0</v>
      </c>
      <c r="I34" s="218">
        <f>SUMIFS(Transactions!$J$10:$J$1002,Transactions!$L$10:$L$1002,Monthly_Actual[[#This Row],[Category]],Transactions!$I$10:$I$1002,'Monthly Actual'!I$7)</f>
        <v>0</v>
      </c>
      <c r="J34" s="218">
        <f>SUMIFS(Transactions!$J$10:$J$1002,Transactions!$L$10:$L$1002,Monthly_Actual[[#This Row],[Category]],Transactions!$I$10:$I$1002,'Monthly Actual'!J$7)</f>
        <v>0</v>
      </c>
      <c r="K34" s="218">
        <f>SUMIFS(Transactions!$J$10:$J$1002,Transactions!$L$10:$L$1002,Monthly_Actual[[#This Row],[Category]],Transactions!$I$10:$I$1002,'Monthly Actual'!K$7)</f>
        <v>0</v>
      </c>
      <c r="L34" s="218">
        <f>SUMIFS(Transactions!$J$10:$J$1002,Transactions!$L$10:$L$1002,Monthly_Actual[[#This Row],[Category]],Transactions!$I$10:$I$1002,'Monthly Actual'!L$7)</f>
        <v>0</v>
      </c>
      <c r="M34" s="218">
        <f>SUMIFS(Transactions!$J$10:$J$1002,Transactions!$L$10:$L$1002,Monthly_Actual[[#This Row],[Category]],Transactions!$I$10:$I$1002,'Monthly Actual'!M$7)</f>
        <v>0</v>
      </c>
      <c r="N34" s="218">
        <f>SUMIFS(Transactions!$J$10:$J$1002,Transactions!$L$10:$L$1002,Monthly_Actual[[#This Row],[Category]],Transactions!$I$10:$I$1002,'Monthly Actual'!N$7)</f>
        <v>0</v>
      </c>
      <c r="O34" s="218">
        <f>SUMIFS(Transactions!$J$10:$J$1002,Transactions!$L$10:$L$1002,Monthly_Actual[[#This Row],[Category]],Transactions!$I$10:$I$1002,'Monthly Actual'!O$7)</f>
        <v>0</v>
      </c>
      <c r="P34" s="227">
        <f>SUM(Monthly_Actual[[#This Row],[Column3]:[Column14]])</f>
        <v>200000</v>
      </c>
      <c r="Q34" s="69"/>
    </row>
    <row r="35" spans="2:17" ht="26.1" customHeight="1">
      <c r="B35" s="51" t="s">
        <v>27</v>
      </c>
      <c r="C35" s="52" t="str">
        <f>Summary!C43</f>
        <v>Shopping</v>
      </c>
      <c r="D35" s="228">
        <f>SUMIFS(Transactions!$J$10:$J$1002,Transactions!$L$10:$L$1002,Monthly_Actual[[#This Row],[Category]],Transactions!$I$10:$I$1002,'Monthly Actual'!D$7)</f>
        <v>500000</v>
      </c>
      <c r="E35" s="228">
        <f>SUMIFS(Transactions!$J$10:$J$1002,Transactions!$L$10:$L$1002,Monthly_Actual[[#This Row],[Category]],Transactions!$I$10:$I$1002,'Monthly Actual'!E$7)</f>
        <v>0</v>
      </c>
      <c r="F35" s="228">
        <f>SUMIFS(Transactions!$J$10:$J$1002,Transactions!$L$10:$L$1002,Monthly_Actual[[#This Row],[Category]],Transactions!$I$10:$I$1002,'Monthly Actual'!F$7)</f>
        <v>0</v>
      </c>
      <c r="G35" s="228">
        <f>SUMIFS(Transactions!$J$10:$J$1002,Transactions!$L$10:$L$1002,Monthly_Actual[[#This Row],[Category]],Transactions!$I$10:$I$1002,'Monthly Actual'!G$7)</f>
        <v>0</v>
      </c>
      <c r="H35" s="228">
        <f>SUMIFS(Transactions!$J$10:$J$1002,Transactions!$L$10:$L$1002,Monthly_Actual[[#This Row],[Category]],Transactions!$I$10:$I$1002,'Monthly Actual'!H$7)</f>
        <v>0</v>
      </c>
      <c r="I35" s="228">
        <f>SUMIFS(Transactions!$J$10:$J$1002,Transactions!$L$10:$L$1002,Monthly_Actual[[#This Row],[Category]],Transactions!$I$10:$I$1002,'Monthly Actual'!I$7)</f>
        <v>0</v>
      </c>
      <c r="J35" s="228">
        <f>SUMIFS(Transactions!$J$10:$J$1002,Transactions!$L$10:$L$1002,Monthly_Actual[[#This Row],[Category]],Transactions!$I$10:$I$1002,'Monthly Actual'!J$7)</f>
        <v>0</v>
      </c>
      <c r="K35" s="228">
        <f>SUMIFS(Transactions!$J$10:$J$1002,Transactions!$L$10:$L$1002,Monthly_Actual[[#This Row],[Category]],Transactions!$I$10:$I$1002,'Monthly Actual'!K$7)</f>
        <v>0</v>
      </c>
      <c r="L35" s="228">
        <f>SUMIFS(Transactions!$J$10:$J$1002,Transactions!$L$10:$L$1002,Monthly_Actual[[#This Row],[Category]],Transactions!$I$10:$I$1002,'Monthly Actual'!L$7)</f>
        <v>0</v>
      </c>
      <c r="M35" s="228">
        <f>SUMIFS(Transactions!$J$10:$J$1002,Transactions!$L$10:$L$1002,Monthly_Actual[[#This Row],[Category]],Transactions!$I$10:$I$1002,'Monthly Actual'!M$7)</f>
        <v>0</v>
      </c>
      <c r="N35" s="228">
        <f>SUMIFS(Transactions!$J$10:$J$1002,Transactions!$L$10:$L$1002,Monthly_Actual[[#This Row],[Category]],Transactions!$I$10:$I$1002,'Monthly Actual'!N$7)</f>
        <v>0</v>
      </c>
      <c r="O35" s="228">
        <f>SUMIFS(Transactions!$J$10:$J$1002,Transactions!$L$10:$L$1002,Monthly_Actual[[#This Row],[Category]],Transactions!$I$10:$I$1002,'Monthly Actual'!O$7)</f>
        <v>0</v>
      </c>
      <c r="P35" s="229">
        <f>SUM(Monthly_Actual[[#This Row],[Column3]:[Column14]])</f>
        <v>500000</v>
      </c>
      <c r="Q35" s="69"/>
    </row>
    <row r="36" spans="2:17" ht="26.1" customHeight="1">
      <c r="B36" s="49" t="s">
        <v>27</v>
      </c>
      <c r="C36" s="50" t="str">
        <f>Summary!C44</f>
        <v>Travelling</v>
      </c>
      <c r="D36" s="218">
        <f>SUMIFS(Transactions!$J$10:$J$1002,Transactions!$L$10:$L$1002,Monthly_Actual[[#This Row],[Category]],Transactions!$I$10:$I$1002,'Monthly Actual'!D$7)</f>
        <v>0</v>
      </c>
      <c r="E36" s="218">
        <f>SUMIFS(Transactions!$J$10:$J$1002,Transactions!$L$10:$L$1002,Monthly_Actual[[#This Row],[Category]],Transactions!$I$10:$I$1002,'Monthly Actual'!E$7)</f>
        <v>0</v>
      </c>
      <c r="F36" s="218">
        <f>SUMIFS(Transactions!$J$10:$J$1002,Transactions!$L$10:$L$1002,Monthly_Actual[[#This Row],[Category]],Transactions!$I$10:$I$1002,'Monthly Actual'!F$7)</f>
        <v>0</v>
      </c>
      <c r="G36" s="218">
        <f>SUMIFS(Transactions!$J$10:$J$1002,Transactions!$L$10:$L$1002,Monthly_Actual[[#This Row],[Category]],Transactions!$I$10:$I$1002,'Monthly Actual'!G$7)</f>
        <v>0</v>
      </c>
      <c r="H36" s="218">
        <f>SUMIFS(Transactions!$J$10:$J$1002,Transactions!$L$10:$L$1002,Monthly_Actual[[#This Row],[Category]],Transactions!$I$10:$I$1002,'Monthly Actual'!H$7)</f>
        <v>0</v>
      </c>
      <c r="I36" s="218">
        <f>SUMIFS(Transactions!$J$10:$J$1002,Transactions!$L$10:$L$1002,Monthly_Actual[[#This Row],[Category]],Transactions!$I$10:$I$1002,'Monthly Actual'!I$7)</f>
        <v>0</v>
      </c>
      <c r="J36" s="218">
        <f>SUMIFS(Transactions!$J$10:$J$1002,Transactions!$L$10:$L$1002,Monthly_Actual[[#This Row],[Category]],Transactions!$I$10:$I$1002,'Monthly Actual'!J$7)</f>
        <v>0</v>
      </c>
      <c r="K36" s="218">
        <f>SUMIFS(Transactions!$J$10:$J$1002,Transactions!$L$10:$L$1002,Monthly_Actual[[#This Row],[Category]],Transactions!$I$10:$I$1002,'Monthly Actual'!K$7)</f>
        <v>0</v>
      </c>
      <c r="L36" s="218">
        <f>SUMIFS(Transactions!$J$10:$J$1002,Transactions!$L$10:$L$1002,Monthly_Actual[[#This Row],[Category]],Transactions!$I$10:$I$1002,'Monthly Actual'!L$7)</f>
        <v>0</v>
      </c>
      <c r="M36" s="218">
        <f>SUMIFS(Transactions!$J$10:$J$1002,Transactions!$L$10:$L$1002,Monthly_Actual[[#This Row],[Category]],Transactions!$I$10:$I$1002,'Monthly Actual'!M$7)</f>
        <v>0</v>
      </c>
      <c r="N36" s="218">
        <f>SUMIFS(Transactions!$J$10:$J$1002,Transactions!$L$10:$L$1002,Monthly_Actual[[#This Row],[Category]],Transactions!$I$10:$I$1002,'Monthly Actual'!N$7)</f>
        <v>0</v>
      </c>
      <c r="O36" s="218">
        <f>SUMIFS(Transactions!$J$10:$J$1002,Transactions!$L$10:$L$1002,Monthly_Actual[[#This Row],[Category]],Transactions!$I$10:$I$1002,'Monthly Actual'!O$7)</f>
        <v>0</v>
      </c>
      <c r="P36" s="227">
        <f>SUM(Monthly_Actual[[#This Row],[Column3]:[Column14]])</f>
        <v>0</v>
      </c>
      <c r="Q36" s="69"/>
    </row>
    <row r="37" spans="2:17" ht="26.1" customHeight="1">
      <c r="B37" s="51" t="s">
        <v>27</v>
      </c>
      <c r="C37" s="52" t="str">
        <f>Summary!C45</f>
        <v>Other discretionary</v>
      </c>
      <c r="D37" s="228">
        <f>SUMIFS(Transactions!$J$10:$J$1002,Transactions!$L$10:$L$1002,Monthly_Actual[[#This Row],[Category]],Transactions!$I$10:$I$1002,'Monthly Actual'!D$7)</f>
        <v>0</v>
      </c>
      <c r="E37" s="228">
        <f>SUMIFS(Transactions!$J$10:$J$1002,Transactions!$L$10:$L$1002,Monthly_Actual[[#This Row],[Category]],Transactions!$I$10:$I$1002,'Monthly Actual'!E$7)</f>
        <v>0</v>
      </c>
      <c r="F37" s="228">
        <f>SUMIFS(Transactions!$J$10:$J$1002,Transactions!$L$10:$L$1002,Monthly_Actual[[#This Row],[Category]],Transactions!$I$10:$I$1002,'Monthly Actual'!F$7)</f>
        <v>0</v>
      </c>
      <c r="G37" s="228">
        <f>SUMIFS(Transactions!$J$10:$J$1002,Transactions!$L$10:$L$1002,Monthly_Actual[[#This Row],[Category]],Transactions!$I$10:$I$1002,'Monthly Actual'!G$7)</f>
        <v>0</v>
      </c>
      <c r="H37" s="228">
        <f>SUMIFS(Transactions!$J$10:$J$1002,Transactions!$L$10:$L$1002,Monthly_Actual[[#This Row],[Category]],Transactions!$I$10:$I$1002,'Monthly Actual'!H$7)</f>
        <v>0</v>
      </c>
      <c r="I37" s="228">
        <f>SUMIFS(Transactions!$J$10:$J$1002,Transactions!$L$10:$L$1002,Monthly_Actual[[#This Row],[Category]],Transactions!$I$10:$I$1002,'Monthly Actual'!I$7)</f>
        <v>0</v>
      </c>
      <c r="J37" s="228">
        <f>SUMIFS(Transactions!$J$10:$J$1002,Transactions!$L$10:$L$1002,Monthly_Actual[[#This Row],[Category]],Transactions!$I$10:$I$1002,'Monthly Actual'!J$7)</f>
        <v>0</v>
      </c>
      <c r="K37" s="228">
        <f>SUMIFS(Transactions!$J$10:$J$1002,Transactions!$L$10:$L$1002,Monthly_Actual[[#This Row],[Category]],Transactions!$I$10:$I$1002,'Monthly Actual'!K$7)</f>
        <v>0</v>
      </c>
      <c r="L37" s="228">
        <f>SUMIFS(Transactions!$J$10:$J$1002,Transactions!$L$10:$L$1002,Monthly_Actual[[#This Row],[Category]],Transactions!$I$10:$I$1002,'Monthly Actual'!L$7)</f>
        <v>0</v>
      </c>
      <c r="M37" s="228">
        <f>SUMIFS(Transactions!$J$10:$J$1002,Transactions!$L$10:$L$1002,Monthly_Actual[[#This Row],[Category]],Transactions!$I$10:$I$1002,'Monthly Actual'!M$7)</f>
        <v>0</v>
      </c>
      <c r="N37" s="228">
        <f>SUMIFS(Transactions!$J$10:$J$1002,Transactions!$L$10:$L$1002,Monthly_Actual[[#This Row],[Category]],Transactions!$I$10:$I$1002,'Monthly Actual'!N$7)</f>
        <v>0</v>
      </c>
      <c r="O37" s="228">
        <f>SUMIFS(Transactions!$J$10:$J$1002,Transactions!$L$10:$L$1002,Monthly_Actual[[#This Row],[Category]],Transactions!$I$10:$I$1002,'Monthly Actual'!O$7)</f>
        <v>0</v>
      </c>
      <c r="P37" s="229">
        <f>SUM(Monthly_Actual[[#This Row],[Column3]:[Column14]])</f>
        <v>0</v>
      </c>
      <c r="Q37" s="69"/>
    </row>
    <row r="38" spans="2:17" ht="26.1" customHeight="1">
      <c r="B38" s="49" t="s">
        <v>27</v>
      </c>
      <c r="C38" s="50" t="str">
        <f>Summary!C46</f>
        <v>Discretionary category 1</v>
      </c>
      <c r="D38" s="218">
        <f>SUMIFS(Transactions!$J$10:$J$1002,Transactions!$L$10:$L$1002,Monthly_Actual[[#This Row],[Category]],Transactions!$I$10:$I$1002,'Monthly Actual'!D$7)</f>
        <v>0</v>
      </c>
      <c r="E38" s="218">
        <f>SUMIFS(Transactions!$J$10:$J$1002,Transactions!$L$10:$L$1002,Monthly_Actual[[#This Row],[Category]],Transactions!$I$10:$I$1002,'Monthly Actual'!E$7)</f>
        <v>0</v>
      </c>
      <c r="F38" s="218">
        <f>SUMIFS(Transactions!$J$10:$J$1002,Transactions!$L$10:$L$1002,Monthly_Actual[[#This Row],[Category]],Transactions!$I$10:$I$1002,'Monthly Actual'!F$7)</f>
        <v>0</v>
      </c>
      <c r="G38" s="218">
        <f>SUMIFS(Transactions!$J$10:$J$1002,Transactions!$L$10:$L$1002,Monthly_Actual[[#This Row],[Category]],Transactions!$I$10:$I$1002,'Monthly Actual'!G$7)</f>
        <v>0</v>
      </c>
      <c r="H38" s="218">
        <f>SUMIFS(Transactions!$J$10:$J$1002,Transactions!$L$10:$L$1002,Monthly_Actual[[#This Row],[Category]],Transactions!$I$10:$I$1002,'Monthly Actual'!H$7)</f>
        <v>0</v>
      </c>
      <c r="I38" s="218">
        <f>SUMIFS(Transactions!$J$10:$J$1002,Transactions!$L$10:$L$1002,Monthly_Actual[[#This Row],[Category]],Transactions!$I$10:$I$1002,'Monthly Actual'!I$7)</f>
        <v>0</v>
      </c>
      <c r="J38" s="218">
        <f>SUMIFS(Transactions!$J$10:$J$1002,Transactions!$L$10:$L$1002,Monthly_Actual[[#This Row],[Category]],Transactions!$I$10:$I$1002,'Monthly Actual'!J$7)</f>
        <v>0</v>
      </c>
      <c r="K38" s="218">
        <f>SUMIFS(Transactions!$J$10:$J$1002,Transactions!$L$10:$L$1002,Monthly_Actual[[#This Row],[Category]],Transactions!$I$10:$I$1002,'Monthly Actual'!K$7)</f>
        <v>0</v>
      </c>
      <c r="L38" s="218">
        <f>SUMIFS(Transactions!$J$10:$J$1002,Transactions!$L$10:$L$1002,Monthly_Actual[[#This Row],[Category]],Transactions!$I$10:$I$1002,'Monthly Actual'!L$7)</f>
        <v>0</v>
      </c>
      <c r="M38" s="218">
        <f>SUMIFS(Transactions!$J$10:$J$1002,Transactions!$L$10:$L$1002,Monthly_Actual[[#This Row],[Category]],Transactions!$I$10:$I$1002,'Monthly Actual'!M$7)</f>
        <v>0</v>
      </c>
      <c r="N38" s="218">
        <f>SUMIFS(Transactions!$J$10:$J$1002,Transactions!$L$10:$L$1002,Monthly_Actual[[#This Row],[Category]],Transactions!$I$10:$I$1002,'Monthly Actual'!N$7)</f>
        <v>0</v>
      </c>
      <c r="O38" s="218">
        <f>SUMIFS(Transactions!$J$10:$J$1002,Transactions!$L$10:$L$1002,Monthly_Actual[[#This Row],[Category]],Transactions!$I$10:$I$1002,'Monthly Actual'!O$7)</f>
        <v>0</v>
      </c>
      <c r="P38" s="227">
        <f>SUM(Monthly_Actual[[#This Row],[Column3]:[Column14]])</f>
        <v>0</v>
      </c>
      <c r="Q38" s="69"/>
    </row>
    <row r="39" spans="2:17" ht="26.1" customHeight="1" thickBot="1">
      <c r="B39" s="51" t="s">
        <v>27</v>
      </c>
      <c r="C39" s="52" t="str">
        <f>Summary!C47</f>
        <v>Discretionary category 2</v>
      </c>
      <c r="D39" s="228">
        <f>SUMIFS(Transactions!$J$10:$J$1002,Transactions!$L$10:$L$1002,Monthly_Actual[[#This Row],[Category]],Transactions!$I$10:$I$1002,'Monthly Actual'!D$7)</f>
        <v>0</v>
      </c>
      <c r="E39" s="228">
        <f>SUMIFS(Transactions!$J$10:$J$1002,Transactions!$L$10:$L$1002,Monthly_Actual[[#This Row],[Category]],Transactions!$I$10:$I$1002,'Monthly Actual'!E$7)</f>
        <v>0</v>
      </c>
      <c r="F39" s="228">
        <f>SUMIFS(Transactions!$J$10:$J$1002,Transactions!$L$10:$L$1002,Monthly_Actual[[#This Row],[Category]],Transactions!$I$10:$I$1002,'Monthly Actual'!F$7)</f>
        <v>0</v>
      </c>
      <c r="G39" s="228">
        <f>SUMIFS(Transactions!$J$10:$J$1002,Transactions!$L$10:$L$1002,Monthly_Actual[[#This Row],[Category]],Transactions!$I$10:$I$1002,'Monthly Actual'!G$7)</f>
        <v>0</v>
      </c>
      <c r="H39" s="228">
        <f>SUMIFS(Transactions!$J$10:$J$1002,Transactions!$L$10:$L$1002,Monthly_Actual[[#This Row],[Category]],Transactions!$I$10:$I$1002,'Monthly Actual'!H$7)</f>
        <v>0</v>
      </c>
      <c r="I39" s="228">
        <f>SUMIFS(Transactions!$J$10:$J$1002,Transactions!$L$10:$L$1002,Monthly_Actual[[#This Row],[Category]],Transactions!$I$10:$I$1002,'Monthly Actual'!I$7)</f>
        <v>0</v>
      </c>
      <c r="J39" s="228">
        <f>SUMIFS(Transactions!$J$10:$J$1002,Transactions!$L$10:$L$1002,Monthly_Actual[[#This Row],[Category]],Transactions!$I$10:$I$1002,'Monthly Actual'!J$7)</f>
        <v>0</v>
      </c>
      <c r="K39" s="228">
        <f>SUMIFS(Transactions!$J$10:$J$1002,Transactions!$L$10:$L$1002,Monthly_Actual[[#This Row],[Category]],Transactions!$I$10:$I$1002,'Monthly Actual'!K$7)</f>
        <v>0</v>
      </c>
      <c r="L39" s="228">
        <f>SUMIFS(Transactions!$J$10:$J$1002,Transactions!$L$10:$L$1002,Monthly_Actual[[#This Row],[Category]],Transactions!$I$10:$I$1002,'Monthly Actual'!L$7)</f>
        <v>0</v>
      </c>
      <c r="M39" s="228">
        <f>SUMIFS(Transactions!$J$10:$J$1002,Transactions!$L$10:$L$1002,Monthly_Actual[[#This Row],[Category]],Transactions!$I$10:$I$1002,'Monthly Actual'!M$7)</f>
        <v>0</v>
      </c>
      <c r="N39" s="228">
        <f>SUMIFS(Transactions!$J$10:$J$1002,Transactions!$L$10:$L$1002,Monthly_Actual[[#This Row],[Category]],Transactions!$I$10:$I$1002,'Monthly Actual'!N$7)</f>
        <v>0</v>
      </c>
      <c r="O39" s="228">
        <f>SUMIFS(Transactions!$J$10:$J$1002,Transactions!$L$10:$L$1002,Monthly_Actual[[#This Row],[Category]],Transactions!$I$10:$I$1002,'Monthly Actual'!O$7)</f>
        <v>0</v>
      </c>
      <c r="P39" s="229">
        <f>SUM(Monthly_Actual[[#This Row],[Column3]:[Column14]])</f>
        <v>0</v>
      </c>
      <c r="Q39" s="69"/>
    </row>
    <row r="40" spans="2:17" ht="26.1" customHeight="1">
      <c r="B40" s="267" t="s">
        <v>84</v>
      </c>
      <c r="C40" s="267"/>
      <c r="D40" s="266">
        <f t="shared" ref="D40:O40" si="3">SUM(D10:D18)-SUM(D19:D39)</f>
        <v>30100000</v>
      </c>
      <c r="E40" s="266">
        <f t="shared" si="3"/>
        <v>0</v>
      </c>
      <c r="F40" s="266">
        <f t="shared" si="3"/>
        <v>0</v>
      </c>
      <c r="G40" s="266">
        <f t="shared" si="3"/>
        <v>0</v>
      </c>
      <c r="H40" s="266">
        <f t="shared" si="3"/>
        <v>0</v>
      </c>
      <c r="I40" s="266">
        <f t="shared" si="3"/>
        <v>0</v>
      </c>
      <c r="J40" s="266">
        <f t="shared" si="3"/>
        <v>0</v>
      </c>
      <c r="K40" s="266">
        <f t="shared" si="3"/>
        <v>0</v>
      </c>
      <c r="L40" s="266">
        <f t="shared" si="3"/>
        <v>0</v>
      </c>
      <c r="M40" s="266">
        <f t="shared" si="3"/>
        <v>0</v>
      </c>
      <c r="N40" s="266">
        <f t="shared" si="3"/>
        <v>0</v>
      </c>
      <c r="O40" s="266">
        <f t="shared" si="3"/>
        <v>0</v>
      </c>
      <c r="P40" s="266">
        <f>SUM(Monthly_Actual[[#This Row],[Column3]:[Column14]])</f>
        <v>30100000</v>
      </c>
      <c r="Q40" s="69"/>
    </row>
    <row r="41" spans="2:17" ht="26.1" customHeight="1">
      <c r="Q41" s="69"/>
    </row>
    <row r="1001" spans="1:1" ht="26.1" customHeight="1">
      <c r="A1001" s="72" t="s">
        <v>46</v>
      </c>
    </row>
  </sheetData>
  <sheetProtection algorithmName="SHA-512" hashValue="/3ne8NHNWmvYPTiTtnqNs5CElTiuzKyEwH4UCVRT+2K/Xvya9qtDTBKSvbzWqSaOdGosfidfY5SHReTP689gzA==" saltValue="srNC1EQY6Mb9R7cQ4ZJ4AQ==" spinCount="100000" sheet="1" autoFilter="0" pivotTables="0"/>
  <mergeCells count="1">
    <mergeCell ref="F2:K2"/>
  </mergeCells>
  <conditionalFormatting sqref="B10:P39">
    <cfRule type="expression" dxfId="214" priority="9">
      <formula>(MOD(ROW(),2)=0)*($B10="Income")</formula>
    </cfRule>
    <cfRule type="expression" dxfId="213" priority="10">
      <formula>(MOD(ROW(),2)&lt;&gt;0)*($B10="Income")</formula>
    </cfRule>
    <cfRule type="expression" dxfId="212" priority="13">
      <formula>(MOD(ROW(),2)=0)*($B10="Expenses")</formula>
    </cfRule>
    <cfRule type="expression" dxfId="211" priority="14">
      <formula>(MOD(ROW(),2)&lt;&gt;0)*($B10="Expenses")</formula>
    </cfRule>
    <cfRule type="expression" dxfId="210" priority="15">
      <formula>(MOD(ROW(),2)&lt;&gt;0)*($B10="Discretionary")</formula>
    </cfRule>
    <cfRule type="expression" dxfId="209" priority="16">
      <formula>(MOD(ROW(),2)=0)*($B10="Discretionary")</formula>
    </cfRule>
  </conditionalFormatting>
  <dataValidations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9" formatCode="[$$-C09]#,##0.00"/>
            </x14:dxf>
          </x14:cfRule>
          <x14:cfRule type="expression" priority="2" id="{F7CC41A5-BE20-4B65-8870-74592D986D08}">
            <xm:f>Transactions!$D$5=Currency!$A$7</xm:f>
            <x14:dxf>
              <numFmt numFmtId="178" formatCode="[$¥-411]#,##0.00"/>
            </x14:dxf>
          </x14:cfRule>
          <x14:cfRule type="expression" priority="3" id="{6FE87E22-A1FC-4596-9AC1-236F81D28725}">
            <xm:f>Transactions!$D$5=Currency!$A$6</xm:f>
            <x14:dxf>
              <numFmt numFmtId="177" formatCode="[$$-4809]#,##0.00"/>
            </x14:dxf>
          </x14:cfRule>
          <x14:cfRule type="expression" priority="4" id="{A79CCA97-6291-4860-A9AE-DCA6B091E29B}">
            <xm:f>Transactions!$D$5=Currency!$A$5</xm:f>
            <x14:dxf>
              <numFmt numFmtId="176" formatCode="[$¥-804]#,##0.00"/>
            </x14:dxf>
          </x14:cfRule>
          <x14:cfRule type="expression" priority="5" id="{F4653CFB-A322-47BC-8D27-D96E1CF4F333}">
            <xm:f>Transactions!$D$5=Currency!$A$4</xm:f>
            <x14:dxf>
              <numFmt numFmtId="175" formatCode="[$£-809]#,##0.00"/>
            </x14:dxf>
          </x14:cfRule>
          <x14:cfRule type="expression" priority="6" id="{95139D70-3E9B-4CF3-B138-C811808F8908}">
            <xm:f>Transactions!$D$5=Currency!$A$3</xm:f>
            <x14:dxf>
              <numFmt numFmtId="174"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3"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49" activePane="bottomLeft" state="frozen"/>
      <selection activeCell="D25" sqref="D25"/>
      <selection pane="bottomLeft" activeCell="F8" sqref="F8"/>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98" t="s">
        <v>103</v>
      </c>
      <c r="C1" s="12"/>
      <c r="D1" s="12"/>
      <c r="E1" s="12"/>
      <c r="F1" s="12"/>
      <c r="G1" s="12"/>
      <c r="H1" s="13"/>
    </row>
    <row r="2" spans="1:12" ht="49.5" customHeight="1">
      <c r="B2" s="377" t="s">
        <v>175</v>
      </c>
      <c r="C2" s="377"/>
      <c r="D2" s="377"/>
      <c r="E2" s="377"/>
      <c r="F2" s="377"/>
      <c r="G2" s="377"/>
      <c r="H2" s="377"/>
      <c r="I2" s="377"/>
    </row>
    <row r="3" spans="1:12" ht="26.25" customHeight="1">
      <c r="B3" s="54" t="s">
        <v>33</v>
      </c>
      <c r="C3" s="230">
        <f>Transactions!C3</f>
        <v>44197</v>
      </c>
      <c r="D3" s="61"/>
      <c r="E3" s="61"/>
      <c r="F3" s="61"/>
      <c r="G3" s="61"/>
      <c r="H3" s="104" t="s">
        <v>142</v>
      </c>
      <c r="I3" s="155">
        <v>379000000</v>
      </c>
    </row>
    <row r="4" spans="1:12" ht="18">
      <c r="B4" s="54" t="s">
        <v>68</v>
      </c>
      <c r="C4" s="231">
        <f>Transactions!C4</f>
        <v>2021</v>
      </c>
      <c r="F4" s="43"/>
      <c r="G4" s="44"/>
    </row>
    <row r="5" spans="1:12">
      <c r="C5" s="23"/>
      <c r="D5" s="24"/>
      <c r="F5" s="378" t="str">
        <f>IF(D48&lt; 0, "Decrease in total savings", "Increase in total savings")</f>
        <v>Increase in total savings</v>
      </c>
      <c r="G5" s="379"/>
    </row>
    <row r="6" spans="1:12" ht="21.75" customHeight="1">
      <c r="C6" s="25" t="s">
        <v>25</v>
      </c>
      <c r="D6" s="26" t="s">
        <v>26</v>
      </c>
      <c r="E6" s="270" t="s">
        <v>134</v>
      </c>
      <c r="F6" s="288">
        <f>E48</f>
        <v>30100000</v>
      </c>
      <c r="G6" s="289">
        <f>H48</f>
        <v>30100000</v>
      </c>
    </row>
    <row r="7" spans="1:12" ht="16.5" customHeight="1">
      <c r="C7" s="290">
        <f>IF(ISBLANK(I3),0,I3)</f>
        <v>379000000</v>
      </c>
      <c r="D7" s="291">
        <f>C7+(C13-F13-I13)</f>
        <v>409100000</v>
      </c>
      <c r="E7" s="313">
        <f>D7-'Saving Accounts'!B13-'Saving Accounts'!D13-Investment!C19-'Net Worth'!D15-'Net Worth'!D16-'Net Worth'!D17</f>
        <v>0</v>
      </c>
      <c r="F7" s="292" t="str">
        <f>IF(F6&lt;0, "Spent this month", "Saved this month")</f>
        <v>Saved this month</v>
      </c>
      <c r="G7" s="293"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87">
        <f>SUMIF(Summary[Type],B$9,Summary[MTD Forecast])</f>
        <v>32456320</v>
      </c>
      <c r="E10" s="33" t="s">
        <v>28</v>
      </c>
      <c r="F10" s="287">
        <f>SUMIF(Summary[Type],E$9,Summary[MTD Forecast])</f>
        <v>19091111.111111112</v>
      </c>
      <c r="H10" s="33" t="s">
        <v>28</v>
      </c>
      <c r="I10" s="287">
        <f>SUMIF(Summary[Type],H$9,Summary[MTD Forecast])</f>
        <v>700000</v>
      </c>
      <c r="K10" s="34"/>
      <c r="L10" s="34"/>
    </row>
    <row r="11" spans="1:12">
      <c r="B11" s="35" t="s">
        <v>29</v>
      </c>
      <c r="C11" s="287">
        <f>SUMIF(Summary[Type],B$9,Summary[MTD Actual])</f>
        <v>38000000</v>
      </c>
      <c r="E11" s="35" t="s">
        <v>29</v>
      </c>
      <c r="F11" s="287">
        <f>SUMIF(Summary[Type],E$9,Summary[MTD Actual])</f>
        <v>7200000</v>
      </c>
      <c r="H11" s="35" t="s">
        <v>29</v>
      </c>
      <c r="I11" s="287">
        <f>SUMIF(Summary[Type],H$9,Summary[MTD Actual])</f>
        <v>700000</v>
      </c>
      <c r="K11" s="34"/>
      <c r="L11" s="34"/>
    </row>
    <row r="12" spans="1:12">
      <c r="B12" s="33" t="s">
        <v>30</v>
      </c>
      <c r="C12" s="287">
        <f>SUMIF(Summary[Type],B$9,Summary[YTD Forecast])</f>
        <v>32456320</v>
      </c>
      <c r="E12" s="33" t="s">
        <v>30</v>
      </c>
      <c r="F12" s="287">
        <f>SUMIF(Summary[Type],E$9,Summary[YTD Forecast])</f>
        <v>19091111.111111112</v>
      </c>
      <c r="H12" s="33" t="s">
        <v>30</v>
      </c>
      <c r="I12" s="287">
        <f>SUMIF(Summary[Type],H$9,Summary[YTD Forecast])</f>
        <v>700000</v>
      </c>
      <c r="K12" s="34"/>
      <c r="L12" s="34"/>
    </row>
    <row r="13" spans="1:12">
      <c r="B13" s="35" t="s">
        <v>31</v>
      </c>
      <c r="C13" s="287">
        <f>SUMIF(Summary[Type],B$9,Summary[YTD Actual])</f>
        <v>38000000</v>
      </c>
      <c r="E13" s="35" t="s">
        <v>31</v>
      </c>
      <c r="F13" s="287">
        <f>SUMIF(Summary[Type],E$9,Summary[YTD Actual])</f>
        <v>7200000</v>
      </c>
      <c r="H13" s="35" t="s">
        <v>31</v>
      </c>
      <c r="I13" s="287">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5"/>
      <c r="C16" s="95"/>
      <c r="D16" s="95" t="s">
        <v>35</v>
      </c>
      <c r="E16" s="95" t="s">
        <v>36</v>
      </c>
      <c r="F16" s="95" t="s">
        <v>37</v>
      </c>
      <c r="G16" s="95" t="s">
        <v>35</v>
      </c>
      <c r="H16" s="95" t="s">
        <v>36</v>
      </c>
      <c r="I16" s="95" t="s">
        <v>37</v>
      </c>
    </row>
    <row r="17" spans="2:9" ht="18.75" hidden="1" thickBot="1">
      <c r="B17" s="36" t="s">
        <v>32</v>
      </c>
      <c r="C17" s="36" t="s">
        <v>5</v>
      </c>
      <c r="D17" s="36" t="s">
        <v>38</v>
      </c>
      <c r="E17" s="36" t="s">
        <v>39</v>
      </c>
      <c r="F17" s="36" t="s">
        <v>40</v>
      </c>
      <c r="G17" s="36" t="s">
        <v>41</v>
      </c>
      <c r="H17" s="36" t="s">
        <v>42</v>
      </c>
      <c r="I17" s="36" t="s">
        <v>43</v>
      </c>
    </row>
    <row r="18" spans="2:9">
      <c r="B18" s="156" t="s">
        <v>1</v>
      </c>
      <c r="C18" s="157" t="s">
        <v>11</v>
      </c>
      <c r="D18" s="283">
        <f>SUMPRODUCT((Monthly_Forecast[[Jan-21]:[Dec-21]])*(Monthly_Forecast[Category]=Summary!$C18)*('Monthly Forecast'!$D$6:$O$6=Summary!D$15))</f>
        <v>20000000</v>
      </c>
      <c r="E18" s="283">
        <f>SUMPRODUCT((Monthly_Actual[[Column3]:[Column14]])*(Monthly_Actual[Category]=Summary!$C18)*('Monthly Actual'!$D$6:$O$6=Summary!E$15))</f>
        <v>20000000</v>
      </c>
      <c r="F18" s="283">
        <f>D18-E18</f>
        <v>0</v>
      </c>
      <c r="G18" s="283">
        <f>SUMPRODUCT((Monthly_Forecast[[Jan-21]:[Dec-21]])*(Monthly_Forecast[Category]=Summary!$C18)*('Monthly Forecast'!$D$5:$O$5=Summary!G$15))</f>
        <v>20000000</v>
      </c>
      <c r="H18" s="283">
        <f>SUMPRODUCT((Monthly_Actual[[Column3]:[Column14]])*(Monthly_Actual[Category]=Summary!$C18)*('Monthly Actual'!$D$5:$O$5=Summary!H$15))</f>
        <v>20000000</v>
      </c>
      <c r="I18" s="283">
        <f>G18-H18</f>
        <v>0</v>
      </c>
    </row>
    <row r="19" spans="2:9">
      <c r="B19" s="147" t="s">
        <v>1</v>
      </c>
      <c r="C19" s="148" t="s">
        <v>44</v>
      </c>
      <c r="D19" s="223">
        <f>SUMPRODUCT((Monthly_Forecast[[Jan-21]:[Dec-21]])*(Monthly_Forecast[Category]=Summary!$C19)*('Monthly Forecast'!$D$6:$O$6=Summary!D$15))</f>
        <v>0</v>
      </c>
      <c r="E19" s="223">
        <f>SUMPRODUCT((Monthly_Actual[[Column3]:[Column14]])*(Monthly_Actual[Category]=Summary!$C19)*('Monthly Actual'!$D$6:$O$6=Summary!E$15))</f>
        <v>0</v>
      </c>
      <c r="F19" s="223">
        <f t="shared" ref="F19:F47" si="0">D19-E19</f>
        <v>0</v>
      </c>
      <c r="G19" s="223">
        <f>SUMPRODUCT((Monthly_Forecast[[Jan-21]:[Dec-21]])*(Monthly_Forecast[Category]=Summary!$C19)*('Monthly Forecast'!$D$5:$O$5=Summary!G$15))</f>
        <v>0</v>
      </c>
      <c r="H19" s="223">
        <f>SUMPRODUCT((Monthly_Actual[[Column3]:[Column14]])*(Monthly_Actual[Category]=Summary!$C19)*('Monthly Actual'!$D$5:$O$5=Summary!H$15))</f>
        <v>0</v>
      </c>
      <c r="I19" s="223">
        <f t="shared" ref="I19:I47" si="1">G19-H19</f>
        <v>0</v>
      </c>
    </row>
    <row r="20" spans="2:9">
      <c r="B20" s="149" t="s">
        <v>1</v>
      </c>
      <c r="C20" s="150" t="s">
        <v>45</v>
      </c>
      <c r="D20" s="225">
        <f>SUMPRODUCT((Monthly_Forecast[[Jan-21]:[Dec-21]])*(Monthly_Forecast[Category]=Summary!$C20)*('Monthly Forecast'!$D$6:$O$6=Summary!D$15))</f>
        <v>0</v>
      </c>
      <c r="E20" s="225">
        <f>SUMPRODUCT((Monthly_Actual[[Column3]:[Column14]])*(Monthly_Actual[Category]=Summary!$C20)*('Monthly Actual'!$D$6:$O$6=Summary!E$15))</f>
        <v>0</v>
      </c>
      <c r="F20" s="225">
        <f t="shared" si="0"/>
        <v>0</v>
      </c>
      <c r="G20" s="225">
        <f>SUMPRODUCT((Monthly_Forecast[[Jan-21]:[Dec-21]])*(Monthly_Forecast[Category]=Summary!$C20)*('Monthly Forecast'!$D$5:$O$5=Summary!G$15))</f>
        <v>0</v>
      </c>
      <c r="H20" s="225">
        <f>SUMPRODUCT((Monthly_Actual[[Column3]:[Column14]])*(Monthly_Actual[Category]=Summary!$C20)*('Monthly Actual'!$D$5:$O$5=Summary!H$15))</f>
        <v>0</v>
      </c>
      <c r="I20" s="225">
        <f t="shared" si="1"/>
        <v>0</v>
      </c>
    </row>
    <row r="21" spans="2:9">
      <c r="B21" s="147" t="s">
        <v>1</v>
      </c>
      <c r="C21" s="148" t="s">
        <v>10</v>
      </c>
      <c r="D21" s="223">
        <f>SUMPRODUCT((Monthly_Forecast[[Jan-21]:[Dec-21]])*(Monthly_Forecast[Category]=Summary!$C21)*('Monthly Forecast'!$D$6:$O$6=Summary!D$15))</f>
        <v>12456320</v>
      </c>
      <c r="E21" s="223">
        <f>SUMPRODUCT((Monthly_Actual[[Column3]:[Column14]])*(Monthly_Actual[Category]=Summary!$C21)*('Monthly Actual'!$D$6:$O$6=Summary!E$15))</f>
        <v>18000000</v>
      </c>
      <c r="F21" s="223">
        <f t="shared" si="0"/>
        <v>-5543680</v>
      </c>
      <c r="G21" s="223">
        <f>SUMPRODUCT((Monthly_Forecast[[Jan-21]:[Dec-21]])*(Monthly_Forecast[Category]=Summary!$C21)*('Monthly Forecast'!$D$5:$O$5=Summary!G$15))</f>
        <v>12456320</v>
      </c>
      <c r="H21" s="223">
        <f>SUMPRODUCT((Monthly_Actual[[Column3]:[Column14]])*(Monthly_Actual[Category]=Summary!$C21)*('Monthly Actual'!$D$5:$O$5=Summary!H$15))</f>
        <v>18000000</v>
      </c>
      <c r="I21" s="223">
        <f t="shared" si="1"/>
        <v>-5543680</v>
      </c>
    </row>
    <row r="22" spans="2:9">
      <c r="B22" s="147" t="s">
        <v>1</v>
      </c>
      <c r="C22" s="148" t="s">
        <v>15</v>
      </c>
      <c r="D22" s="223">
        <f>SUMPRODUCT((Monthly_Forecast[[Jan-21]:[Dec-21]])*(Monthly_Forecast[Category]=Summary!$C22)*('Monthly Forecast'!$D$6:$O$6=Summary!D$15))</f>
        <v>0</v>
      </c>
      <c r="E22" s="223">
        <f>SUMPRODUCT((Monthly_Actual[[Column3]:[Column14]])*(Monthly_Actual[Category]=Summary!$C22)*('Monthly Actual'!$D$6:$O$6=Summary!E$15))</f>
        <v>0</v>
      </c>
      <c r="F22" s="223">
        <f t="shared" ref="F22" si="2">D22-E22</f>
        <v>0</v>
      </c>
      <c r="G22" s="223">
        <f>SUMPRODUCT((Monthly_Forecast[[Jan-21]:[Dec-21]])*(Monthly_Forecast[Category]=Summary!$C22)*('Monthly Forecast'!$D$5:$O$5=Summary!G$15))</f>
        <v>0</v>
      </c>
      <c r="H22" s="223">
        <f>SUMPRODUCT((Monthly_Actual[[Column3]:[Column14]])*(Monthly_Actual[Category]=Summary!$C22)*('Monthly Actual'!$D$5:$O$5=Summary!H$15))</f>
        <v>0</v>
      </c>
      <c r="I22" s="223">
        <f t="shared" ref="I22" si="3">G22-H22</f>
        <v>0</v>
      </c>
    </row>
    <row r="23" spans="2:9">
      <c r="B23" s="149" t="s">
        <v>1</v>
      </c>
      <c r="C23" s="150" t="s">
        <v>168</v>
      </c>
      <c r="D23" s="225">
        <f>SUMPRODUCT((Monthly_Forecast[[Jan-21]:[Dec-21]])*(Monthly_Forecast[Category]=Summary!$C23)*('Monthly Forecast'!$D$6:$O$6=Summary!D$15))</f>
        <v>0</v>
      </c>
      <c r="E23" s="225">
        <f>SUMPRODUCT((Monthly_Actual[[Column3]:[Column14]])*(Monthly_Actual[Category]=Summary!$C23)*('Monthly Actual'!$D$6:$O$6=Summary!E$15))</f>
        <v>0</v>
      </c>
      <c r="F23" s="225">
        <f t="shared" si="0"/>
        <v>0</v>
      </c>
      <c r="G23" s="225">
        <f>SUMPRODUCT((Monthly_Forecast[[Jan-21]:[Dec-21]])*(Monthly_Forecast[Category]=Summary!$C23)*('Monthly Forecast'!$D$5:$O$5=Summary!G$15))</f>
        <v>0</v>
      </c>
      <c r="H23" s="225">
        <f>SUMPRODUCT((Monthly_Actual[[Column3]:[Column14]])*(Monthly_Actual[Category]=Summary!$C23)*('Monthly Actual'!$D$5:$O$5=Summary!H$15))</f>
        <v>0</v>
      </c>
      <c r="I23" s="225">
        <f t="shared" si="1"/>
        <v>0</v>
      </c>
    </row>
    <row r="24" spans="2:9">
      <c r="B24" s="147" t="s">
        <v>1</v>
      </c>
      <c r="C24" s="148" t="s">
        <v>8</v>
      </c>
      <c r="D24" s="223">
        <f>SUMPRODUCT((Monthly_Forecast[[Jan-21]:[Dec-21]])*(Monthly_Forecast[Category]=Summary!$C24)*('Monthly Forecast'!$D$6:$O$6=Summary!D$15))</f>
        <v>0</v>
      </c>
      <c r="E24" s="223">
        <f>SUMPRODUCT((Monthly_Actual[[Column3]:[Column14]])*(Monthly_Actual[Category]=Summary!$C24)*('Monthly Actual'!$D$6:$O$6=Summary!E$15))</f>
        <v>0</v>
      </c>
      <c r="F24" s="223">
        <f t="shared" si="0"/>
        <v>0</v>
      </c>
      <c r="G24" s="223">
        <f>SUMPRODUCT((Monthly_Forecast[[Jan-21]:[Dec-21]])*(Monthly_Forecast[Category]=Summary!$C24)*('Monthly Forecast'!$D$5:$O$5=Summary!G$15))</f>
        <v>0</v>
      </c>
      <c r="H24" s="223">
        <f>SUMPRODUCT((Monthly_Actual[[Column3]:[Column14]])*(Monthly_Actual[Category]=Summary!$C24)*('Monthly Actual'!$D$5:$O$5=Summary!H$15))</f>
        <v>0</v>
      </c>
      <c r="I24" s="223">
        <f t="shared" si="1"/>
        <v>0</v>
      </c>
    </row>
    <row r="25" spans="2:9">
      <c r="B25" s="149" t="s">
        <v>1</v>
      </c>
      <c r="C25" s="150" t="s">
        <v>226</v>
      </c>
      <c r="D25" s="225">
        <f>SUMPRODUCT((Monthly_Forecast[[Jan-21]:[Dec-21]])*(Monthly_Forecast[Category]=Summary!$C25)*('Monthly Forecast'!$D$6:$O$6=Summary!D$15))</f>
        <v>0</v>
      </c>
      <c r="E25" s="225">
        <f>SUMPRODUCT((Monthly_Actual[[Column3]:[Column14]])*(Monthly_Actual[Category]=Summary!$C25)*('Monthly Actual'!$D$6:$O$6=Summary!E$15))</f>
        <v>0</v>
      </c>
      <c r="F25" s="225">
        <f t="shared" si="0"/>
        <v>0</v>
      </c>
      <c r="G25" s="225">
        <f>SUMPRODUCT((Monthly_Forecast[[Jan-21]:[Dec-21]])*(Monthly_Forecast[Category]=Summary!$C25)*('Monthly Forecast'!$D$5:$O$5=Summary!G$15))</f>
        <v>0</v>
      </c>
      <c r="H25" s="225">
        <f>SUMPRODUCT((Monthly_Actual[[Column3]:[Column14]])*(Monthly_Actual[Category]=Summary!$C25)*('Monthly Actual'!$D$5:$O$5=Summary!H$15))</f>
        <v>0</v>
      </c>
      <c r="I25" s="225">
        <f t="shared" si="1"/>
        <v>0</v>
      </c>
    </row>
    <row r="26" spans="2:9">
      <c r="B26" s="147" t="s">
        <v>1</v>
      </c>
      <c r="C26" s="148" t="s">
        <v>46</v>
      </c>
      <c r="D26" s="223">
        <f>SUMPRODUCT((Monthly_Forecast[[Jan-21]:[Dec-21]])*(Monthly_Forecast[Category]=Summary!$C26)*('Monthly Forecast'!$D$6:$O$6=Summary!D$15))</f>
        <v>0</v>
      </c>
      <c r="E26" s="223">
        <f>SUMPRODUCT((Monthly_Actual[[Column3]:[Column14]])*(Monthly_Actual[Category]=Summary!$C26)*('Monthly Actual'!$D$6:$O$6=Summary!E$15))</f>
        <v>0</v>
      </c>
      <c r="F26" s="223">
        <f t="shared" si="0"/>
        <v>0</v>
      </c>
      <c r="G26" s="223">
        <f>SUMPRODUCT((Monthly_Forecast[[Jan-21]:[Dec-21]])*(Monthly_Forecast[Category]=Summary!$C26)*('Monthly Forecast'!$D$5:$O$5=Summary!G$15))</f>
        <v>0</v>
      </c>
      <c r="H26" s="223">
        <f>SUMPRODUCT((Monthly_Actual[[Column3]:[Column14]])*(Monthly_Actual[Category]=Summary!$C26)*('Monthly Actual'!$D$5:$O$5=Summary!H$15))</f>
        <v>0</v>
      </c>
      <c r="I26" s="223">
        <f t="shared" si="1"/>
        <v>0</v>
      </c>
    </row>
    <row r="27" spans="2:9">
      <c r="B27" s="160" t="s">
        <v>0</v>
      </c>
      <c r="C27" s="161" t="s">
        <v>169</v>
      </c>
      <c r="D27" s="284">
        <f>SUMPRODUCT((Monthly_Forecast[[Jan-21]:[Dec-21]])*(Monthly_Forecast[Category]=Summary!$C27)*('Monthly Forecast'!$D$6:$O$6=Summary!D$15))</f>
        <v>6000000</v>
      </c>
      <c r="E27" s="284">
        <f>SUMPRODUCT((Monthly_Actual[[Column3]:[Column14]])*(Monthly_Actual[Category]=Summary!$C27)*('Monthly Actual'!$D$6:$O$6=Summary!E$15))</f>
        <v>4600000</v>
      </c>
      <c r="F27" s="284">
        <f t="shared" si="0"/>
        <v>1400000</v>
      </c>
      <c r="G27" s="284">
        <f>SUMPRODUCT((Monthly_Forecast[[Jan-21]:[Dec-21]])*(Monthly_Forecast[Category]=Summary!$C27)*('Monthly Forecast'!$D$5:$O$5=Summary!G$15))</f>
        <v>6000000</v>
      </c>
      <c r="H27" s="284">
        <f>SUMPRODUCT((Monthly_Actual[[Column3]:[Column14]])*(Monthly_Actual[Category]=Summary!$C27)*('Monthly Actual'!$D$5:$O$5=Summary!H$15))</f>
        <v>4600000</v>
      </c>
      <c r="I27" s="284">
        <f t="shared" si="1"/>
        <v>1400000</v>
      </c>
    </row>
    <row r="28" spans="2:9">
      <c r="B28" s="149" t="s">
        <v>0</v>
      </c>
      <c r="C28" s="150" t="s">
        <v>14</v>
      </c>
      <c r="D28" s="225">
        <f>SUMPRODUCT((Monthly_Forecast[[Jan-21]:[Dec-21]])*(Monthly_Forecast[Category]=Summary!$C28)*('Monthly Forecast'!$D$6:$O$6=Summary!D$15))</f>
        <v>300000</v>
      </c>
      <c r="E28" s="225">
        <f>SUMPRODUCT((Monthly_Actual[[Column3]:[Column14]])*(Monthly_Actual[Category]=Summary!$C28)*('Monthly Actual'!$D$6:$O$6=Summary!E$15))</f>
        <v>200000</v>
      </c>
      <c r="F28" s="225">
        <f t="shared" si="0"/>
        <v>100000</v>
      </c>
      <c r="G28" s="225">
        <f>SUMPRODUCT((Monthly_Forecast[[Jan-21]:[Dec-21]])*(Monthly_Forecast[Category]=Summary!$C28)*('Monthly Forecast'!$D$5:$O$5=Summary!G$15))</f>
        <v>300000</v>
      </c>
      <c r="H28" s="225">
        <f>SUMPRODUCT((Monthly_Actual[[Column3]:[Column14]])*(Monthly_Actual[Category]=Summary!$C28)*('Monthly Actual'!$D$5:$O$5=Summary!H$15))</f>
        <v>200000</v>
      </c>
      <c r="I28" s="225">
        <f t="shared" si="1"/>
        <v>100000</v>
      </c>
    </row>
    <row r="29" spans="2:9">
      <c r="B29" s="147" t="s">
        <v>0</v>
      </c>
      <c r="C29" s="148" t="s">
        <v>13</v>
      </c>
      <c r="D29" s="223">
        <f>SUMPRODUCT((Monthly_Forecast[[Jan-21]:[Dec-21]])*(Monthly_Forecast[Category]=Summary!$C29)*('Monthly Forecast'!$D$6:$O$6=Summary!D$15))</f>
        <v>1000000</v>
      </c>
      <c r="E29" s="223">
        <f>SUMPRODUCT((Monthly_Actual[[Column3]:[Column14]])*(Monthly_Actual[Category]=Summary!$C29)*('Monthly Actual'!$D$6:$O$6=Summary!E$15))</f>
        <v>800000</v>
      </c>
      <c r="F29" s="223">
        <f t="shared" si="0"/>
        <v>200000</v>
      </c>
      <c r="G29" s="223">
        <f>SUMPRODUCT((Monthly_Forecast[[Jan-21]:[Dec-21]])*(Monthly_Forecast[Category]=Summary!$C29)*('Monthly Forecast'!$D$5:$O$5=Summary!G$15))</f>
        <v>1000000</v>
      </c>
      <c r="H29" s="223">
        <f>SUMPRODUCT((Monthly_Actual[[Column3]:[Column14]])*(Monthly_Actual[Category]=Summary!$C29)*('Monthly Actual'!$D$5:$O$5=Summary!H$15))</f>
        <v>800000</v>
      </c>
      <c r="I29" s="223">
        <f t="shared" si="1"/>
        <v>200000</v>
      </c>
    </row>
    <row r="30" spans="2:9">
      <c r="B30" s="149" t="s">
        <v>0</v>
      </c>
      <c r="C30" s="150" t="s">
        <v>173</v>
      </c>
      <c r="D30" s="225">
        <f>SUMPRODUCT((Monthly_Forecast[[Jan-21]:[Dec-21]])*(Monthly_Forecast[Category]=Summary!$C30)*('Monthly Forecast'!$D$6:$O$6=Summary!D$15))</f>
        <v>1100000</v>
      </c>
      <c r="E30" s="225">
        <f>SUMPRODUCT((Monthly_Actual[[Column3]:[Column14]])*(Monthly_Actual[Category]=Summary!$C30)*('Monthly Actual'!$D$6:$O$6=Summary!E$15))</f>
        <v>1000000</v>
      </c>
      <c r="F30" s="225">
        <f t="shared" si="0"/>
        <v>100000</v>
      </c>
      <c r="G30" s="225">
        <f>SUMPRODUCT((Monthly_Forecast[[Jan-21]:[Dec-21]])*(Monthly_Forecast[Category]=Summary!$C30)*('Monthly Forecast'!$D$5:$O$5=Summary!G$15))</f>
        <v>1100000</v>
      </c>
      <c r="H30" s="225">
        <f>SUMPRODUCT((Monthly_Actual[[Column3]:[Column14]])*(Monthly_Actual[Category]=Summary!$C30)*('Monthly Actual'!$D$5:$O$5=Summary!H$15))</f>
        <v>1000000</v>
      </c>
      <c r="I30" s="225">
        <f t="shared" si="1"/>
        <v>100000</v>
      </c>
    </row>
    <row r="31" spans="2:9">
      <c r="B31" s="147" t="s">
        <v>0</v>
      </c>
      <c r="C31" s="148" t="s">
        <v>20</v>
      </c>
      <c r="D31" s="223">
        <f>SUMPRODUCT((Monthly_Forecast[[Jan-21]:[Dec-21]])*(Monthly_Forecast[Category]=Summary!$C31)*('Monthly Forecast'!$D$6:$O$6=Summary!D$15))</f>
        <v>500000</v>
      </c>
      <c r="E31" s="223">
        <f>SUMPRODUCT((Monthly_Actual[[Column3]:[Column14]])*(Monthly_Actual[Category]=Summary!$C31)*('Monthly Actual'!$D$6:$O$6=Summary!E$15))</f>
        <v>400000</v>
      </c>
      <c r="F31" s="223">
        <f t="shared" si="0"/>
        <v>100000</v>
      </c>
      <c r="G31" s="223">
        <f>SUMPRODUCT((Monthly_Forecast[[Jan-21]:[Dec-21]])*(Monthly_Forecast[Category]=Summary!$C31)*('Monthly Forecast'!$D$5:$O$5=Summary!G$15))</f>
        <v>500000</v>
      </c>
      <c r="H31" s="223">
        <f>SUMPRODUCT((Monthly_Actual[[Column3]:[Column14]])*(Monthly_Actual[Category]=Summary!$C31)*('Monthly Actual'!$D$5:$O$5=Summary!H$15))</f>
        <v>400000</v>
      </c>
      <c r="I31" s="223">
        <f t="shared" si="1"/>
        <v>100000</v>
      </c>
    </row>
    <row r="32" spans="2:9">
      <c r="B32" s="149" t="s">
        <v>0</v>
      </c>
      <c r="C32" s="150" t="s">
        <v>174</v>
      </c>
      <c r="D32" s="225">
        <f>SUMPRODUCT((Monthly_Forecast[[Jan-21]:[Dec-21]])*(Monthly_Forecast[Category]=Summary!$C32)*('Monthly Forecast'!$D$6:$O$6=Summary!D$15))</f>
        <v>5000000</v>
      </c>
      <c r="E32" s="225">
        <f>SUMPRODUCT((Monthly_Actual[[Column3]:[Column14]])*(Monthly_Actual[Category]=Summary!$C32)*('Monthly Actual'!$D$6:$O$6=Summary!E$15))</f>
        <v>0</v>
      </c>
      <c r="F32" s="225">
        <f t="shared" si="0"/>
        <v>5000000</v>
      </c>
      <c r="G32" s="225">
        <f>SUMPRODUCT((Monthly_Forecast[[Jan-21]:[Dec-21]])*(Monthly_Forecast[Category]=Summary!$C32)*('Monthly Forecast'!$D$5:$O$5=Summary!G$15))</f>
        <v>5000000</v>
      </c>
      <c r="H32" s="225">
        <f>SUMPRODUCT((Monthly_Actual[[Column3]:[Column14]])*(Monthly_Actual[Category]=Summary!$C32)*('Monthly Actual'!$D$5:$O$5=Summary!H$15))</f>
        <v>0</v>
      </c>
      <c r="I32" s="225">
        <f t="shared" si="1"/>
        <v>5000000</v>
      </c>
    </row>
    <row r="33" spans="2:9">
      <c r="B33" s="149" t="s">
        <v>0</v>
      </c>
      <c r="C33" s="150" t="s">
        <v>24</v>
      </c>
      <c r="D33" s="225">
        <f>SUMPRODUCT((Monthly_Forecast[[Jan-21]:[Dec-21]])*(Monthly_Forecast[Category]=Summary!$C33)*('Monthly Forecast'!$D$6:$O$6=Summary!D$15))</f>
        <v>0</v>
      </c>
      <c r="E33" s="225">
        <f>SUMPRODUCT((Monthly_Actual[[Column3]:[Column14]])*(Monthly_Actual[Category]=Summary!$C33)*('Monthly Actual'!$D$6:$O$6=Summary!E$15))</f>
        <v>0</v>
      </c>
      <c r="F33" s="225">
        <f t="shared" si="0"/>
        <v>0</v>
      </c>
      <c r="G33" s="225">
        <f>SUMPRODUCT((Monthly_Forecast[[Jan-21]:[Dec-21]])*(Monthly_Forecast[Category]=Summary!$C33)*('Monthly Forecast'!$D$5:$O$5=Summary!G$15))</f>
        <v>0</v>
      </c>
      <c r="H33" s="225">
        <f>SUMPRODUCT((Monthly_Actual[[Column3]:[Column14]])*(Monthly_Actual[Category]=Summary!$C33)*('Monthly Actual'!$D$5:$O$5=Summary!H$15))</f>
        <v>0</v>
      </c>
      <c r="I33" s="225">
        <f t="shared" si="1"/>
        <v>0</v>
      </c>
    </row>
    <row r="34" spans="2:9">
      <c r="B34" s="147" t="s">
        <v>0</v>
      </c>
      <c r="C34" s="148" t="s">
        <v>159</v>
      </c>
      <c r="D34" s="223">
        <f>SUMPRODUCT((Monthly_Forecast[[Jan-21]:[Dec-21]])*(Monthly_Forecast[Category]=Summary!$C34)*('Monthly Forecast'!$D$6:$O$6=Summary!D$15))</f>
        <v>0</v>
      </c>
      <c r="E34" s="223">
        <f>SUMPRODUCT((Monthly_Actual[[Column3]:[Column14]])*(Monthly_Actual[Category]=Summary!$C34)*('Monthly Actual'!$D$6:$O$6=Summary!E$15))</f>
        <v>0</v>
      </c>
      <c r="F34" s="223">
        <f t="shared" si="0"/>
        <v>0</v>
      </c>
      <c r="G34" s="223">
        <f>SUMPRODUCT((Monthly_Forecast[[Jan-21]:[Dec-21]])*(Monthly_Forecast[Category]=Summary!$C34)*('Monthly Forecast'!$D$5:$O$5=Summary!G$15))</f>
        <v>0</v>
      </c>
      <c r="H34" s="223">
        <f>SUMPRODUCT((Monthly_Actual[[Column3]:[Column14]])*(Monthly_Actual[Category]=Summary!$C34)*('Monthly Actual'!$D$5:$O$5=Summary!H$15))</f>
        <v>0</v>
      </c>
      <c r="I34" s="223">
        <f t="shared" si="1"/>
        <v>0</v>
      </c>
    </row>
    <row r="35" spans="2:9">
      <c r="B35" s="149" t="s">
        <v>0</v>
      </c>
      <c r="C35" s="150" t="s">
        <v>23</v>
      </c>
      <c r="D35" s="225">
        <f>SUMPRODUCT((Monthly_Forecast[[Jan-21]:[Dec-21]])*(Monthly_Forecast[Category]=Summary!$C35)*('Monthly Forecast'!$D$6:$O$6=Summary!D$15))</f>
        <v>100000</v>
      </c>
      <c r="E35" s="225">
        <f>SUMPRODUCT((Monthly_Actual[[Column3]:[Column14]])*(Monthly_Actual[Category]=Summary!$C35)*('Monthly Actual'!$D$6:$O$6=Summary!E$15))</f>
        <v>200000</v>
      </c>
      <c r="F35" s="225">
        <f t="shared" si="0"/>
        <v>-100000</v>
      </c>
      <c r="G35" s="225">
        <f>SUMPRODUCT((Monthly_Forecast[[Jan-21]:[Dec-21]])*(Monthly_Forecast[Category]=Summary!$C35)*('Monthly Forecast'!$D$5:$O$5=Summary!G$15))</f>
        <v>100000</v>
      </c>
      <c r="H35" s="225">
        <f>SUMPRODUCT((Monthly_Actual[[Column3]:[Column14]])*(Monthly_Actual[Category]=Summary!$C35)*('Monthly Actual'!$D$5:$O$5=Summary!H$15))</f>
        <v>200000</v>
      </c>
      <c r="I35" s="225">
        <f t="shared" si="1"/>
        <v>-100000</v>
      </c>
    </row>
    <row r="36" spans="2:9">
      <c r="B36" s="149" t="s">
        <v>0</v>
      </c>
      <c r="C36" s="150" t="s">
        <v>170</v>
      </c>
      <c r="D36" s="225">
        <f>SUMPRODUCT((Monthly_Forecast[[Jan-21]:[Dec-21]])*(Monthly_Forecast[Category]=Summary!$C36)*('Monthly Forecast'!$D$6:$O$6=Summary!D$15))</f>
        <v>2222222.222222222</v>
      </c>
      <c r="E36" s="225">
        <f>SUMPRODUCT((Monthly_Actual[[Column3]:[Column14]])*(Monthly_Actual[Category]=Summary!$C36)*('Monthly Actual'!$D$6:$O$6=Summary!E$15))</f>
        <v>0</v>
      </c>
      <c r="F36" s="225">
        <f>D36-E36</f>
        <v>2222222.222222222</v>
      </c>
      <c r="G36" s="225">
        <f>SUMPRODUCT((Monthly_Forecast[[Jan-21]:[Dec-21]])*(Monthly_Forecast[Category]=Summary!$C36)*('Monthly Forecast'!$D$5:$O$5=Summary!G$15))</f>
        <v>2222222.222222222</v>
      </c>
      <c r="H36" s="225">
        <f>SUMPRODUCT((Monthly_Actual[[Column3]:[Column14]])*(Monthly_Actual[Category]=Summary!$C36)*('Monthly Actual'!$D$5:$O$5=Summary!H$15))</f>
        <v>0</v>
      </c>
      <c r="I36" s="225">
        <f>G36-H36</f>
        <v>2222222.222222222</v>
      </c>
    </row>
    <row r="37" spans="2:9">
      <c r="B37" s="147" t="s">
        <v>0</v>
      </c>
      <c r="C37" s="148" t="s">
        <v>171</v>
      </c>
      <c r="D37" s="223">
        <f>SUMPRODUCT((Monthly_Forecast[[Jan-21]:[Dec-21]])*(Monthly_Forecast[Category]=Summary!$C37)*('Monthly Forecast'!$D$6:$O$6=Summary!D$15))</f>
        <v>2768888.8888888899</v>
      </c>
      <c r="E37" s="223">
        <f>SUMPRODUCT((Monthly_Actual[[Column3]:[Column14]])*(Monthly_Actual[Category]=Summary!$C37)*('Monthly Actual'!$D$6:$O$6=Summary!E$15))</f>
        <v>0</v>
      </c>
      <c r="F37" s="223">
        <f>D37-E37</f>
        <v>2768888.8888888899</v>
      </c>
      <c r="G37" s="223">
        <f>SUMPRODUCT((Monthly_Forecast[[Jan-21]:[Dec-21]])*(Monthly_Forecast[Category]=Summary!$C37)*('Monthly Forecast'!$D$5:$O$5=Summary!G$15))</f>
        <v>2768888.8888888899</v>
      </c>
      <c r="H37" s="223">
        <f>SUMPRODUCT((Monthly_Actual[[Column3]:[Column14]])*(Monthly_Actual[Category]=Summary!$C37)*('Monthly Actual'!$D$5:$O$5=Summary!H$15))</f>
        <v>0</v>
      </c>
      <c r="I37" s="223">
        <f>G37-H37</f>
        <v>2768888.8888888899</v>
      </c>
    </row>
    <row r="38" spans="2:9">
      <c r="B38" s="149" t="s">
        <v>0</v>
      </c>
      <c r="C38" s="150" t="s">
        <v>172</v>
      </c>
      <c r="D38" s="225">
        <f>SUMPRODUCT((Monthly_Forecast[[Jan-21]:[Dec-21]])*(Monthly_Forecast[Category]=Summary!$C38)*('Monthly Forecast'!$D$6:$O$6=Summary!D$15))</f>
        <v>0</v>
      </c>
      <c r="E38" s="225">
        <f>SUMPRODUCT((Monthly_Actual[[Column3]:[Column14]])*(Monthly_Actual[Category]=Summary!$C38)*('Monthly Actual'!$D$6:$O$6=Summary!E$15))</f>
        <v>0</v>
      </c>
      <c r="F38" s="225">
        <f>D38-E38</f>
        <v>0</v>
      </c>
      <c r="G38" s="225">
        <f>SUMPRODUCT((Monthly_Forecast[[Jan-21]:[Dec-21]])*(Monthly_Forecast[Category]=Summary!$C38)*('Monthly Forecast'!$D$5:$O$5=Summary!G$15))</f>
        <v>0</v>
      </c>
      <c r="H38" s="225">
        <f>SUMPRODUCT((Monthly_Actual[[Column3]:[Column14]])*(Monthly_Actual[Category]=Summary!$C38)*('Monthly Actual'!$D$5:$O$5=Summary!H$15))</f>
        <v>0</v>
      </c>
      <c r="I38" s="225">
        <f>G38-H38</f>
        <v>0</v>
      </c>
    </row>
    <row r="39" spans="2:9">
      <c r="B39" s="147" t="s">
        <v>0</v>
      </c>
      <c r="C39" s="148" t="s">
        <v>9</v>
      </c>
      <c r="D39" s="223">
        <f>SUMPRODUCT((Monthly_Forecast[[Jan-21]:[Dec-21]])*(Monthly_Forecast[Category]=Summary!$C39)*('Monthly Forecast'!$D$6:$O$6=Summary!D$15))</f>
        <v>100000</v>
      </c>
      <c r="E39" s="223">
        <f>SUMPRODUCT((Monthly_Actual[[Column3]:[Column14]])*(Monthly_Actual[Category]=Summary!$C39)*('Monthly Actual'!$D$6:$O$6=Summary!E$15))</f>
        <v>0</v>
      </c>
      <c r="F39" s="223">
        <f>D39-E39</f>
        <v>100000</v>
      </c>
      <c r="G39" s="223">
        <f>SUMPRODUCT((Monthly_Forecast[[Jan-21]:[Dec-21]])*(Monthly_Forecast[Category]=Summary!$C39)*('Monthly Forecast'!$D$5:$O$5=Summary!G$15))</f>
        <v>100000</v>
      </c>
      <c r="H39" s="223">
        <f>SUMPRODUCT((Monthly_Actual[[Column3]:[Column14]])*(Monthly_Actual[Category]=Summary!$C39)*('Monthly Actual'!$D$5:$O$5=Summary!H$15))</f>
        <v>0</v>
      </c>
      <c r="I39" s="223">
        <f>G39-H39</f>
        <v>100000</v>
      </c>
    </row>
    <row r="40" spans="2:9">
      <c r="B40" s="149" t="s">
        <v>0</v>
      </c>
      <c r="C40" s="150" t="s">
        <v>47</v>
      </c>
      <c r="D40" s="225">
        <f>SUMPRODUCT((Monthly_Forecast[[Jan-21]:[Dec-21]])*(Monthly_Forecast[Category]=Summary!$C40)*('Monthly Forecast'!$D$6:$O$6=Summary!D$15))</f>
        <v>0</v>
      </c>
      <c r="E40" s="225">
        <f>SUMPRODUCT((Monthly_Actual[[Column3]:[Column14]])*(Monthly_Actual[Category]=Summary!$C40)*('Monthly Actual'!$D$6:$O$6=Summary!E$15))</f>
        <v>0</v>
      </c>
      <c r="F40" s="225">
        <f t="shared" si="0"/>
        <v>0</v>
      </c>
      <c r="G40" s="225">
        <f>SUMPRODUCT((Monthly_Forecast[[Jan-21]:[Dec-21]])*(Monthly_Forecast[Category]=Summary!$C40)*('Monthly Forecast'!$D$5:$O$5=Summary!G$15))</f>
        <v>0</v>
      </c>
      <c r="H40" s="225">
        <f>SUMPRODUCT((Monthly_Actual[[Column3]:[Column14]])*(Monthly_Actual[Category]=Summary!$C40)*('Monthly Actual'!$D$5:$O$5=Summary!H$15))</f>
        <v>0</v>
      </c>
      <c r="I40" s="225">
        <f t="shared" si="1"/>
        <v>0</v>
      </c>
    </row>
    <row r="41" spans="2:9">
      <c r="B41" s="147" t="s">
        <v>0</v>
      </c>
      <c r="C41" s="148" t="s">
        <v>48</v>
      </c>
      <c r="D41" s="223">
        <f>SUMPRODUCT((Monthly_Forecast[[Jan-21]:[Dec-21]])*(Monthly_Forecast[Category]=Summary!$C41)*('Monthly Forecast'!$D$6:$O$6=Summary!D$15))</f>
        <v>0</v>
      </c>
      <c r="E41" s="223">
        <f>SUMPRODUCT((Monthly_Actual[[Column3]:[Column14]])*(Monthly_Actual[Category]=Summary!$C41)*('Monthly Actual'!$D$6:$O$6=Summary!E$15))</f>
        <v>0</v>
      </c>
      <c r="F41" s="223">
        <f t="shared" si="0"/>
        <v>0</v>
      </c>
      <c r="G41" s="223">
        <f>SUMPRODUCT((Monthly_Forecast[[Jan-21]:[Dec-21]])*(Monthly_Forecast[Category]=Summary!$C41)*('Monthly Forecast'!$D$5:$O$5=Summary!G$15))</f>
        <v>0</v>
      </c>
      <c r="H41" s="223">
        <f>SUMPRODUCT((Monthly_Actual[[Column3]:[Column14]])*(Monthly_Actual[Category]=Summary!$C41)*('Monthly Actual'!$D$5:$O$5=Summary!H$15))</f>
        <v>0</v>
      </c>
      <c r="I41" s="223">
        <f t="shared" si="1"/>
        <v>0</v>
      </c>
    </row>
    <row r="42" spans="2:9">
      <c r="B42" s="151" t="s">
        <v>27</v>
      </c>
      <c r="C42" s="152" t="s">
        <v>7</v>
      </c>
      <c r="D42" s="218">
        <f>SUMPRODUCT((Monthly_Forecast[[Jan-21]:[Dec-21]])*(Monthly_Forecast[Category]=Summary!$C42)*('Monthly Forecast'!$D$6:$O$6=Summary!D$15))</f>
        <v>300000</v>
      </c>
      <c r="E42" s="218">
        <f>SUMPRODUCT((Monthly_Actual[[Column3]:[Column14]])*(Monthly_Actual[Category]=Summary!$C42)*('Monthly Actual'!$D$6:$O$6=Summary!E$15))</f>
        <v>200000</v>
      </c>
      <c r="F42" s="218">
        <f t="shared" si="0"/>
        <v>100000</v>
      </c>
      <c r="G42" s="218">
        <f>SUMPRODUCT((Monthly_Forecast[[Jan-21]:[Dec-21]])*(Monthly_Forecast[Category]=Summary!$C42)*('Monthly Forecast'!$D$5:$O$5=Summary!G$15))</f>
        <v>300000</v>
      </c>
      <c r="H42" s="218">
        <f>SUMPRODUCT((Monthly_Actual[[Column3]:[Column14]])*(Monthly_Actual[Category]=Summary!$C42)*('Monthly Actual'!$D$5:$O$5=Summary!H$15))</f>
        <v>200000</v>
      </c>
      <c r="I42" s="218">
        <f t="shared" si="1"/>
        <v>100000</v>
      </c>
    </row>
    <row r="43" spans="2:9">
      <c r="B43" s="153" t="s">
        <v>27</v>
      </c>
      <c r="C43" s="154" t="s">
        <v>16</v>
      </c>
      <c r="D43" s="228">
        <f>SUMPRODUCT((Monthly_Forecast[[Jan-21]:[Dec-21]])*(Monthly_Forecast[Category]=Summary!$C43)*('Monthly Forecast'!$D$6:$O$6=Summary!D$15))</f>
        <v>400000</v>
      </c>
      <c r="E43" s="228">
        <f>SUMPRODUCT((Monthly_Actual[[Column3]:[Column14]])*(Monthly_Actual[Category]=Summary!$C43)*('Monthly Actual'!$D$6:$O$6=Summary!E$15))</f>
        <v>500000</v>
      </c>
      <c r="F43" s="228">
        <f t="shared" si="0"/>
        <v>-100000</v>
      </c>
      <c r="G43" s="228">
        <f>SUMPRODUCT((Monthly_Forecast[[Jan-21]:[Dec-21]])*(Monthly_Forecast[Category]=Summary!$C43)*('Monthly Forecast'!$D$5:$O$5=Summary!G$15))</f>
        <v>400000</v>
      </c>
      <c r="H43" s="228">
        <f>SUMPRODUCT((Monthly_Actual[[Column3]:[Column14]])*(Monthly_Actual[Category]=Summary!$C43)*('Monthly Actual'!$D$5:$O$5=Summary!H$15))</f>
        <v>500000</v>
      </c>
      <c r="I43" s="228">
        <f t="shared" si="1"/>
        <v>-100000</v>
      </c>
    </row>
    <row r="44" spans="2:9">
      <c r="B44" s="151" t="s">
        <v>27</v>
      </c>
      <c r="C44" s="152" t="s">
        <v>49</v>
      </c>
      <c r="D44" s="218">
        <f>SUMPRODUCT((Monthly_Forecast[[Jan-21]:[Dec-21]])*(Monthly_Forecast[Category]=Summary!$C44)*('Monthly Forecast'!$D$6:$O$6=Summary!D$15))</f>
        <v>0</v>
      </c>
      <c r="E44" s="218">
        <f>SUMPRODUCT((Monthly_Actual[[Column3]:[Column14]])*(Monthly_Actual[Category]=Summary!$C44)*('Monthly Actual'!$D$6:$O$6=Summary!E$15))</f>
        <v>0</v>
      </c>
      <c r="F44" s="218">
        <f t="shared" si="0"/>
        <v>0</v>
      </c>
      <c r="G44" s="218">
        <f>SUMPRODUCT((Monthly_Forecast[[Jan-21]:[Dec-21]])*(Monthly_Forecast[Category]=Summary!$C44)*('Monthly Forecast'!$D$5:$O$5=Summary!G$15))</f>
        <v>0</v>
      </c>
      <c r="H44" s="218">
        <f>SUMPRODUCT((Monthly_Actual[[Column3]:[Column14]])*(Monthly_Actual[Category]=Summary!$C44)*('Monthly Actual'!$D$5:$O$5=Summary!H$15))</f>
        <v>0</v>
      </c>
      <c r="I44" s="218">
        <f t="shared" si="1"/>
        <v>0</v>
      </c>
    </row>
    <row r="45" spans="2:9">
      <c r="B45" s="153" t="s">
        <v>27</v>
      </c>
      <c r="C45" s="154" t="s">
        <v>161</v>
      </c>
      <c r="D45" s="228">
        <f>SUMPRODUCT((Monthly_Forecast[[Jan-21]:[Dec-21]])*(Monthly_Forecast[Category]=Summary!$C45)*('Monthly Forecast'!$D$6:$O$6=Summary!D$15))</f>
        <v>0</v>
      </c>
      <c r="E45" s="228">
        <f>SUMPRODUCT((Monthly_Actual[[Column3]:[Column14]])*(Monthly_Actual[Category]=Summary!$C45)*('Monthly Actual'!$D$6:$O$6=Summary!E$15))</f>
        <v>0</v>
      </c>
      <c r="F45" s="228">
        <f t="shared" si="0"/>
        <v>0</v>
      </c>
      <c r="G45" s="228">
        <f>SUMPRODUCT((Monthly_Forecast[[Jan-21]:[Dec-21]])*(Monthly_Forecast[Category]=Summary!$C45)*('Monthly Forecast'!$D$5:$O$5=Summary!G$15))</f>
        <v>0</v>
      </c>
      <c r="H45" s="228">
        <f>SUMPRODUCT((Monthly_Actual[[Column3]:[Column14]])*(Monthly_Actual[Category]=Summary!$C45)*('Monthly Actual'!$D$5:$O$5=Summary!H$15))</f>
        <v>0</v>
      </c>
      <c r="I45" s="228">
        <f t="shared" si="1"/>
        <v>0</v>
      </c>
    </row>
    <row r="46" spans="2:9">
      <c r="B46" s="151" t="s">
        <v>27</v>
      </c>
      <c r="C46" s="152" t="s">
        <v>162</v>
      </c>
      <c r="D46" s="218">
        <f>SUMPRODUCT((Monthly_Forecast[[Jan-21]:[Dec-21]])*(Monthly_Forecast[Category]=Summary!$C46)*('Monthly Forecast'!$D$6:$O$6=Summary!D$15))</f>
        <v>0</v>
      </c>
      <c r="E46" s="218">
        <f>SUMPRODUCT((Monthly_Actual[[Column3]:[Column14]])*(Monthly_Actual[Category]=Summary!$C46)*('Monthly Actual'!$D$6:$O$6=Summary!E$15))</f>
        <v>0</v>
      </c>
      <c r="F46" s="218">
        <f t="shared" si="0"/>
        <v>0</v>
      </c>
      <c r="G46" s="218">
        <f>SUMPRODUCT((Monthly_Forecast[[Jan-21]:[Dec-21]])*(Monthly_Forecast[Category]=Summary!$C46)*('Monthly Forecast'!$D$5:$O$5=Summary!G$15))</f>
        <v>0</v>
      </c>
      <c r="H46" s="218">
        <f>SUMPRODUCT((Monthly_Actual[[Column3]:[Column14]])*(Monthly_Actual[Category]=Summary!$C46)*('Monthly Actual'!$D$5:$O$5=Summary!H$15))</f>
        <v>0</v>
      </c>
      <c r="I46" s="218">
        <f t="shared" si="1"/>
        <v>0</v>
      </c>
    </row>
    <row r="47" spans="2:9" ht="15" thickBot="1">
      <c r="B47" s="153" t="s">
        <v>27</v>
      </c>
      <c r="C47" s="154" t="s">
        <v>163</v>
      </c>
      <c r="D47" s="228">
        <f>SUMPRODUCT((Monthly_Forecast[[Jan-21]:[Dec-21]])*(Monthly_Forecast[Category]=Summary!$C47)*('Monthly Forecast'!$D$6:$O$6=Summary!D$15))</f>
        <v>0</v>
      </c>
      <c r="E47" s="228">
        <f>SUMPRODUCT((Monthly_Actual[[Column3]:[Column14]])*(Monthly_Actual[Category]=Summary!$C47)*('Monthly Actual'!$D$6:$O$6=Summary!E$15))</f>
        <v>0</v>
      </c>
      <c r="F47" s="228">
        <f t="shared" si="0"/>
        <v>0</v>
      </c>
      <c r="G47" s="228">
        <f>SUMPRODUCT((Monthly_Forecast[[Jan-21]:[Dec-21]])*(Monthly_Forecast[Category]=Summary!$C47)*('Monthly Forecast'!$D$5:$O$5=Summary!G$15))</f>
        <v>0</v>
      </c>
      <c r="H47" s="228">
        <f>SUMPRODUCT((Monthly_Actual[[Column3]:[Column14]])*(Monthly_Actual[Category]=Summary!$C47)*('Monthly Actual'!$D$5:$O$5=Summary!H$15))</f>
        <v>0</v>
      </c>
      <c r="I47" s="228">
        <f t="shared" si="1"/>
        <v>0</v>
      </c>
    </row>
    <row r="48" spans="2:9" ht="15">
      <c r="B48" s="41" t="s">
        <v>50</v>
      </c>
      <c r="C48" s="42" t="s">
        <v>50</v>
      </c>
      <c r="D48" s="285">
        <f>SUMIF(Summary[Type],"Income",Summary[MTD Forecast])-SUMIF(Summary[Type],"Expenses",Summary[MTD Forecast])-SUMIF(Summary[Type],"Discretionary",Summary[MTD Forecast])</f>
        <v>12665208.888888888</v>
      </c>
      <c r="E48" s="286">
        <f>SUMIF(Summary[Type],"Income",Summary[MTD Actual])-SUMIF(Summary[Type],"Expenses",Summary[MTD Actual])-SUMIF(Summary[Type],"Discretionary",Summary[MTD Actual])</f>
        <v>30100000</v>
      </c>
      <c r="F48" s="286">
        <f>SUMIF(Summary[Type],"Income",Summary[MTD Diff.])-SUMIF(Summary[Type],"Expenses",Summary[MTD Diff.])-SUMIF(Summary[Type],"Discretionary",Summary[MTD Diff.])</f>
        <v>-17434791.111111112</v>
      </c>
      <c r="G48" s="286">
        <f>SUMIF(Summary[Type],"Income",Summary[YTD Forecast])-SUMIF(Summary[Type],"Expenses",Summary[YTD Forecast])-SUMIF(Summary[Type],"Discretionary",Summary[YTD Forecast])</f>
        <v>12665208.888888888</v>
      </c>
      <c r="H48" s="286">
        <f>SUMIF(Summary[Type],"Income",Summary[YTD Actual])-SUMIF(Summary[Type],"Expenses",Summary[YTD Actual])-SUMIF(Summary[Type],"Discretionary",Summary[YTD Actual])</f>
        <v>30100000</v>
      </c>
      <c r="I48" s="286">
        <f>SUMIF(Summary[Type],"Income",Summary[YTD Diff.])-SUMIF(Summary[Type],"Expenses",Summary[YTD Diff.])-SUMIF(Summary[Type],"Discretionary",Summary[YTD Diff.])</f>
        <v>-17434791.111111112</v>
      </c>
    </row>
  </sheetData>
  <sheetProtection algorithmName="SHA-512" hashValue="KJXuDp5Mpeo8FsWWJ3T9I73CAwfEK7T45eEgL+ZieE5qfMR2NHTJJqrwxnLQpXcAFrMJOg6CrsTLrlKH4NE3dQ==" saltValue="Yabuwq1oQGSCEdSDdDjaEA==" spinCount="100000" sheet="1" autoFilter="0" pivotTables="0"/>
  <mergeCells count="2">
    <mergeCell ref="B2:I2"/>
    <mergeCell ref="F5:G5"/>
  </mergeCells>
  <conditionalFormatting sqref="F7">
    <cfRule type="cellIs" dxfId="182" priority="20" operator="equal">
      <formula>"Spent this month"</formula>
    </cfRule>
  </conditionalFormatting>
  <conditionalFormatting sqref="G6">
    <cfRule type="cellIs" dxfId="181" priority="19" operator="equal">
      <formula>"Spent this year"</formula>
    </cfRule>
  </conditionalFormatting>
  <conditionalFormatting sqref="B18:I47">
    <cfRule type="expression" dxfId="180" priority="11">
      <formula>(MOD(ROW(),2)&lt;&gt;0)*($B18="Income")</formula>
    </cfRule>
    <cfRule type="expression" dxfId="179" priority="12">
      <formula>(MOD(ROW(),2)=0)*($B18="Income")</formula>
    </cfRule>
    <cfRule type="expression" dxfId="178" priority="24">
      <formula>(MOD(ROW(),2)=0)*($B18="Expenses")</formula>
    </cfRule>
    <cfRule type="expression" dxfId="177" priority="25">
      <formula>(MOD(ROW(),2)&lt;&gt;0)*($B18="Expenses")</formula>
    </cfRule>
    <cfRule type="expression" dxfId="176" priority="28">
      <formula>(MOD(ROW(),2)&lt;&gt;0)*($B18="Discretionary")</formula>
    </cfRule>
    <cfRule type="expression" dxfId="175" priority="29">
      <formula>(MOD(ROW(),2)=0)*($B18="Discretionary")</formula>
    </cfRule>
  </conditionalFormatting>
  <conditionalFormatting sqref="E7">
    <cfRule type="cellIs" dxfId="174" priority="2" operator="notEqual">
      <formula>0</formula>
    </cfRule>
  </conditionalFormatting>
  <conditionalFormatting sqref="E6">
    <cfRule type="expression" dxfId="173" priority="1">
      <formula>$E$7&lt;&gt;0</formula>
    </cfRule>
  </conditionalFormatting>
  <dataValidations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8"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9"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7"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6"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5"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4"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3"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48235"/>
  </sheetPr>
  <dimension ref="A1:AC30"/>
  <sheetViews>
    <sheetView showGridLines="0" zoomScale="90" zoomScaleNormal="90" workbookViewId="0">
      <selection activeCell="A4" sqref="A4"/>
    </sheetView>
  </sheetViews>
  <sheetFormatPr defaultRowHeight="14.25"/>
  <cols>
    <col min="1" max="1" width="2.28515625" style="5" customWidth="1"/>
    <col min="2" max="2" width="9.85546875" style="88" customWidth="1"/>
    <col min="3" max="3" width="21.28515625" style="88" bestFit="1" customWidth="1"/>
    <col min="4" max="4" width="12.42578125" style="88" customWidth="1"/>
    <col min="5" max="5" width="7.42578125" style="88" bestFit="1" customWidth="1"/>
    <col min="6" max="6" width="11.7109375" style="88" bestFit="1" customWidth="1"/>
    <col min="7" max="7" width="11.42578125" style="88" bestFit="1" customWidth="1"/>
    <col min="8" max="8" width="16" style="88" bestFit="1" customWidth="1"/>
    <col min="9" max="16" width="9.140625" style="88"/>
    <col min="17" max="17" width="18.140625" style="88" customWidth="1"/>
    <col min="18" max="18" width="28" style="88" customWidth="1"/>
    <col min="19" max="20" width="9.140625" style="88" customWidth="1"/>
    <col min="21" max="21" width="14.28515625" style="88" hidden="1" customWidth="1"/>
    <col min="22" max="22" width="17.42578125" style="88" hidden="1" customWidth="1"/>
    <col min="23" max="23" width="20.140625" style="88" hidden="1" customWidth="1"/>
    <col min="24" max="26" width="9.140625" style="88" hidden="1" customWidth="1"/>
    <col min="27" max="27" width="14.28515625" style="88" hidden="1" customWidth="1"/>
    <col min="28" max="28" width="17.42578125" style="88" hidden="1" customWidth="1"/>
    <col min="29" max="33" width="0" style="88" hidden="1" customWidth="1"/>
    <col min="34" max="16384" width="9.140625" style="88"/>
  </cols>
  <sheetData>
    <row r="1" spans="1:29" s="87" customFormat="1" ht="44.1" customHeight="1">
      <c r="A1" s="85"/>
      <c r="B1" s="98" t="s">
        <v>118</v>
      </c>
      <c r="C1" s="85"/>
      <c r="D1" s="85"/>
      <c r="E1" s="85"/>
      <c r="F1" s="85"/>
      <c r="G1" s="85"/>
      <c r="H1" s="86"/>
      <c r="Q1" s="87" t="s">
        <v>86</v>
      </c>
    </row>
    <row r="2" spans="1:29" ht="18">
      <c r="A2" s="88"/>
      <c r="B2" s="54" t="s">
        <v>33</v>
      </c>
      <c r="C2" s="101">
        <f>Transactions!C3</f>
        <v>44197</v>
      </c>
      <c r="D2" s="134"/>
      <c r="E2" s="133"/>
      <c r="F2" s="133"/>
      <c r="G2" s="133"/>
      <c r="H2" s="133"/>
      <c r="I2" s="133"/>
      <c r="J2" s="133"/>
      <c r="K2" s="133"/>
      <c r="L2" s="133"/>
      <c r="M2" s="133"/>
      <c r="N2" s="133"/>
      <c r="O2" s="133"/>
      <c r="P2" s="133"/>
      <c r="Q2" s="133"/>
    </row>
    <row r="3" spans="1:29" ht="34.5" customHeight="1">
      <c r="B3" s="54" t="s">
        <v>68</v>
      </c>
      <c r="C3" s="102">
        <f>Transactions!C4</f>
        <v>2021</v>
      </c>
      <c r="D3" s="353" t="s">
        <v>241</v>
      </c>
      <c r="E3" s="353"/>
      <c r="F3" s="353"/>
      <c r="G3" s="353"/>
      <c r="H3" s="353"/>
      <c r="I3" s="353"/>
      <c r="J3" s="353"/>
      <c r="K3" s="353"/>
      <c r="L3" s="353"/>
      <c r="M3" s="353"/>
      <c r="N3" s="353"/>
      <c r="O3" s="353"/>
      <c r="P3" s="134"/>
      <c r="Q3" s="134"/>
      <c r="R3" s="134"/>
      <c r="S3" s="134"/>
      <c r="U3" s="1" t="s">
        <v>131</v>
      </c>
      <c r="V3" t="s">
        <v>238</v>
      </c>
      <c r="AA3" s="1" t="s">
        <v>131</v>
      </c>
      <c r="AB3" t="s">
        <v>238</v>
      </c>
    </row>
    <row r="4" spans="1:29" ht="249" customHeight="1"/>
    <row r="5" spans="1:29">
      <c r="U5" s="1" t="s">
        <v>101</v>
      </c>
      <c r="V5" t="s">
        <v>239</v>
      </c>
      <c r="W5" t="s">
        <v>240</v>
      </c>
      <c r="AA5" s="1" t="s">
        <v>101</v>
      </c>
      <c r="AB5" t="s">
        <v>237</v>
      </c>
      <c r="AC5"/>
    </row>
    <row r="6" spans="1:29">
      <c r="U6" s="2" t="s">
        <v>94</v>
      </c>
      <c r="V6" s="342">
        <v>0.25700334104343359</v>
      </c>
      <c r="W6" s="342">
        <v>0.06</v>
      </c>
      <c r="AA6" s="2" t="s">
        <v>94</v>
      </c>
      <c r="AB6" s="342">
        <v>0.25700334104343359</v>
      </c>
      <c r="AC6"/>
    </row>
    <row r="7" spans="1:29">
      <c r="U7" s="2" t="s">
        <v>227</v>
      </c>
      <c r="V7" s="342">
        <v>0.10048830634798252</v>
      </c>
      <c r="W7" s="342">
        <v>0.01</v>
      </c>
      <c r="AA7" s="2" t="s">
        <v>227</v>
      </c>
      <c r="AB7" s="342">
        <v>0.10048830634798252</v>
      </c>
      <c r="AC7"/>
    </row>
    <row r="8" spans="1:29" ht="15">
      <c r="A8" s="7"/>
      <c r="U8" s="2" t="s">
        <v>95</v>
      </c>
      <c r="V8" s="342">
        <v>0.25700334104343359</v>
      </c>
      <c r="W8" s="342">
        <v>0</v>
      </c>
      <c r="AA8" s="2" t="s">
        <v>95</v>
      </c>
      <c r="AB8" s="342">
        <v>0.25700334104343359</v>
      </c>
      <c r="AC8"/>
    </row>
    <row r="9" spans="1:29">
      <c r="U9" s="2" t="s">
        <v>123</v>
      </c>
      <c r="V9" s="342">
        <v>0.25700334104343359</v>
      </c>
      <c r="W9" s="342">
        <v>0.1</v>
      </c>
      <c r="AA9" s="2" t="s">
        <v>123</v>
      </c>
      <c r="AB9" s="342">
        <v>0.25700334104343359</v>
      </c>
      <c r="AC9"/>
    </row>
    <row r="10" spans="1:29">
      <c r="U10" s="2" t="s">
        <v>93</v>
      </c>
      <c r="V10" s="342">
        <v>0.12850167052171679</v>
      </c>
      <c r="W10" s="342">
        <v>0.08</v>
      </c>
      <c r="AA10" s="2" t="s">
        <v>93</v>
      </c>
      <c r="AB10" s="342">
        <v>0.12850167052171679</v>
      </c>
      <c r="AC10"/>
    </row>
    <row r="11" spans="1:29">
      <c r="U11"/>
      <c r="V11"/>
      <c r="W11"/>
      <c r="AA11"/>
      <c r="AB11"/>
      <c r="AC11"/>
    </row>
    <row r="12" spans="1:29" s="89" customFormat="1" ht="16.5" thickBot="1">
      <c r="A12" s="4"/>
      <c r="B12" s="90" t="s">
        <v>131</v>
      </c>
      <c r="C12" s="92" t="s">
        <v>120</v>
      </c>
      <c r="D12" s="335" t="s">
        <v>233</v>
      </c>
      <c r="E12" s="335" t="s">
        <v>36</v>
      </c>
      <c r="F12" s="335" t="s">
        <v>234</v>
      </c>
      <c r="G12" s="335" t="s">
        <v>235</v>
      </c>
      <c r="H12" s="336" t="s">
        <v>236</v>
      </c>
      <c r="U12"/>
      <c r="V12"/>
      <c r="W12"/>
      <c r="AA12"/>
      <c r="AB12"/>
      <c r="AC12"/>
    </row>
    <row r="13" spans="1:29" ht="15">
      <c r="B13" s="90"/>
      <c r="C13" s="341" t="s">
        <v>121</v>
      </c>
      <c r="D13" s="337">
        <f>SUM(D14:D25)</f>
        <v>1</v>
      </c>
      <c r="E13" s="337">
        <f t="shared" ref="E13:E25" si="0">IFERROR(H13/$H$13,"")</f>
        <v>1</v>
      </c>
      <c r="F13" s="337"/>
      <c r="G13" s="337"/>
      <c r="H13" s="338">
        <f>SUM(H14:H25)</f>
        <v>369100000</v>
      </c>
      <c r="U13"/>
      <c r="V13"/>
      <c r="W13"/>
      <c r="AA13"/>
      <c r="AB13"/>
      <c r="AC13"/>
    </row>
    <row r="14" spans="1:29">
      <c r="B14" s="91" t="str">
        <f t="shared" ref="B14:B25" si="1">C14</f>
        <v>Cash</v>
      </c>
      <c r="C14" s="97" t="s">
        <v>227</v>
      </c>
      <c r="D14" s="340">
        <v>0.01</v>
      </c>
      <c r="E14" s="339">
        <f t="shared" si="0"/>
        <v>0.10593335139528583</v>
      </c>
      <c r="F14" s="339">
        <f>Net_Worth11[[#This Row],[Actual]]-Net_Worth11[[#This Row],[My target]]</f>
        <v>9.5933351395285832E-2</v>
      </c>
      <c r="G14" s="339">
        <f>MIN(5%,Net_Worth11[[#This Row],[My target]]*25%)</f>
        <v>2.5000000000000001E-3</v>
      </c>
      <c r="H14" s="333">
        <f>SUM('Net Worth'!D15:D17)</f>
        <v>39100000</v>
      </c>
      <c r="U14"/>
      <c r="V14"/>
      <c r="W14"/>
      <c r="AA14"/>
      <c r="AB14"/>
      <c r="AC14"/>
    </row>
    <row r="15" spans="1:29">
      <c r="B15" s="91" t="str">
        <f t="shared" si="1"/>
        <v>Saving account</v>
      </c>
      <c r="C15" s="97" t="s">
        <v>123</v>
      </c>
      <c r="D15" s="340">
        <v>0.1</v>
      </c>
      <c r="E15" s="339">
        <f t="shared" si="0"/>
        <v>0.21674342996477919</v>
      </c>
      <c r="F15" s="339">
        <f>Net_Worth11[[#This Row],[Actual]]-Net_Worth11[[#This Row],[My target]]</f>
        <v>0.11674342996477918</v>
      </c>
      <c r="G15" s="339">
        <f>MIN(5%,Net_Worth11[[#This Row],[My target]]*25%)</f>
        <v>2.5000000000000001E-2</v>
      </c>
      <c r="H15" s="333">
        <f>'Saving Accounts'!B13-'Saving Accounts'!D13</f>
        <v>80000000</v>
      </c>
      <c r="U15"/>
      <c r="V15"/>
      <c r="W15"/>
      <c r="AA15"/>
      <c r="AB15"/>
      <c r="AC15"/>
    </row>
    <row r="16" spans="1:29">
      <c r="B16" s="91" t="str">
        <f t="shared" si="1"/>
        <v>Certificate of deposit</v>
      </c>
      <c r="C16" s="97" t="s">
        <v>95</v>
      </c>
      <c r="D16" s="340">
        <v>0</v>
      </c>
      <c r="E16" s="339">
        <f t="shared" si="0"/>
        <v>0.270929287455974</v>
      </c>
      <c r="F16" s="339">
        <f>Net_Worth11[[#This Row],[Actual]]-Net_Worth11[[#This Row],[My target]]</f>
        <v>0.270929287455974</v>
      </c>
      <c r="G16" s="339">
        <f>MIN(5%,Net_Worth11[[#This Row],[My target]]*25%)</f>
        <v>0</v>
      </c>
      <c r="H16" s="333">
        <f>SUMIF(Investment[Column1],Net_Worth11[[#This Row],[Type/Category]],Investment[Column2])</f>
        <v>100000000</v>
      </c>
      <c r="U16"/>
      <c r="V16"/>
      <c r="W16"/>
      <c r="AA16"/>
      <c r="AB16"/>
      <c r="AC16"/>
    </row>
    <row r="17" spans="2:29">
      <c r="B17" s="91" t="str">
        <f t="shared" si="1"/>
        <v>Bond</v>
      </c>
      <c r="C17" s="97" t="s">
        <v>94</v>
      </c>
      <c r="D17" s="340">
        <v>0.06</v>
      </c>
      <c r="E17" s="339">
        <f t="shared" si="0"/>
        <v>0.270929287455974</v>
      </c>
      <c r="F17" s="339">
        <f>Net_Worth11[[#This Row],[Actual]]-Net_Worth11[[#This Row],[My target]]</f>
        <v>0.210929287455974</v>
      </c>
      <c r="G17" s="339">
        <f>MIN(5%,Net_Worth11[[#This Row],[My target]]*25%)</f>
        <v>1.4999999999999999E-2</v>
      </c>
      <c r="H17" s="333">
        <f>SUMIF(Investment[Column1],Net_Worth11[[#This Row],[Type/Category]],Investment[Column2])</f>
        <v>100000000</v>
      </c>
      <c r="U17"/>
      <c r="V17"/>
      <c r="W17"/>
      <c r="AA17"/>
      <c r="AB17"/>
      <c r="AC17"/>
    </row>
    <row r="18" spans="2:29">
      <c r="B18" s="91" t="str">
        <f t="shared" si="1"/>
        <v>Stock</v>
      </c>
      <c r="C18" s="97" t="s">
        <v>93</v>
      </c>
      <c r="D18" s="340">
        <v>0.08</v>
      </c>
      <c r="E18" s="339">
        <f t="shared" si="0"/>
        <v>0.135464643727987</v>
      </c>
      <c r="F18" s="339">
        <f>Net_Worth11[[#This Row],[Actual]]-Net_Worth11[[#This Row],[My target]]</f>
        <v>5.5464643727986998E-2</v>
      </c>
      <c r="G18" s="339">
        <f>MIN(5%,Net_Worth11[[#This Row],[My target]]*25%)</f>
        <v>0.02</v>
      </c>
      <c r="H18" s="333">
        <f>SUMIF(Investment[Column1],Net_Worth11[[#This Row],[Type/Category]],Investment[Column2])</f>
        <v>50000000</v>
      </c>
      <c r="U18"/>
      <c r="V18"/>
      <c r="W18"/>
      <c r="AA18"/>
      <c r="AB18"/>
      <c r="AC18"/>
    </row>
    <row r="19" spans="2:29">
      <c r="B19" s="91" t="str">
        <f t="shared" si="1"/>
        <v>Mutual fund</v>
      </c>
      <c r="C19" s="97" t="s">
        <v>92</v>
      </c>
      <c r="D19" s="340">
        <v>0</v>
      </c>
      <c r="E19" s="339">
        <f t="shared" si="0"/>
        <v>0</v>
      </c>
      <c r="F19" s="339">
        <f>Net_Worth11[[#This Row],[Actual]]-Net_Worth11[[#This Row],[My target]]</f>
        <v>0</v>
      </c>
      <c r="G19" s="339">
        <f>MIN(5%,Net_Worth11[[#This Row],[My target]]*25%)</f>
        <v>0</v>
      </c>
      <c r="H19" s="333">
        <f>SUMIF(Investment[Column1],Net_Worth11[[#This Row],[Type/Category]],Investment[Column2])</f>
        <v>0</v>
      </c>
      <c r="U19"/>
      <c r="V19"/>
      <c r="W19"/>
      <c r="AA19"/>
      <c r="AB19"/>
      <c r="AC19"/>
    </row>
    <row r="20" spans="2:29">
      <c r="B20" s="91" t="str">
        <f t="shared" si="1"/>
        <v>Forex</v>
      </c>
      <c r="C20" s="97" t="s">
        <v>228</v>
      </c>
      <c r="D20" s="340">
        <v>0</v>
      </c>
      <c r="E20" s="339">
        <f t="shared" si="0"/>
        <v>0</v>
      </c>
      <c r="F20" s="339">
        <f>Net_Worth11[[#This Row],[Actual]]-Net_Worth11[[#This Row],[My target]]</f>
        <v>0</v>
      </c>
      <c r="G20" s="339">
        <f>MIN(5%,Net_Worth11[[#This Row],[My target]]*25%)</f>
        <v>0</v>
      </c>
      <c r="H20" s="333">
        <f>SUMIF(Investment[Column1],Net_Worth11[[#This Row],[Type/Category]],Investment[Column2])</f>
        <v>0</v>
      </c>
      <c r="U20"/>
      <c r="V20"/>
      <c r="W20"/>
      <c r="AA20"/>
      <c r="AB20"/>
      <c r="AC20"/>
    </row>
    <row r="21" spans="2:29">
      <c r="B21" s="91" t="str">
        <f t="shared" si="1"/>
        <v>Covered Warrant</v>
      </c>
      <c r="C21" s="97" t="s">
        <v>229</v>
      </c>
      <c r="D21" s="340">
        <v>0</v>
      </c>
      <c r="E21" s="339">
        <f t="shared" si="0"/>
        <v>0</v>
      </c>
      <c r="F21" s="339">
        <f>Net_Worth11[[#This Row],[Actual]]-Net_Worth11[[#This Row],[My target]]</f>
        <v>0</v>
      </c>
      <c r="G21" s="339">
        <f>MIN(5%,Net_Worth11[[#This Row],[My target]]*25%)</f>
        <v>0</v>
      </c>
      <c r="H21" s="333">
        <f>SUMIF(Investment[Column1],Net_Worth11[[#This Row],[Type/Category]],Investment[Column2])</f>
        <v>0</v>
      </c>
      <c r="U21"/>
      <c r="V21"/>
      <c r="W21"/>
      <c r="AA21"/>
      <c r="AB21"/>
      <c r="AC21"/>
    </row>
    <row r="22" spans="2:29">
      <c r="B22" s="91" t="str">
        <f t="shared" si="1"/>
        <v>Derivatives</v>
      </c>
      <c r="C22" s="97" t="s">
        <v>230</v>
      </c>
      <c r="D22" s="340">
        <v>0</v>
      </c>
      <c r="E22" s="339">
        <f t="shared" si="0"/>
        <v>0</v>
      </c>
      <c r="F22" s="339">
        <f>Net_Worth11[[#This Row],[Actual]]-Net_Worth11[[#This Row],[My target]]</f>
        <v>0</v>
      </c>
      <c r="G22" s="339">
        <f>MIN(5%,Net_Worth11[[#This Row],[My target]]*25%)</f>
        <v>0</v>
      </c>
      <c r="H22" s="333">
        <f>SUMIF(Investment[Column1],Net_Worth11[[#This Row],[Type/Category]],Investment[Column2])</f>
        <v>0</v>
      </c>
      <c r="U22"/>
      <c r="V22"/>
      <c r="W22"/>
      <c r="AA22"/>
      <c r="AB22"/>
      <c r="AC22"/>
    </row>
    <row r="23" spans="2:29">
      <c r="B23" s="91" t="str">
        <f t="shared" si="1"/>
        <v>Real Estate</v>
      </c>
      <c r="C23" s="97" t="s">
        <v>125</v>
      </c>
      <c r="D23" s="340">
        <v>0.75</v>
      </c>
      <c r="E23" s="339">
        <f t="shared" si="0"/>
        <v>0</v>
      </c>
      <c r="F23" s="339">
        <f>Net_Worth11[[#This Row],[Actual]]-Net_Worth11[[#This Row],[My target]]</f>
        <v>-0.75</v>
      </c>
      <c r="G23" s="339">
        <f>MIN(5%,Net_Worth11[[#This Row],[My target]]*25%)</f>
        <v>0.05</v>
      </c>
      <c r="H23" s="333">
        <f>'Real Estate'!B13</f>
        <v>0</v>
      </c>
      <c r="AA23"/>
      <c r="AB23"/>
    </row>
    <row r="24" spans="2:29">
      <c r="B24" s="91" t="str">
        <f t="shared" si="1"/>
        <v>Assets category 1</v>
      </c>
      <c r="C24" s="97" t="s">
        <v>126</v>
      </c>
      <c r="D24" s="340">
        <v>0</v>
      </c>
      <c r="E24" s="339">
        <f t="shared" si="0"/>
        <v>0</v>
      </c>
      <c r="F24" s="339">
        <f>Net_Worth11[[#This Row],[Actual]]-Net_Worth11[[#This Row],[My target]]</f>
        <v>0</v>
      </c>
      <c r="G24" s="339">
        <f>MIN(5%,Net_Worth11[[#This Row],[My target]]*25%)</f>
        <v>0</v>
      </c>
      <c r="H24" s="333">
        <v>0</v>
      </c>
      <c r="AA24"/>
      <c r="AB24"/>
    </row>
    <row r="25" spans="2:29">
      <c r="B25" s="91" t="str">
        <f t="shared" si="1"/>
        <v>Assets category 2</v>
      </c>
      <c r="C25" s="97" t="s">
        <v>127</v>
      </c>
      <c r="D25" s="340">
        <v>0</v>
      </c>
      <c r="E25" s="339">
        <f t="shared" si="0"/>
        <v>0</v>
      </c>
      <c r="F25" s="339">
        <f>Net_Worth11[[#This Row],[Actual]]-Net_Worth11[[#This Row],[My target]]</f>
        <v>0</v>
      </c>
      <c r="G25" s="339">
        <f>MIN(5%,Net_Worth11[[#This Row],[My target]]*25%)</f>
        <v>0</v>
      </c>
      <c r="H25" s="333">
        <v>0</v>
      </c>
      <c r="AA25"/>
      <c r="AB25"/>
    </row>
    <row r="26" spans="2:29">
      <c r="B26" s="91"/>
      <c r="C26" s="93"/>
      <c r="D26" s="94"/>
      <c r="E26" s="334"/>
      <c r="F26" s="339"/>
      <c r="G26" s="339"/>
      <c r="AA26"/>
      <c r="AB26"/>
    </row>
    <row r="27" spans="2:29">
      <c r="B27" s="91"/>
      <c r="C27" s="93"/>
      <c r="D27" s="94"/>
      <c r="E27" s="334"/>
      <c r="F27" s="339"/>
      <c r="G27" s="339"/>
      <c r="AA27"/>
      <c r="AB27"/>
    </row>
    <row r="28" spans="2:29">
      <c r="AA28"/>
      <c r="AB28"/>
    </row>
    <row r="29" spans="2:29">
      <c r="AA29"/>
      <c r="AB29"/>
    </row>
    <row r="30" spans="2:29">
      <c r="AA30"/>
      <c r="AB30"/>
    </row>
  </sheetData>
  <sheetProtection algorithmName="SHA-512" hashValue="HTpQqOkjIqDREQatZAF1pztcRkYARyMseBYKjBmLWQjTkd11wzGa9V4zjpmNIfpIEAwWwngbJ2FbDLlL93hU6A==" saltValue="jATfE5+hGmvqL781McJ1/A==" spinCount="100000" sheet="1" sort="0" autoFilter="0" pivotTables="0"/>
  <mergeCells count="1">
    <mergeCell ref="D3:O3"/>
  </mergeCells>
  <hyperlinks>
    <hyperlink ref="H1" location="'Daily Summary'!A1" tooltip="Select to navigate to Daily Summary worksheet" display="DAILY SUMMARY"/>
  </hyperlinks>
  <pageMargins left="0.7" right="0.7" top="0.75" bottom="0.75" header="0.3" footer="0.3"/>
  <pageSetup orientation="portrait" r:id="rId3"/>
  <ignoredErrors>
    <ignoredError sqref="D13:D14 D15:D25" calculatedColumn="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9" id="{3CDE911B-3EEE-403B-A358-AD70FA10C93F}">
            <xm:f>Transactions!$D$5=Currency!$A$8</xm:f>
            <x14:dxf>
              <numFmt numFmtId="179" formatCode="[$$-C09]#,##0.00"/>
            </x14:dxf>
          </x14:cfRule>
          <x14:cfRule type="expression" priority="10" id="{C44B75F4-9BD0-4E7C-9939-5DA190E5A8BC}">
            <xm:f>Transactions!$D$5=Currency!$A$7</xm:f>
            <x14:dxf>
              <numFmt numFmtId="178" formatCode="[$¥-411]#,##0.00"/>
            </x14:dxf>
          </x14:cfRule>
          <x14:cfRule type="expression" priority="11" id="{1B5FAECC-FF40-4AB4-8B33-D7AE39BBD4E3}">
            <xm:f>Transactions!$D$5=Currency!$A$6</xm:f>
            <x14:dxf>
              <numFmt numFmtId="177" formatCode="[$$-4809]#,##0.00"/>
            </x14:dxf>
          </x14:cfRule>
          <x14:cfRule type="expression" priority="12" id="{000F07F7-6A7F-453F-879C-C6F127601A3C}">
            <xm:f>Transactions!$D$5=Currency!$A$5</xm:f>
            <x14:dxf>
              <numFmt numFmtId="176" formatCode="[$¥-804]#,##0.00"/>
            </x14:dxf>
          </x14:cfRule>
          <x14:cfRule type="expression" priority="13" id="{C5580310-2875-440E-8F9F-0A0B23FAEDCF}">
            <xm:f>Transactions!$D$5=Currency!$A$4</xm:f>
            <x14:dxf>
              <numFmt numFmtId="175" formatCode="[$£-809]#,##0.00"/>
            </x14:dxf>
          </x14:cfRule>
          <x14:cfRule type="expression" priority="14" id="{DE420A91-9250-4535-9B89-FF8490622047}">
            <xm:f>Transactions!$D$5=Currency!$A$3</xm:f>
            <x14:dxf>
              <numFmt numFmtId="174" formatCode="[$€-2]\ #,##0.00"/>
            </x14:dxf>
          </x14:cfRule>
          <x14:cfRule type="expression" priority="15" id="{14EC6FFA-20A7-46EB-BAF5-E1A52C4355A4}">
            <xm:f>Transactions!$D$5=Currency!$A$2</xm:f>
            <x14:dxf>
              <numFmt numFmtId="169" formatCode="&quot;$&quot;#,##0.00"/>
            </x14:dxf>
          </x14:cfRule>
          <x14:cfRule type="expression" priority="16" id="{A1DA2F35-23E5-4D3A-95F4-BFC40226ED71}">
            <xm:f>Transactions!$D$5=Currency!$A$1</xm:f>
            <x14:dxf>
              <numFmt numFmtId="173" formatCode="#,##0\ [$₫-42A]"/>
            </x14:dxf>
          </x14:cfRule>
          <xm:sqref>H13:H25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I62"/>
  <sheetViews>
    <sheetView showGridLines="0" zoomScale="90" zoomScaleNormal="90" workbookViewId="0"/>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2.5703125" style="3" hidden="1" customWidth="1"/>
    <col min="30" max="30" width="26.42578125" style="3" hidden="1" customWidth="1"/>
    <col min="31" max="31" width="12.5703125" style="3" hidden="1" customWidth="1"/>
    <col min="32" max="32" width="14.140625" style="3" hidden="1" customWidth="1"/>
    <col min="33" max="33" width="15" style="3" hidden="1" customWidth="1"/>
    <col min="34" max="34" width="14.140625" style="3" hidden="1" customWidth="1"/>
    <col min="35" max="35" width="17.5703125" style="3" hidden="1" customWidth="1"/>
    <col min="36" max="38" width="7.7109375" style="3" customWidth="1"/>
    <col min="39" max="16384" width="9.140625" style="3"/>
  </cols>
  <sheetData>
    <row r="1" spans="1:16" s="14" customFormat="1" ht="44.1" customHeight="1">
      <c r="A1" s="11"/>
      <c r="B1" s="98" t="s">
        <v>109</v>
      </c>
      <c r="C1" s="12"/>
      <c r="D1" s="12"/>
      <c r="E1" s="12"/>
      <c r="F1" s="12"/>
      <c r="G1" s="12"/>
      <c r="H1" s="12"/>
      <c r="I1" s="12"/>
      <c r="J1" s="12"/>
      <c r="K1" s="12"/>
      <c r="L1" s="12"/>
      <c r="M1" s="12"/>
      <c r="N1" s="12"/>
      <c r="O1" s="12"/>
      <c r="P1" s="12"/>
    </row>
    <row r="2" spans="1:16" ht="44.1" customHeight="1">
      <c r="B2" s="54" t="s">
        <v>68</v>
      </c>
      <c r="C2" s="102">
        <f>Transactions!C4</f>
        <v>2021</v>
      </c>
      <c r="F2" s="380" t="s">
        <v>158</v>
      </c>
      <c r="G2" s="380"/>
      <c r="H2" s="380"/>
      <c r="I2" s="380"/>
      <c r="J2" s="380"/>
      <c r="K2" s="380"/>
      <c r="L2" s="380"/>
    </row>
    <row r="3" spans="1:16" ht="21.75" customHeight="1"/>
    <row r="4" spans="1:16" s="79" customFormat="1" ht="33.950000000000003" customHeight="1" thickBot="1">
      <c r="B4" s="80" t="s">
        <v>106</v>
      </c>
      <c r="C4" s="77"/>
      <c r="D4" s="77"/>
      <c r="F4" s="80" t="s">
        <v>107</v>
      </c>
      <c r="G4" s="77"/>
      <c r="H4" s="77"/>
      <c r="J4" s="80" t="s">
        <v>115</v>
      </c>
      <c r="K4" s="77"/>
      <c r="L4" s="77"/>
      <c r="N4" s="80" t="s">
        <v>108</v>
      </c>
      <c r="O4" s="77"/>
      <c r="P4" s="77"/>
    </row>
    <row r="5" spans="1:16" s="83" customFormat="1" ht="33.950000000000003" customHeight="1">
      <c r="B5" s="84" t="s">
        <v>105</v>
      </c>
      <c r="C5" s="381">
        <f>SUMIF(Monthly_Forecast[Type],"INCOME", Monthly_Forecast[Total])</f>
        <v>258318720</v>
      </c>
      <c r="D5" s="382"/>
      <c r="F5" s="84" t="s">
        <v>105</v>
      </c>
      <c r="G5" s="381">
        <f>SUMIF(Monthly_Forecast[Type],"EXPENSES", Monthly_Forecast[Total])</f>
        <v>218305555.55555558</v>
      </c>
      <c r="H5" s="382"/>
      <c r="J5" s="84" t="s">
        <v>105</v>
      </c>
      <c r="K5" s="381">
        <f>SUMIF(Monthly_Forecast[Type],"DISCRETIONARY", Monthly_Forecast[Total])</f>
        <v>8400000</v>
      </c>
      <c r="L5" s="382"/>
      <c r="N5" s="84" t="s">
        <v>105</v>
      </c>
      <c r="O5" s="381">
        <f>SUMIF(Monthly_Forecast[Type],"FORECAST SAVING", Monthly_Forecast[Total])</f>
        <v>31613164.444444425</v>
      </c>
      <c r="P5" s="382"/>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5">
      <c r="AB27" s="1" t="s">
        <v>32</v>
      </c>
      <c r="AC27" t="s">
        <v>1</v>
      </c>
      <c r="AD27" s="1" t="s">
        <v>32</v>
      </c>
      <c r="AE27" t="s">
        <v>0</v>
      </c>
      <c r="AF27" s="1" t="s">
        <v>32</v>
      </c>
      <c r="AG27" t="s">
        <v>27</v>
      </c>
      <c r="AH27" s="1" t="s">
        <v>32</v>
      </c>
      <c r="AI27" t="s">
        <v>66</v>
      </c>
    </row>
    <row r="29" spans="28:35">
      <c r="AB29" s="1" t="s">
        <v>101</v>
      </c>
      <c r="AC29" t="s">
        <v>104</v>
      </c>
      <c r="AD29" s="1" t="s">
        <v>101</v>
      </c>
      <c r="AE29" t="s">
        <v>104</v>
      </c>
      <c r="AF29" s="1" t="s">
        <v>101</v>
      </c>
      <c r="AG29" t="s">
        <v>104</v>
      </c>
      <c r="AH29" s="1" t="s">
        <v>101</v>
      </c>
      <c r="AI29" t="s">
        <v>104</v>
      </c>
    </row>
    <row r="30" spans="28:35">
      <c r="AB30" s="2" t="s">
        <v>10</v>
      </c>
      <c r="AC30" s="343">
        <v>18318720</v>
      </c>
      <c r="AD30" s="2" t="s">
        <v>23</v>
      </c>
      <c r="AE30" s="343">
        <v>1200000</v>
      </c>
      <c r="AF30" s="2" t="s">
        <v>7</v>
      </c>
      <c r="AG30" s="343">
        <v>3600000</v>
      </c>
      <c r="AH30" s="2" t="s">
        <v>50</v>
      </c>
      <c r="AI30" s="343">
        <v>31613164.444444425</v>
      </c>
    </row>
    <row r="31" spans="28:35">
      <c r="AB31" s="2" t="s">
        <v>11</v>
      </c>
      <c r="AC31" s="343">
        <v>240000000</v>
      </c>
      <c r="AD31" s="2" t="s">
        <v>9</v>
      </c>
      <c r="AE31" s="343">
        <v>1200000</v>
      </c>
      <c r="AF31" s="2" t="s">
        <v>16</v>
      </c>
      <c r="AG31" s="343">
        <v>4800000</v>
      </c>
      <c r="AH31" s="2" t="s">
        <v>102</v>
      </c>
      <c r="AI31" s="343">
        <v>31613164.444444425</v>
      </c>
    </row>
    <row r="32" spans="28:35">
      <c r="AB32" s="2" t="s">
        <v>102</v>
      </c>
      <c r="AC32" s="343">
        <v>258318720</v>
      </c>
      <c r="AD32" s="2" t="s">
        <v>24</v>
      </c>
      <c r="AE32" s="343">
        <v>1300000</v>
      </c>
      <c r="AF32" s="2" t="s">
        <v>102</v>
      </c>
      <c r="AG32" s="343">
        <v>8400000</v>
      </c>
      <c r="AH32"/>
      <c r="AI32"/>
    </row>
    <row r="33" spans="28:35">
      <c r="AB33"/>
      <c r="AC33"/>
      <c r="AD33" s="2" t="s">
        <v>14</v>
      </c>
      <c r="AE33" s="343">
        <v>3600000</v>
      </c>
      <c r="AF33"/>
      <c r="AG33"/>
      <c r="AH33"/>
      <c r="AI33"/>
    </row>
    <row r="34" spans="28:35">
      <c r="AB34"/>
      <c r="AC34"/>
      <c r="AD34" s="2" t="s">
        <v>20</v>
      </c>
      <c r="AE34" s="343">
        <v>6000000</v>
      </c>
      <c r="AF34"/>
      <c r="AG34"/>
      <c r="AH34"/>
      <c r="AI34"/>
    </row>
    <row r="35" spans="28:35">
      <c r="AB35"/>
      <c r="AC35"/>
      <c r="AD35" s="2" t="s">
        <v>13</v>
      </c>
      <c r="AE35" s="343">
        <v>12000000</v>
      </c>
      <c r="AF35"/>
      <c r="AG35"/>
      <c r="AH35"/>
      <c r="AI35"/>
    </row>
    <row r="36" spans="28:35">
      <c r="AB36"/>
      <c r="AC36"/>
      <c r="AD36" s="2" t="s">
        <v>173</v>
      </c>
      <c r="AE36" s="343">
        <v>13200000</v>
      </c>
      <c r="AF36"/>
      <c r="AG36"/>
      <c r="AH36"/>
      <c r="AI36"/>
    </row>
    <row r="37" spans="28:35">
      <c r="AB37"/>
      <c r="AC37"/>
      <c r="AD37" s="2" t="s">
        <v>170</v>
      </c>
      <c r="AE37" s="343">
        <v>26666666.666666672</v>
      </c>
      <c r="AF37"/>
      <c r="AG37"/>
      <c r="AH37"/>
      <c r="AI37"/>
    </row>
    <row r="38" spans="28:35">
      <c r="AB38"/>
      <c r="AC38"/>
      <c r="AD38" s="2" t="s">
        <v>171</v>
      </c>
      <c r="AE38" s="343">
        <v>32138888.888888899</v>
      </c>
      <c r="AF38"/>
      <c r="AG38"/>
      <c r="AH38"/>
      <c r="AI38"/>
    </row>
    <row r="39" spans="28:35">
      <c r="AB39"/>
      <c r="AC39"/>
      <c r="AD39" s="2" t="s">
        <v>174</v>
      </c>
      <c r="AE39" s="343">
        <v>60000000</v>
      </c>
      <c r="AF39"/>
      <c r="AG39"/>
      <c r="AH39"/>
      <c r="AI39"/>
    </row>
    <row r="40" spans="28:35">
      <c r="AD40" s="2" t="s">
        <v>169</v>
      </c>
      <c r="AE40" s="343">
        <v>61000000</v>
      </c>
      <c r="AF40"/>
      <c r="AG40"/>
      <c r="AH40"/>
      <c r="AI40"/>
    </row>
    <row r="41" spans="28:35">
      <c r="AD41" s="2" t="s">
        <v>102</v>
      </c>
      <c r="AE41" s="343">
        <v>218305555.55555558</v>
      </c>
      <c r="AF41"/>
      <c r="AG41"/>
      <c r="AH41"/>
      <c r="AI41"/>
    </row>
    <row r="42" spans="28:35">
      <c r="AD42"/>
      <c r="AE42"/>
      <c r="AF42"/>
      <c r="AG42"/>
      <c r="AH42"/>
      <c r="AI42"/>
    </row>
    <row r="43" spans="28:35">
      <c r="AD43"/>
      <c r="AE43"/>
      <c r="AF43"/>
      <c r="AG43"/>
      <c r="AH43"/>
      <c r="AI43"/>
    </row>
    <row r="44" spans="28:35">
      <c r="AD44"/>
      <c r="AE44"/>
      <c r="AF44"/>
      <c r="AG44"/>
      <c r="AH44"/>
      <c r="AI44"/>
    </row>
    <row r="45" spans="28:35">
      <c r="AD45"/>
      <c r="AE45"/>
      <c r="AF45"/>
      <c r="AG45"/>
      <c r="AH45"/>
      <c r="AI45"/>
    </row>
    <row r="46" spans="28:35">
      <c r="AD46"/>
      <c r="AE46"/>
      <c r="AF46"/>
      <c r="AG46"/>
      <c r="AH46"/>
      <c r="AI46"/>
    </row>
    <row r="47" spans="28:35">
      <c r="AD47"/>
      <c r="AE47"/>
      <c r="AF47"/>
      <c r="AG47"/>
      <c r="AH47"/>
      <c r="AI47"/>
    </row>
    <row r="48" spans="28:35">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algorithmName="SHA-512" hashValue="vQYqmfM9ZHrDGcvaCXG4mhCy78+cZvte8BH2XRyzvbNwyG26wRX4OR1X+nKerYhH5/PyQQXjeL3ppvGm31RWvg==" saltValue="ZiLlEwNMYMLy7XTOTUKwqQ==" spinCount="100000" sheet="1"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9" formatCode="[$$-C09]#,##0.00"/>
            </x14:dxf>
          </x14:cfRule>
          <x14:cfRule type="expression" priority="10" id="{86FE4180-30DF-4117-BF90-977ADDB79A77}">
            <xm:f>Transactions!$D$5=Currency!$A$7</xm:f>
            <x14:dxf>
              <numFmt numFmtId="178" formatCode="[$¥-411]#,##0.00"/>
            </x14:dxf>
          </x14:cfRule>
          <x14:cfRule type="expression" priority="11" id="{DA919BE4-0955-4A4D-A450-46AAB2923FB1}">
            <xm:f>Transactions!$D$5=Currency!$A$6</xm:f>
            <x14:dxf>
              <numFmt numFmtId="177" formatCode="[$$-4809]#,##0.00"/>
            </x14:dxf>
          </x14:cfRule>
          <x14:cfRule type="expression" priority="12" id="{BE96BBD0-85A5-42B5-8B12-BE1BB565A60C}">
            <xm:f>Transactions!$D$5=Currency!$A$5</xm:f>
            <x14:dxf>
              <numFmt numFmtId="176" formatCode="[$¥-804]#,##0.00"/>
            </x14:dxf>
          </x14:cfRule>
          <x14:cfRule type="expression" priority="13" id="{B5D88AA3-3B59-4B53-BF00-2F1D2DCB9DAE}">
            <xm:f>Transactions!$D$5=Currency!$A$4</xm:f>
            <x14:dxf>
              <numFmt numFmtId="175" formatCode="[$£-809]#,##0.00"/>
            </x14:dxf>
          </x14:cfRule>
          <x14:cfRule type="expression" priority="14" id="{DAD4913E-B6EE-44F6-AC4E-2FEBC651F5AD}">
            <xm:f>Transactions!$D$5=Currency!$A$3</xm:f>
            <x14:dxf>
              <numFmt numFmtId="174"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3"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9" formatCode="[$$-C09]#,##0.00"/>
            </x14:dxf>
          </x14:cfRule>
          <x14:cfRule type="expression" priority="2" id="{9E2A2FF2-5309-46ED-B870-4B13D9F25AFA}">
            <xm:f>Transactions!$D$5=Currency!$A$7</xm:f>
            <x14:dxf>
              <numFmt numFmtId="178" formatCode="[$¥-411]#,##0.00"/>
            </x14:dxf>
          </x14:cfRule>
          <x14:cfRule type="expression" priority="3" id="{599993FE-3FF0-43F8-9A70-674A4678AEF2}">
            <xm:f>Transactions!$D$5=Currency!$A$6</xm:f>
            <x14:dxf>
              <numFmt numFmtId="177" formatCode="[$$-4809]#,##0.00"/>
            </x14:dxf>
          </x14:cfRule>
          <x14:cfRule type="expression" priority="4" id="{D1DB9BC1-D5B6-46F7-AECE-F0A76A444C8C}">
            <xm:f>Transactions!$D$5=Currency!$A$5</xm:f>
            <x14:dxf>
              <numFmt numFmtId="176" formatCode="[$¥-804]#,##0.00"/>
            </x14:dxf>
          </x14:cfRule>
          <x14:cfRule type="expression" priority="5" id="{D19A252D-76B6-46CE-AC51-C4C60B8CFD13}">
            <xm:f>Transactions!$D$5=Currency!$A$4</xm:f>
            <x14:dxf>
              <numFmt numFmtId="175" formatCode="[$£-809]#,##0.00"/>
            </x14:dxf>
          </x14:cfRule>
          <x14:cfRule type="expression" priority="6" id="{E427136E-0DB8-4C75-B295-47C4BFE90B25}">
            <xm:f>Transactions!$D$5=Currency!$A$3</xm:f>
            <x14:dxf>
              <numFmt numFmtId="174"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3" formatCode="#,##0\ [$₫-42A]"/>
            </x14:dxf>
          </x14:cfRule>
          <xm:sqref>C5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zoomScale="90" zoomScaleNormal="90" workbookViewId="0"/>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hidden="1" customWidth="1"/>
    <col min="29" max="29" width="18.5703125" style="3" hidden="1" customWidth="1"/>
    <col min="30" max="30" width="20.5703125" style="3" hidden="1" customWidth="1"/>
    <col min="31" max="31" width="26.42578125" style="3" hidden="1" customWidth="1"/>
    <col min="32" max="32" width="18.5703125" style="3" hidden="1" customWidth="1"/>
    <col min="33" max="33" width="20.5703125" style="3" hidden="1" customWidth="1"/>
    <col min="34" max="34" width="22.140625" style="3" hidden="1" customWidth="1"/>
    <col min="35" max="35" width="18.5703125" style="3" hidden="1" customWidth="1"/>
    <col min="36" max="36" width="20.5703125" style="3" hidden="1" customWidth="1"/>
    <col min="37" max="37" width="14.140625" style="3" hidden="1" customWidth="1"/>
    <col min="38" max="38" width="18.5703125" style="3" hidden="1" customWidth="1"/>
    <col min="39" max="39" width="20.5703125" style="3" hidden="1" customWidth="1"/>
    <col min="40" max="40" width="9.140625" style="3" customWidth="1"/>
    <col min="41" max="16384" width="9.140625" style="3"/>
  </cols>
  <sheetData>
    <row r="1" spans="1:16" s="14" customFormat="1" ht="44.1" customHeight="1">
      <c r="A1" s="12"/>
      <c r="B1" s="98" t="s">
        <v>138</v>
      </c>
      <c r="C1" s="12"/>
      <c r="D1" s="12"/>
      <c r="E1" s="12"/>
      <c r="F1" s="12"/>
      <c r="G1" s="12"/>
      <c r="H1" s="12"/>
      <c r="I1" s="12"/>
      <c r="J1" s="12"/>
      <c r="K1" s="12"/>
      <c r="L1" s="12"/>
      <c r="M1" s="12"/>
      <c r="N1" s="12"/>
      <c r="O1" s="12"/>
      <c r="P1" s="12"/>
    </row>
    <row r="2" spans="1:16" ht="18">
      <c r="B2" s="54" t="s">
        <v>33</v>
      </c>
      <c r="C2" s="101">
        <f>'Monthly Forecast'!C3</f>
        <v>44197</v>
      </c>
    </row>
    <row r="3" spans="1:16" ht="56.25" customHeight="1">
      <c r="B3" s="54" t="s">
        <v>68</v>
      </c>
      <c r="C3" s="102">
        <f>Transactions!C4</f>
        <v>2021</v>
      </c>
      <c r="F3" s="383" t="s">
        <v>164</v>
      </c>
      <c r="G3" s="383"/>
      <c r="H3" s="383"/>
      <c r="I3" s="383"/>
      <c r="J3" s="383"/>
      <c r="K3" s="383"/>
      <c r="L3" s="383"/>
    </row>
    <row r="4" spans="1:16" s="79" customFormat="1" ht="33.950000000000003" customHeight="1" thickBot="1">
      <c r="A4" s="5"/>
      <c r="B4" s="80" t="s">
        <v>106</v>
      </c>
      <c r="C4" s="77"/>
      <c r="D4" s="77"/>
      <c r="F4" s="80" t="s">
        <v>107</v>
      </c>
      <c r="G4" s="77"/>
      <c r="H4" s="77"/>
      <c r="J4" s="80" t="s">
        <v>115</v>
      </c>
      <c r="K4" s="77"/>
      <c r="L4" s="77"/>
      <c r="N4" s="80" t="s">
        <v>108</v>
      </c>
      <c r="O4" s="77"/>
      <c r="P4" s="77"/>
    </row>
    <row r="5" spans="1:16" s="83" customFormat="1" ht="33.950000000000003" customHeight="1">
      <c r="A5" s="4"/>
      <c r="B5" s="84" t="s">
        <v>114</v>
      </c>
      <c r="C5" s="381">
        <f>SUMIF(Summary[Type],"INCOME",Summary[MTD Diff.])</f>
        <v>-5543680</v>
      </c>
      <c r="D5" s="382"/>
      <c r="F5" s="84" t="s">
        <v>114</v>
      </c>
      <c r="G5" s="384">
        <f>SUMIF(Summary[Type],"EXPENSES",Summary[MTD Diff.])</f>
        <v>11891111.111111112</v>
      </c>
      <c r="H5" s="384"/>
      <c r="J5" s="84" t="s">
        <v>114</v>
      </c>
      <c r="K5" s="384">
        <f>SUMIF(Summary[Type],"DISCRETIONARY",Summary[MTD Diff.])</f>
        <v>0</v>
      </c>
      <c r="L5" s="384"/>
      <c r="N5" s="84" t="s">
        <v>114</v>
      </c>
      <c r="O5" s="384">
        <f>C5-G5-K5</f>
        <v>-17434791.111111112</v>
      </c>
      <c r="P5" s="384"/>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110</v>
      </c>
      <c r="AD29" t="s">
        <v>111</v>
      </c>
      <c r="AE29" s="1" t="s">
        <v>101</v>
      </c>
      <c r="AF29" t="s">
        <v>110</v>
      </c>
      <c r="AG29" t="s">
        <v>111</v>
      </c>
      <c r="AH29" s="1" t="s">
        <v>101</v>
      </c>
      <c r="AI29" t="s">
        <v>110</v>
      </c>
      <c r="AJ29" t="s">
        <v>111</v>
      </c>
      <c r="AK29" s="1" t="s">
        <v>101</v>
      </c>
      <c r="AL29" t="s">
        <v>110</v>
      </c>
      <c r="AM29" t="s">
        <v>111</v>
      </c>
    </row>
    <row r="30" spans="28:39">
      <c r="AB30" s="2" t="s">
        <v>8</v>
      </c>
      <c r="AC30" s="343">
        <v>0</v>
      </c>
      <c r="AD30" s="343">
        <v>0</v>
      </c>
      <c r="AE30" s="2" t="s">
        <v>24</v>
      </c>
      <c r="AF30" s="343">
        <v>0</v>
      </c>
      <c r="AG30" s="343">
        <v>0</v>
      </c>
      <c r="AH30" s="2" t="s">
        <v>49</v>
      </c>
      <c r="AI30" s="343">
        <v>0</v>
      </c>
      <c r="AJ30" s="343">
        <v>0</v>
      </c>
      <c r="AK30" s="2" t="s">
        <v>50</v>
      </c>
      <c r="AL30" s="343">
        <v>30100000</v>
      </c>
      <c r="AM30" s="343">
        <v>12665208.888888888</v>
      </c>
    </row>
    <row r="31" spans="28:39">
      <c r="AB31" s="2" t="s">
        <v>45</v>
      </c>
      <c r="AC31" s="343">
        <v>0</v>
      </c>
      <c r="AD31" s="343">
        <v>0</v>
      </c>
      <c r="AE31" s="2" t="s">
        <v>47</v>
      </c>
      <c r="AF31" s="343">
        <v>0</v>
      </c>
      <c r="AG31" s="343">
        <v>0</v>
      </c>
      <c r="AH31" s="2" t="s">
        <v>161</v>
      </c>
      <c r="AI31" s="343">
        <v>0</v>
      </c>
      <c r="AJ31" s="343">
        <v>0</v>
      </c>
      <c r="AK31" s="2" t="s">
        <v>102</v>
      </c>
      <c r="AL31" s="343">
        <v>30100000</v>
      </c>
      <c r="AM31" s="343">
        <v>12665208.888888888</v>
      </c>
    </row>
    <row r="32" spans="28:39">
      <c r="AB32" s="2" t="s">
        <v>44</v>
      </c>
      <c r="AC32" s="343">
        <v>0</v>
      </c>
      <c r="AD32" s="343">
        <v>0</v>
      </c>
      <c r="AE32" s="2" t="s">
        <v>159</v>
      </c>
      <c r="AF32" s="343">
        <v>0</v>
      </c>
      <c r="AG32" s="343">
        <v>0</v>
      </c>
      <c r="AH32" s="2" t="s">
        <v>162</v>
      </c>
      <c r="AI32" s="343">
        <v>0</v>
      </c>
      <c r="AJ32" s="343">
        <v>0</v>
      </c>
      <c r="AK32"/>
      <c r="AL32"/>
      <c r="AM32"/>
    </row>
    <row r="33" spans="28:39">
      <c r="AB33" s="2" t="s">
        <v>46</v>
      </c>
      <c r="AC33" s="343">
        <v>0</v>
      </c>
      <c r="AD33" s="343">
        <v>0</v>
      </c>
      <c r="AE33" s="2" t="s">
        <v>172</v>
      </c>
      <c r="AF33" s="343">
        <v>0</v>
      </c>
      <c r="AG33" s="343">
        <v>0</v>
      </c>
      <c r="AH33" s="2" t="s">
        <v>163</v>
      </c>
      <c r="AI33" s="343">
        <v>0</v>
      </c>
      <c r="AJ33" s="343">
        <v>0</v>
      </c>
      <c r="AK33"/>
      <c r="AL33"/>
      <c r="AM33"/>
    </row>
    <row r="34" spans="28:39">
      <c r="AB34" s="2" t="s">
        <v>226</v>
      </c>
      <c r="AC34" s="343">
        <v>0</v>
      </c>
      <c r="AD34" s="343">
        <v>0</v>
      </c>
      <c r="AE34" s="2" t="s">
        <v>48</v>
      </c>
      <c r="AF34" s="343">
        <v>0</v>
      </c>
      <c r="AG34" s="343">
        <v>0</v>
      </c>
      <c r="AH34" s="2" t="s">
        <v>7</v>
      </c>
      <c r="AI34" s="343">
        <v>200000</v>
      </c>
      <c r="AJ34" s="343">
        <v>300000</v>
      </c>
      <c r="AK34"/>
      <c r="AL34"/>
      <c r="AM34"/>
    </row>
    <row r="35" spans="28:39">
      <c r="AB35" s="2" t="s">
        <v>168</v>
      </c>
      <c r="AC35" s="343">
        <v>0</v>
      </c>
      <c r="AD35" s="343">
        <v>0</v>
      </c>
      <c r="AE35" s="2" t="s">
        <v>23</v>
      </c>
      <c r="AF35" s="343">
        <v>200000</v>
      </c>
      <c r="AG35" s="343">
        <v>100000</v>
      </c>
      <c r="AH35" s="2" t="s">
        <v>16</v>
      </c>
      <c r="AI35" s="343">
        <v>500000</v>
      </c>
      <c r="AJ35" s="343">
        <v>400000</v>
      </c>
      <c r="AK35"/>
      <c r="AL35"/>
      <c r="AM35"/>
    </row>
    <row r="36" spans="28:39">
      <c r="AB36" s="2" t="s">
        <v>15</v>
      </c>
      <c r="AC36" s="343">
        <v>0</v>
      </c>
      <c r="AD36" s="343">
        <v>0</v>
      </c>
      <c r="AE36" s="2" t="s">
        <v>9</v>
      </c>
      <c r="AF36" s="343">
        <v>0</v>
      </c>
      <c r="AG36" s="343">
        <v>100000</v>
      </c>
      <c r="AH36" s="2" t="s">
        <v>102</v>
      </c>
      <c r="AI36" s="343">
        <v>700000</v>
      </c>
      <c r="AJ36" s="343">
        <v>700000</v>
      </c>
      <c r="AK36"/>
      <c r="AL36"/>
      <c r="AM36"/>
    </row>
    <row r="37" spans="28:39">
      <c r="AB37" s="2" t="s">
        <v>10</v>
      </c>
      <c r="AC37" s="343">
        <v>18000000</v>
      </c>
      <c r="AD37" s="343">
        <v>12456320</v>
      </c>
      <c r="AE37" s="2" t="s">
        <v>14</v>
      </c>
      <c r="AF37" s="343">
        <v>200000</v>
      </c>
      <c r="AG37" s="343">
        <v>300000</v>
      </c>
      <c r="AH37"/>
      <c r="AI37"/>
      <c r="AJ37"/>
      <c r="AK37"/>
      <c r="AL37"/>
      <c r="AM37"/>
    </row>
    <row r="38" spans="28:39">
      <c r="AB38" s="2" t="s">
        <v>11</v>
      </c>
      <c r="AC38" s="343">
        <v>20000000</v>
      </c>
      <c r="AD38" s="343">
        <v>20000000</v>
      </c>
      <c r="AE38" s="2" t="s">
        <v>20</v>
      </c>
      <c r="AF38" s="343">
        <v>400000</v>
      </c>
      <c r="AG38" s="343">
        <v>500000</v>
      </c>
      <c r="AH38"/>
      <c r="AI38"/>
      <c r="AJ38"/>
      <c r="AK38"/>
      <c r="AL38"/>
      <c r="AM38"/>
    </row>
    <row r="39" spans="28:39">
      <c r="AB39" s="2" t="s">
        <v>102</v>
      </c>
      <c r="AC39" s="343">
        <v>38000000</v>
      </c>
      <c r="AD39" s="343">
        <v>32456320</v>
      </c>
      <c r="AE39" s="2" t="s">
        <v>13</v>
      </c>
      <c r="AF39" s="343">
        <v>800000</v>
      </c>
      <c r="AG39" s="343">
        <v>1000000</v>
      </c>
      <c r="AH39"/>
      <c r="AI39"/>
      <c r="AJ39"/>
      <c r="AK39"/>
      <c r="AL39"/>
      <c r="AM39"/>
    </row>
    <row r="40" spans="28:39">
      <c r="AB40"/>
      <c r="AC40"/>
      <c r="AD40"/>
      <c r="AE40" s="2" t="s">
        <v>173</v>
      </c>
      <c r="AF40" s="343">
        <v>1000000</v>
      </c>
      <c r="AG40" s="343">
        <v>1100000</v>
      </c>
      <c r="AH40"/>
      <c r="AI40"/>
      <c r="AJ40"/>
      <c r="AK40"/>
      <c r="AL40"/>
      <c r="AM40"/>
    </row>
    <row r="41" spans="28:39">
      <c r="AE41" s="2" t="s">
        <v>170</v>
      </c>
      <c r="AF41" s="343">
        <v>0</v>
      </c>
      <c r="AG41" s="343">
        <v>2222222.222222222</v>
      </c>
      <c r="AH41"/>
      <c r="AI41"/>
      <c r="AJ41"/>
      <c r="AK41"/>
      <c r="AL41"/>
      <c r="AM41"/>
    </row>
    <row r="42" spans="28:39">
      <c r="AE42" s="2" t="s">
        <v>171</v>
      </c>
      <c r="AF42" s="343">
        <v>0</v>
      </c>
      <c r="AG42" s="343">
        <v>2768888.8888888899</v>
      </c>
      <c r="AH42"/>
      <c r="AI42"/>
      <c r="AJ42"/>
      <c r="AK42"/>
      <c r="AL42"/>
      <c r="AM42"/>
    </row>
    <row r="43" spans="28:39">
      <c r="AE43" s="2" t="s">
        <v>174</v>
      </c>
      <c r="AF43" s="343">
        <v>0</v>
      </c>
      <c r="AG43" s="343">
        <v>5000000</v>
      </c>
      <c r="AH43"/>
      <c r="AI43"/>
      <c r="AJ43"/>
      <c r="AK43"/>
      <c r="AL43"/>
      <c r="AM43"/>
    </row>
    <row r="44" spans="28:39">
      <c r="AE44" s="2" t="s">
        <v>169</v>
      </c>
      <c r="AF44" s="343">
        <v>4600000</v>
      </c>
      <c r="AG44" s="343">
        <v>6000000</v>
      </c>
      <c r="AH44"/>
      <c r="AI44"/>
      <c r="AJ44"/>
      <c r="AK44"/>
      <c r="AL44"/>
      <c r="AM44"/>
    </row>
    <row r="45" spans="28:39">
      <c r="AE45" s="2" t="s">
        <v>102</v>
      </c>
      <c r="AF45" s="343">
        <v>7200000</v>
      </c>
      <c r="AG45" s="34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algorithmName="SHA-512" hashValue="5EesfNDyk3Ra7Fcqa0Q3OcvVhSbAQTnM2MJwUUT41hHhg2lnEC3vx3yNre7txn1GFqaWVpy8w5P41rzPwPe11w==" saltValue="lJKjXKFwNCV1x1pQa/isEQ==" spinCount="100000" sheet="1" objects="1" scenarios="1"/>
  <mergeCells count="5">
    <mergeCell ref="F3:L3"/>
    <mergeCell ref="C5:D5"/>
    <mergeCell ref="G5:H5"/>
    <mergeCell ref="K5:L5"/>
    <mergeCell ref="O5:P5"/>
  </mergeCells>
  <conditionalFormatting sqref="K5:L5">
    <cfRule type="cellIs" dxfId="121" priority="12" operator="lessThan">
      <formula>0</formula>
    </cfRule>
  </conditionalFormatting>
  <conditionalFormatting sqref="G5:H5">
    <cfRule type="cellIs" dxfId="120" priority="10" operator="lessThan">
      <formula>0</formula>
    </cfRule>
  </conditionalFormatting>
  <conditionalFormatting sqref="O5:P5 C5">
    <cfRule type="cellIs" dxfId="1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9" formatCode="[$$-C09]#,##0.00"/>
            </x14:dxf>
          </x14:cfRule>
          <x14:cfRule type="expression" priority="2" id="{0579B4B2-DC8E-4FC0-94D4-A3F246B8951D}">
            <xm:f>Transactions!$D$5=Currency!$A$7</xm:f>
            <x14:dxf>
              <numFmt numFmtId="178" formatCode="[$¥-411]#,##0.00"/>
            </x14:dxf>
          </x14:cfRule>
          <x14:cfRule type="expression" priority="3" id="{52CC3309-246C-4C87-99DF-24EB4874CD19}">
            <xm:f>Transactions!$D$5=Currency!$A$6</xm:f>
            <x14:dxf>
              <numFmt numFmtId="177" formatCode="[$$-4809]#,##0.00"/>
            </x14:dxf>
          </x14:cfRule>
          <x14:cfRule type="expression" priority="4" id="{2C4CC193-F7A2-4257-8258-DD35D0C29CCE}">
            <xm:f>Transactions!$D$5=Currency!$A$5</xm:f>
            <x14:dxf>
              <numFmt numFmtId="176" formatCode="[$¥-804]#,##0.00"/>
            </x14:dxf>
          </x14:cfRule>
          <x14:cfRule type="expression" priority="5" id="{ACE02CD2-AA99-4099-801C-9149EA2FD0AE}">
            <xm:f>Transactions!$D$5=Currency!$A$4</xm:f>
            <x14:dxf>
              <numFmt numFmtId="175" formatCode="[$£-809]#,##0.00"/>
            </x14:dxf>
          </x14:cfRule>
          <x14:cfRule type="expression" priority="6" id="{FA2C17DD-BDBB-433A-A712-082A835BD361}">
            <xm:f>Transactions!$D$5=Currency!$A$3</xm:f>
            <x14:dxf>
              <numFmt numFmtId="174"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3" formatCode="#,##0\ [$₫-42A]"/>
            </x14:dxf>
          </x14:cfRule>
          <xm:sqref>C5 G5 K5 O5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zoomScale="90" zoomScaleNormal="90" workbookViewId="0"/>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85546875" style="3" hidden="1" customWidth="1"/>
    <col min="29" max="29" width="18.140625" style="3" hidden="1" customWidth="1"/>
    <col min="30" max="30" width="20.140625" style="3" hidden="1" customWidth="1"/>
    <col min="31" max="31" width="26.4257812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40" width="0" style="3" hidden="1" customWidth="1"/>
    <col min="41" max="16384" width="9.140625" style="3"/>
  </cols>
  <sheetData>
    <row r="1" spans="1:16" s="14" customFormat="1" ht="44.1" customHeight="1">
      <c r="A1" s="12"/>
      <c r="B1" s="98" t="s">
        <v>137</v>
      </c>
      <c r="C1" s="12"/>
      <c r="D1" s="12"/>
      <c r="E1" s="12"/>
      <c r="F1" s="12"/>
      <c r="G1" s="12"/>
      <c r="H1" s="12"/>
      <c r="I1" s="12"/>
      <c r="J1" s="12"/>
      <c r="K1" s="12"/>
      <c r="L1" s="12"/>
      <c r="M1" s="12"/>
      <c r="N1" s="12"/>
      <c r="O1" s="12"/>
      <c r="P1" s="12"/>
    </row>
    <row r="2" spans="1:16" ht="18">
      <c r="B2" s="54" t="s">
        <v>33</v>
      </c>
      <c r="C2" s="101">
        <f>'Monthly Forecast'!C3</f>
        <v>44197</v>
      </c>
    </row>
    <row r="3" spans="1:16" ht="55.5" customHeight="1">
      <c r="B3" s="54" t="s">
        <v>68</v>
      </c>
      <c r="C3" s="102">
        <f>Transactions!C4</f>
        <v>2021</v>
      </c>
      <c r="F3" s="383" t="s">
        <v>165</v>
      </c>
      <c r="G3" s="383"/>
      <c r="H3" s="383"/>
      <c r="I3" s="383"/>
      <c r="J3" s="383"/>
      <c r="K3" s="383"/>
      <c r="L3" s="383"/>
      <c r="M3" s="383"/>
      <c r="N3" s="383"/>
    </row>
    <row r="4" spans="1:16" s="79" customFormat="1" ht="33.950000000000003" customHeight="1" thickBot="1">
      <c r="A4" s="5"/>
      <c r="B4" s="80" t="s">
        <v>106</v>
      </c>
      <c r="C4" s="77"/>
      <c r="D4" s="77"/>
      <c r="F4" s="80" t="s">
        <v>107</v>
      </c>
      <c r="G4" s="77"/>
      <c r="H4" s="77"/>
      <c r="J4" s="80" t="s">
        <v>115</v>
      </c>
      <c r="K4" s="77"/>
      <c r="L4" s="77"/>
      <c r="N4" s="80" t="s">
        <v>108</v>
      </c>
      <c r="O4" s="77"/>
      <c r="P4" s="77"/>
    </row>
    <row r="5" spans="1:16" ht="33.950000000000003" customHeight="1">
      <c r="A5" s="4"/>
      <c r="B5" s="78" t="s">
        <v>116</v>
      </c>
      <c r="C5" s="381">
        <f>SUMIF(Summary[Type],"INCOME",Summary[YTD Diff.])</f>
        <v>-5543680</v>
      </c>
      <c r="D5" s="382"/>
      <c r="F5" s="78" t="s">
        <v>116</v>
      </c>
      <c r="G5" s="384">
        <f>SUMIF(Summary[Type],"EXPENSES",Summary[YTD Diff.])</f>
        <v>11891111.111111112</v>
      </c>
      <c r="H5" s="384"/>
      <c r="J5" s="78" t="s">
        <v>116</v>
      </c>
      <c r="K5" s="384">
        <f>SUMIF(Summary[Type],"DISCRETIONARY",Summary[YTD Diff.])</f>
        <v>0</v>
      </c>
      <c r="L5" s="384"/>
      <c r="N5" s="78" t="s">
        <v>116</v>
      </c>
      <c r="O5" s="384">
        <f>C5-G5-K5</f>
        <v>-17434791.111111112</v>
      </c>
      <c r="P5" s="384"/>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112</v>
      </c>
      <c r="AD29" t="s">
        <v>113</v>
      </c>
      <c r="AE29" s="1" t="s">
        <v>101</v>
      </c>
      <c r="AF29" t="s">
        <v>112</v>
      </c>
      <c r="AG29" t="s">
        <v>113</v>
      </c>
      <c r="AH29" s="1" t="s">
        <v>101</v>
      </c>
      <c r="AI29" t="s">
        <v>112</v>
      </c>
      <c r="AJ29" t="s">
        <v>113</v>
      </c>
      <c r="AK29" s="1" t="s">
        <v>101</v>
      </c>
      <c r="AL29" t="s">
        <v>112</v>
      </c>
      <c r="AM29" t="s">
        <v>113</v>
      </c>
    </row>
    <row r="30" spans="28:39">
      <c r="AB30" s="2" t="s">
        <v>8</v>
      </c>
      <c r="AC30" s="343">
        <v>0</v>
      </c>
      <c r="AD30" s="343">
        <v>0</v>
      </c>
      <c r="AE30" s="2" t="s">
        <v>24</v>
      </c>
      <c r="AF30" s="343">
        <v>0</v>
      </c>
      <c r="AG30" s="343">
        <v>0</v>
      </c>
      <c r="AH30" s="2" t="s">
        <v>49</v>
      </c>
      <c r="AI30" s="343">
        <v>0</v>
      </c>
      <c r="AJ30" s="343">
        <v>0</v>
      </c>
      <c r="AK30" s="2" t="s">
        <v>50</v>
      </c>
      <c r="AL30" s="343">
        <v>30100000</v>
      </c>
      <c r="AM30" s="343">
        <v>12665208.888888888</v>
      </c>
    </row>
    <row r="31" spans="28:39">
      <c r="AB31" s="2" t="s">
        <v>45</v>
      </c>
      <c r="AC31" s="343">
        <v>0</v>
      </c>
      <c r="AD31" s="343">
        <v>0</v>
      </c>
      <c r="AE31" s="2" t="s">
        <v>47</v>
      </c>
      <c r="AF31" s="343">
        <v>0</v>
      </c>
      <c r="AG31" s="343">
        <v>0</v>
      </c>
      <c r="AH31" s="2" t="s">
        <v>161</v>
      </c>
      <c r="AI31" s="343">
        <v>0</v>
      </c>
      <c r="AJ31" s="343">
        <v>0</v>
      </c>
      <c r="AK31" s="2" t="s">
        <v>102</v>
      </c>
      <c r="AL31" s="343">
        <v>30100000</v>
      </c>
      <c r="AM31" s="343">
        <v>12665208.888888888</v>
      </c>
    </row>
    <row r="32" spans="28:39">
      <c r="AB32" s="2" t="s">
        <v>44</v>
      </c>
      <c r="AC32" s="343">
        <v>0</v>
      </c>
      <c r="AD32" s="343">
        <v>0</v>
      </c>
      <c r="AE32" s="2" t="s">
        <v>159</v>
      </c>
      <c r="AF32" s="343">
        <v>0</v>
      </c>
      <c r="AG32" s="343">
        <v>0</v>
      </c>
      <c r="AH32" s="2" t="s">
        <v>162</v>
      </c>
      <c r="AI32" s="343">
        <v>0</v>
      </c>
      <c r="AJ32" s="343">
        <v>0</v>
      </c>
      <c r="AK32"/>
      <c r="AL32"/>
      <c r="AM32"/>
    </row>
    <row r="33" spans="28:39">
      <c r="AB33" s="2" t="s">
        <v>46</v>
      </c>
      <c r="AC33" s="343">
        <v>0</v>
      </c>
      <c r="AD33" s="343">
        <v>0</v>
      </c>
      <c r="AE33" s="2" t="s">
        <v>172</v>
      </c>
      <c r="AF33" s="343">
        <v>0</v>
      </c>
      <c r="AG33" s="343">
        <v>0</v>
      </c>
      <c r="AH33" s="2" t="s">
        <v>163</v>
      </c>
      <c r="AI33" s="343">
        <v>0</v>
      </c>
      <c r="AJ33" s="343">
        <v>0</v>
      </c>
      <c r="AK33"/>
      <c r="AL33"/>
      <c r="AM33"/>
    </row>
    <row r="34" spans="28:39">
      <c r="AB34" s="2" t="s">
        <v>226</v>
      </c>
      <c r="AC34" s="343">
        <v>0</v>
      </c>
      <c r="AD34" s="343">
        <v>0</v>
      </c>
      <c r="AE34" s="2" t="s">
        <v>48</v>
      </c>
      <c r="AF34" s="343">
        <v>0</v>
      </c>
      <c r="AG34" s="343">
        <v>0</v>
      </c>
      <c r="AH34" s="2" t="s">
        <v>7</v>
      </c>
      <c r="AI34" s="343">
        <v>200000</v>
      </c>
      <c r="AJ34" s="343">
        <v>300000</v>
      </c>
      <c r="AK34"/>
      <c r="AL34"/>
      <c r="AM34"/>
    </row>
    <row r="35" spans="28:39">
      <c r="AB35" s="2" t="s">
        <v>168</v>
      </c>
      <c r="AC35" s="343">
        <v>0</v>
      </c>
      <c r="AD35" s="343">
        <v>0</v>
      </c>
      <c r="AE35" s="2" t="s">
        <v>23</v>
      </c>
      <c r="AF35" s="343">
        <v>200000</v>
      </c>
      <c r="AG35" s="343">
        <v>100000</v>
      </c>
      <c r="AH35" s="2" t="s">
        <v>16</v>
      </c>
      <c r="AI35" s="343">
        <v>500000</v>
      </c>
      <c r="AJ35" s="343">
        <v>400000</v>
      </c>
      <c r="AK35"/>
      <c r="AL35"/>
      <c r="AM35"/>
    </row>
    <row r="36" spans="28:39">
      <c r="AB36" s="2" t="s">
        <v>15</v>
      </c>
      <c r="AC36" s="343">
        <v>0</v>
      </c>
      <c r="AD36" s="343">
        <v>0</v>
      </c>
      <c r="AE36" s="2" t="s">
        <v>9</v>
      </c>
      <c r="AF36" s="343">
        <v>0</v>
      </c>
      <c r="AG36" s="343">
        <v>100000</v>
      </c>
      <c r="AH36" s="2" t="s">
        <v>102</v>
      </c>
      <c r="AI36" s="343">
        <v>700000</v>
      </c>
      <c r="AJ36" s="343">
        <v>700000</v>
      </c>
      <c r="AK36"/>
      <c r="AL36"/>
      <c r="AM36"/>
    </row>
    <row r="37" spans="28:39">
      <c r="AB37" s="2" t="s">
        <v>10</v>
      </c>
      <c r="AC37" s="343">
        <v>18000000</v>
      </c>
      <c r="AD37" s="343">
        <v>12456320</v>
      </c>
      <c r="AE37" s="2" t="s">
        <v>14</v>
      </c>
      <c r="AF37" s="343">
        <v>200000</v>
      </c>
      <c r="AG37" s="343">
        <v>300000</v>
      </c>
      <c r="AH37"/>
      <c r="AI37"/>
      <c r="AJ37"/>
      <c r="AK37"/>
      <c r="AL37"/>
      <c r="AM37"/>
    </row>
    <row r="38" spans="28:39">
      <c r="AB38" s="2" t="s">
        <v>11</v>
      </c>
      <c r="AC38" s="343">
        <v>20000000</v>
      </c>
      <c r="AD38" s="343">
        <v>20000000</v>
      </c>
      <c r="AE38" s="2" t="s">
        <v>20</v>
      </c>
      <c r="AF38" s="343">
        <v>400000</v>
      </c>
      <c r="AG38" s="343">
        <v>500000</v>
      </c>
      <c r="AH38"/>
      <c r="AI38"/>
      <c r="AJ38"/>
      <c r="AK38"/>
      <c r="AL38"/>
      <c r="AM38"/>
    </row>
    <row r="39" spans="28:39">
      <c r="AB39" s="2" t="s">
        <v>102</v>
      </c>
      <c r="AC39" s="343">
        <v>38000000</v>
      </c>
      <c r="AD39" s="343">
        <v>32456320</v>
      </c>
      <c r="AE39" s="2" t="s">
        <v>13</v>
      </c>
      <c r="AF39" s="343">
        <v>800000</v>
      </c>
      <c r="AG39" s="343">
        <v>1000000</v>
      </c>
      <c r="AH39"/>
      <c r="AI39"/>
      <c r="AJ39"/>
      <c r="AK39"/>
      <c r="AL39"/>
      <c r="AM39"/>
    </row>
    <row r="40" spans="28:39">
      <c r="AB40"/>
      <c r="AC40"/>
      <c r="AD40"/>
      <c r="AE40" s="2" t="s">
        <v>173</v>
      </c>
      <c r="AF40" s="343">
        <v>1000000</v>
      </c>
      <c r="AG40" s="343">
        <v>1100000</v>
      </c>
      <c r="AH40"/>
      <c r="AI40"/>
      <c r="AJ40"/>
      <c r="AK40"/>
      <c r="AL40"/>
      <c r="AM40"/>
    </row>
    <row r="41" spans="28:39">
      <c r="AE41" s="2" t="s">
        <v>170</v>
      </c>
      <c r="AF41" s="343">
        <v>0</v>
      </c>
      <c r="AG41" s="343">
        <v>2222222.222222222</v>
      </c>
      <c r="AH41"/>
      <c r="AI41"/>
      <c r="AJ41"/>
      <c r="AK41"/>
      <c r="AL41"/>
      <c r="AM41"/>
    </row>
    <row r="42" spans="28:39">
      <c r="AE42" s="2" t="s">
        <v>171</v>
      </c>
      <c r="AF42" s="343">
        <v>0</v>
      </c>
      <c r="AG42" s="343">
        <v>2768888.8888888899</v>
      </c>
      <c r="AH42"/>
      <c r="AI42"/>
      <c r="AJ42"/>
      <c r="AK42"/>
      <c r="AL42"/>
      <c r="AM42"/>
    </row>
    <row r="43" spans="28:39">
      <c r="AE43" s="2" t="s">
        <v>174</v>
      </c>
      <c r="AF43" s="343">
        <v>0</v>
      </c>
      <c r="AG43" s="343">
        <v>5000000</v>
      </c>
      <c r="AH43"/>
      <c r="AI43"/>
      <c r="AJ43"/>
      <c r="AK43"/>
      <c r="AL43"/>
      <c r="AM43"/>
    </row>
    <row r="44" spans="28:39">
      <c r="AE44" s="2" t="s">
        <v>169</v>
      </c>
      <c r="AF44" s="343">
        <v>4600000</v>
      </c>
      <c r="AG44" s="343">
        <v>6000000</v>
      </c>
      <c r="AH44"/>
      <c r="AI44"/>
      <c r="AJ44"/>
      <c r="AK44"/>
      <c r="AL44"/>
      <c r="AM44"/>
    </row>
    <row r="45" spans="28:39">
      <c r="AE45" s="2" t="s">
        <v>102</v>
      </c>
      <c r="AF45" s="343">
        <v>7200000</v>
      </c>
      <c r="AG45" s="34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algorithmName="SHA-512" hashValue="i9mGmjmEdK3466lEAPY34q3NVw1Wr8a8g1K48Onwst9T1YxPc+0yA2bN2TwNyCfwrV+bYKUvx4fJq9HVAdp/pQ==" saltValue="tZHHSMwAj/1cpK2BAwGYSQ==" spinCount="100000" sheet="1" sort="0" autoFilter="0" pivotTables="0"/>
  <mergeCells count="5">
    <mergeCell ref="C5:D5"/>
    <mergeCell ref="G5:H5"/>
    <mergeCell ref="K5:L5"/>
    <mergeCell ref="O5:P5"/>
    <mergeCell ref="F3:N3"/>
  </mergeCells>
  <conditionalFormatting sqref="O5:P5">
    <cfRule type="cellIs" dxfId="110" priority="11" operator="greaterThan">
      <formula>0</formula>
    </cfRule>
  </conditionalFormatting>
  <conditionalFormatting sqref="G5:H5 K5:L5">
    <cfRule type="cellIs" dxfId="109" priority="10" operator="lessThan">
      <formula>0</formula>
    </cfRule>
  </conditionalFormatting>
  <conditionalFormatting sqref="C5">
    <cfRule type="cellIs" dxfId="10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9" formatCode="[$$-C09]#,##0.00"/>
            </x14:dxf>
          </x14:cfRule>
          <x14:cfRule type="expression" priority="2" id="{9C685A08-CB91-49DB-BAAF-95BF85117140}">
            <xm:f>Transactions!$D$5=Currency!$A$7</xm:f>
            <x14:dxf>
              <numFmt numFmtId="178" formatCode="[$¥-411]#,##0.00"/>
            </x14:dxf>
          </x14:cfRule>
          <x14:cfRule type="expression" priority="3" id="{B587705A-CDAD-41EC-A6CC-5A4824A85BCD}">
            <xm:f>Transactions!$D$5=Currency!$A$6</xm:f>
            <x14:dxf>
              <numFmt numFmtId="177" formatCode="[$$-4809]#,##0.00"/>
            </x14:dxf>
          </x14:cfRule>
          <x14:cfRule type="expression" priority="4" id="{F617C1E0-0640-49AF-840E-D7E4BEE69783}">
            <xm:f>Transactions!$D$5=Currency!$A$5</xm:f>
            <x14:dxf>
              <numFmt numFmtId="176" formatCode="[$¥-804]#,##0.00"/>
            </x14:dxf>
          </x14:cfRule>
          <x14:cfRule type="expression" priority="5" id="{EB1C6128-F994-4D88-9482-643912AFCADE}">
            <xm:f>Transactions!$D$5=Currency!$A$4</xm:f>
            <x14:dxf>
              <numFmt numFmtId="175" formatCode="[$£-809]#,##0.00"/>
            </x14:dxf>
          </x14:cfRule>
          <x14:cfRule type="expression" priority="6" id="{68F1EBB0-E8E3-443C-AF33-B84F228E0DE0}">
            <xm:f>Transactions!$D$5=Currency!$A$3</xm:f>
            <x14:dxf>
              <numFmt numFmtId="174"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3" formatCode="#,##0\ [$₫-42A]"/>
            </x14:dxf>
          </x14:cfRule>
          <xm:sqref>C5 G5 K5 O5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10"/>
  <sheetViews>
    <sheetView showGridLines="0" zoomScale="90" zoomScaleNormal="90" workbookViewId="0">
      <selection activeCell="F3" sqref="F3:M3"/>
    </sheetView>
  </sheetViews>
  <sheetFormatPr defaultRowHeight="14.25"/>
  <cols>
    <col min="1" max="1" width="2.28515625" style="5" customWidth="1"/>
    <col min="2" max="7" width="17.140625" style="3" customWidth="1"/>
    <col min="8" max="8" width="2.28515625" style="3" customWidth="1"/>
    <col min="9" max="14" width="17.140625" style="3" customWidth="1"/>
    <col min="15" max="15" width="17.42578125" style="3" customWidth="1"/>
    <col min="16" max="16384" width="9.140625" style="3"/>
  </cols>
  <sheetData>
    <row r="1" spans="1:15" s="14" customFormat="1" ht="44.1" customHeight="1">
      <c r="A1" s="12"/>
      <c r="B1" s="98" t="s">
        <v>243</v>
      </c>
      <c r="C1" s="12"/>
      <c r="D1" s="12"/>
      <c r="E1" s="12"/>
      <c r="F1" s="12"/>
      <c r="G1" s="12"/>
      <c r="H1" s="12"/>
      <c r="I1" s="12"/>
      <c r="J1" s="12"/>
      <c r="K1" s="12"/>
      <c r="L1" s="12"/>
      <c r="M1" s="12"/>
      <c r="N1" s="12"/>
      <c r="O1" s="12"/>
    </row>
    <row r="2" spans="1:15" ht="18">
      <c r="B2" s="54" t="s">
        <v>33</v>
      </c>
      <c r="C2" s="101">
        <f>'Monthly Forecast'!C3</f>
        <v>44197</v>
      </c>
    </row>
    <row r="3" spans="1:15" ht="55.5" customHeight="1">
      <c r="B3" s="54" t="s">
        <v>68</v>
      </c>
      <c r="C3" s="102">
        <f>Transactions!C4</f>
        <v>2021</v>
      </c>
      <c r="F3" s="383" t="s">
        <v>244</v>
      </c>
      <c r="G3" s="383"/>
      <c r="H3" s="383"/>
      <c r="I3" s="383"/>
      <c r="J3" s="383"/>
      <c r="K3" s="383"/>
      <c r="L3" s="383"/>
      <c r="M3" s="383"/>
    </row>
    <row r="4" spans="1:15" s="79" customFormat="1" ht="21.75" customHeight="1" thickBot="1">
      <c r="A4" s="5"/>
      <c r="B4" s="80" t="s">
        <v>106</v>
      </c>
      <c r="C4" s="77"/>
      <c r="D4" s="77"/>
      <c r="E4" s="77"/>
      <c r="F4" s="77"/>
      <c r="G4" s="77"/>
      <c r="I4" s="80" t="s">
        <v>107</v>
      </c>
      <c r="J4" s="77"/>
      <c r="K4" s="77"/>
      <c r="L4" s="77"/>
      <c r="M4" s="77"/>
      <c r="N4" s="77"/>
    </row>
    <row r="5" spans="1:15" ht="15">
      <c r="A5" s="4"/>
      <c r="B5" s="331"/>
      <c r="C5" s="332"/>
      <c r="D5" s="332"/>
      <c r="E5" s="332"/>
      <c r="F5" s="332"/>
      <c r="G5" s="332"/>
      <c r="I5" s="331"/>
      <c r="J5" s="332"/>
      <c r="K5" s="332"/>
      <c r="L5" s="332"/>
      <c r="M5" s="332"/>
      <c r="N5" s="332"/>
    </row>
    <row r="6" spans="1:15" ht="279" customHeight="1">
      <c r="B6" s="76"/>
      <c r="C6" s="76"/>
      <c r="D6" s="76"/>
      <c r="E6" s="76"/>
      <c r="F6" s="76"/>
      <c r="G6" s="76"/>
      <c r="I6" s="76"/>
      <c r="J6" s="76"/>
      <c r="K6" s="76"/>
      <c r="L6" s="76"/>
      <c r="M6" s="76"/>
      <c r="N6" s="76"/>
    </row>
    <row r="8" spans="1:15" ht="21" thickBot="1">
      <c r="B8" s="80" t="s">
        <v>115</v>
      </c>
      <c r="C8" s="77"/>
      <c r="D8" s="77"/>
      <c r="E8" s="77"/>
      <c r="F8" s="77"/>
      <c r="G8" s="77"/>
      <c r="I8" s="80" t="s">
        <v>108</v>
      </c>
      <c r="J8" s="77"/>
      <c r="K8" s="77"/>
      <c r="L8" s="77"/>
      <c r="M8" s="77"/>
      <c r="N8" s="77"/>
    </row>
    <row r="9" spans="1:15">
      <c r="B9" s="331"/>
      <c r="C9" s="332"/>
      <c r="D9" s="332"/>
      <c r="E9" s="332"/>
      <c r="F9" s="332"/>
      <c r="G9" s="332"/>
      <c r="I9" s="331"/>
      <c r="J9" s="332"/>
      <c r="K9" s="332"/>
      <c r="L9" s="332"/>
      <c r="M9" s="332"/>
      <c r="N9" s="332"/>
    </row>
    <row r="10" spans="1:15" ht="273.75" customHeight="1">
      <c r="B10" s="76"/>
      <c r="C10" s="76"/>
      <c r="D10" s="76"/>
      <c r="E10" s="76"/>
      <c r="F10" s="76"/>
      <c r="G10" s="76"/>
      <c r="I10" s="76"/>
      <c r="J10" s="76"/>
      <c r="K10" s="76"/>
      <c r="L10" s="76"/>
      <c r="M10" s="76"/>
      <c r="N10" s="76"/>
    </row>
  </sheetData>
  <sheetProtection algorithmName="SHA-512" hashValue="1KgU7yDNxVKmrrZstRM3vSf6GyXgapamGmhiLpN8zeM7MqyrhbjEvdhSVaVZEF9ejnJ/7In1NnL26/JV+Bmxsg==" saltValue="B4pzNaQY4DuPfXWTAzgopw==" spinCount="100000" sheet="1" sort="0" autoFilter="0" pivotTables="0"/>
  <mergeCells count="1">
    <mergeCell ref="F3:M3"/>
  </mergeCells>
  <conditionalFormatting sqref="O5">
    <cfRule type="cellIs" dxfId="99" priority="101" operator="greaterThan">
      <formula>0</formula>
    </cfRule>
  </conditionalFormatting>
  <conditionalFormatting sqref="C5">
    <cfRule type="cellIs" dxfId="98" priority="99" operator="greaterThan">
      <formula>0</formula>
    </cfRule>
  </conditionalFormatting>
  <conditionalFormatting sqref="D5:G5">
    <cfRule type="cellIs" dxfId="97" priority="90" operator="greaterThan">
      <formula>0</formula>
    </cfRule>
  </conditionalFormatting>
  <conditionalFormatting sqref="H5">
    <cfRule type="cellIs" dxfId="96" priority="81" operator="greaterThan">
      <formula>0</formula>
    </cfRule>
  </conditionalFormatting>
  <conditionalFormatting sqref="J5">
    <cfRule type="cellIs" dxfId="95" priority="72" operator="greaterThan">
      <formula>0</formula>
    </cfRule>
  </conditionalFormatting>
  <conditionalFormatting sqref="K5 M5:N5">
    <cfRule type="cellIs" dxfId="94" priority="63" operator="greaterThan">
      <formula>0</formula>
    </cfRule>
  </conditionalFormatting>
  <conditionalFormatting sqref="L5">
    <cfRule type="cellIs" dxfId="93" priority="54" operator="greaterThan">
      <formula>0</formula>
    </cfRule>
  </conditionalFormatting>
  <conditionalFormatting sqref="C9">
    <cfRule type="cellIs" dxfId="92" priority="45" operator="greaterThan">
      <formula>0</formula>
    </cfRule>
  </conditionalFormatting>
  <conditionalFormatting sqref="D9:G9">
    <cfRule type="cellIs" dxfId="91" priority="36" operator="greaterThan">
      <formula>0</formula>
    </cfRule>
  </conditionalFormatting>
  <conditionalFormatting sqref="J9">
    <cfRule type="cellIs" dxfId="90" priority="27" operator="greaterThan">
      <formula>0</formula>
    </cfRule>
  </conditionalFormatting>
  <conditionalFormatting sqref="K9 M9:N9">
    <cfRule type="cellIs" dxfId="89" priority="18" operator="greaterThan">
      <formula>0</formula>
    </cfRule>
  </conditionalFormatting>
  <conditionalFormatting sqref="L9">
    <cfRule type="cellIs" dxfId="88" priority="9" operator="greaterThan">
      <formula>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91" id="{4B8C62A5-5853-4FC8-A41A-88F77DBAC34D}">
            <xm:f>Transactions!$D$5=Currency!$A$8</xm:f>
            <x14:dxf>
              <numFmt numFmtId="179" formatCode="[$$-C09]#,##0.00"/>
            </x14:dxf>
          </x14:cfRule>
          <x14:cfRule type="expression" priority="92" id="{8419BCD7-184B-4CA0-A67D-ACE53CC4474F}">
            <xm:f>Transactions!$D$5=Currency!$A$7</xm:f>
            <x14:dxf>
              <numFmt numFmtId="178" formatCode="[$¥-411]#,##0.00"/>
            </x14:dxf>
          </x14:cfRule>
          <x14:cfRule type="expression" priority="93" id="{7DE328D8-D477-4E8A-B203-06C9C671B660}">
            <xm:f>Transactions!$D$5=Currency!$A$6</xm:f>
            <x14:dxf>
              <numFmt numFmtId="177" formatCode="[$$-4809]#,##0.00"/>
            </x14:dxf>
          </x14:cfRule>
          <x14:cfRule type="expression" priority="94" id="{5A60F041-B2D1-43F2-8651-5F16E1831BBC}">
            <xm:f>Transactions!$D$5=Currency!$A$5</xm:f>
            <x14:dxf>
              <numFmt numFmtId="176" formatCode="[$¥-804]#,##0.00"/>
            </x14:dxf>
          </x14:cfRule>
          <x14:cfRule type="expression" priority="95" id="{E2DE1292-6FEE-4A7D-9501-AB3DAE8ED321}">
            <xm:f>Transactions!$D$5=Currency!$A$4</xm:f>
            <x14:dxf>
              <numFmt numFmtId="175" formatCode="[$£-809]#,##0.00"/>
            </x14:dxf>
          </x14:cfRule>
          <x14:cfRule type="expression" priority="96" id="{09CF3D3C-E2A4-42ED-8A3E-5F7FE15C619F}">
            <xm:f>Transactions!$D$5=Currency!$A$3</xm:f>
            <x14:dxf>
              <numFmt numFmtId="174" formatCode="[$€-2]\ #,##0.00"/>
            </x14:dxf>
          </x14:cfRule>
          <x14:cfRule type="expression" priority="97" id="{4C1690DD-C115-4939-88A8-F9227E59E2B7}">
            <xm:f>Transactions!$D$5=Currency!$A$2</xm:f>
            <x14:dxf>
              <numFmt numFmtId="169" formatCode="&quot;$&quot;#,##0.00"/>
            </x14:dxf>
          </x14:cfRule>
          <x14:cfRule type="expression" priority="98" id="{4A1B83EB-81C4-4B9C-9E5F-3DD6853655E6}">
            <xm:f>Transactions!$D$5=Currency!$A$1</xm:f>
            <x14:dxf>
              <numFmt numFmtId="173" formatCode="#,##0\ [$₫-42A]"/>
            </x14:dxf>
          </x14:cfRule>
          <xm:sqref>C5</xm:sqref>
        </x14:conditionalFormatting>
        <x14:conditionalFormatting xmlns:xm="http://schemas.microsoft.com/office/excel/2006/main">
          <x14:cfRule type="expression" priority="82" id="{6577B58D-DFB3-4FCB-B6DD-2A0AA7C8A123}">
            <xm:f>Transactions!$D$5=Currency!$A$8</xm:f>
            <x14:dxf>
              <numFmt numFmtId="179" formatCode="[$$-C09]#,##0.00"/>
            </x14:dxf>
          </x14:cfRule>
          <x14:cfRule type="expression" priority="83" id="{C85B0637-8036-48EE-BAE7-8BCCD599B656}">
            <xm:f>Transactions!$D$5=Currency!$A$7</xm:f>
            <x14:dxf>
              <numFmt numFmtId="178" formatCode="[$¥-411]#,##0.00"/>
            </x14:dxf>
          </x14:cfRule>
          <x14:cfRule type="expression" priority="84" id="{4FBE9A7B-7739-4E1C-893D-9EFDC167462B}">
            <xm:f>Transactions!$D$5=Currency!$A$6</xm:f>
            <x14:dxf>
              <numFmt numFmtId="177" formatCode="[$$-4809]#,##0.00"/>
            </x14:dxf>
          </x14:cfRule>
          <x14:cfRule type="expression" priority="85" id="{681456A9-8F8D-4C02-9506-CD3F80BBB083}">
            <xm:f>Transactions!$D$5=Currency!$A$5</xm:f>
            <x14:dxf>
              <numFmt numFmtId="176" formatCode="[$¥-804]#,##0.00"/>
            </x14:dxf>
          </x14:cfRule>
          <x14:cfRule type="expression" priority="86" id="{DBCAF7D1-FC44-4AC5-A50C-89268C707F66}">
            <xm:f>Transactions!$D$5=Currency!$A$4</xm:f>
            <x14:dxf>
              <numFmt numFmtId="175" formatCode="[$£-809]#,##0.00"/>
            </x14:dxf>
          </x14:cfRule>
          <x14:cfRule type="expression" priority="87" id="{7BA60B3B-ADB5-4A91-86E5-C1076C60B08D}">
            <xm:f>Transactions!$D$5=Currency!$A$3</xm:f>
            <x14:dxf>
              <numFmt numFmtId="174" formatCode="[$€-2]\ #,##0.00"/>
            </x14:dxf>
          </x14:cfRule>
          <x14:cfRule type="expression" priority="88" id="{7C248DE1-8F2B-4988-981F-9FC8849A6BC2}">
            <xm:f>Transactions!$D$5=Currency!$A$2</xm:f>
            <x14:dxf>
              <numFmt numFmtId="169" formatCode="&quot;$&quot;#,##0.00"/>
            </x14:dxf>
          </x14:cfRule>
          <x14:cfRule type="expression" priority="89" id="{88B8BBA3-B05E-4265-A9D2-6A15F2AAC181}">
            <xm:f>Transactions!$D$5=Currency!$A$1</xm:f>
            <x14:dxf>
              <numFmt numFmtId="173" formatCode="#,##0\ [$₫-42A]"/>
            </x14:dxf>
          </x14:cfRule>
          <xm:sqref>D5:G5</xm:sqref>
        </x14:conditionalFormatting>
        <x14:conditionalFormatting xmlns:xm="http://schemas.microsoft.com/office/excel/2006/main">
          <x14:cfRule type="expression" priority="73" id="{460E770D-2FD2-425B-9515-62D9CD0A7E87}">
            <xm:f>Transactions!$D$5=Currency!$A$8</xm:f>
            <x14:dxf>
              <numFmt numFmtId="179" formatCode="[$$-C09]#,##0.00"/>
            </x14:dxf>
          </x14:cfRule>
          <x14:cfRule type="expression" priority="74" id="{4014DBB1-3F51-4A6C-86AF-2884D3599FC2}">
            <xm:f>Transactions!$D$5=Currency!$A$7</xm:f>
            <x14:dxf>
              <numFmt numFmtId="178" formatCode="[$¥-411]#,##0.00"/>
            </x14:dxf>
          </x14:cfRule>
          <x14:cfRule type="expression" priority="75" id="{1721697C-B1A4-420C-B794-FAEFA1384758}">
            <xm:f>Transactions!$D$5=Currency!$A$6</xm:f>
            <x14:dxf>
              <numFmt numFmtId="177" formatCode="[$$-4809]#,##0.00"/>
            </x14:dxf>
          </x14:cfRule>
          <x14:cfRule type="expression" priority="76" id="{553D241D-EC37-438B-8BF9-FBD924CBE141}">
            <xm:f>Transactions!$D$5=Currency!$A$5</xm:f>
            <x14:dxf>
              <numFmt numFmtId="176" formatCode="[$¥-804]#,##0.00"/>
            </x14:dxf>
          </x14:cfRule>
          <x14:cfRule type="expression" priority="77" id="{D677E076-D9C0-4EB2-961E-9821912129E5}">
            <xm:f>Transactions!$D$5=Currency!$A$4</xm:f>
            <x14:dxf>
              <numFmt numFmtId="175" formatCode="[$£-809]#,##0.00"/>
            </x14:dxf>
          </x14:cfRule>
          <x14:cfRule type="expression" priority="78" id="{4B93F32C-ED91-47F6-99E0-4CEA30B43261}">
            <xm:f>Transactions!$D$5=Currency!$A$3</xm:f>
            <x14:dxf>
              <numFmt numFmtId="174" formatCode="[$€-2]\ #,##0.00"/>
            </x14:dxf>
          </x14:cfRule>
          <x14:cfRule type="expression" priority="79" id="{8DE6B1D9-8EDB-442C-AE6C-A1A548A55893}">
            <xm:f>Transactions!$D$5=Currency!$A$2</xm:f>
            <x14:dxf>
              <numFmt numFmtId="169" formatCode="&quot;$&quot;#,##0.00"/>
            </x14:dxf>
          </x14:cfRule>
          <x14:cfRule type="expression" priority="80" id="{63249211-0C5F-4232-A3C9-1A1FBF2B3E5C}">
            <xm:f>Transactions!$D$5=Currency!$A$1</xm:f>
            <x14:dxf>
              <numFmt numFmtId="173" formatCode="#,##0\ [$₫-42A]"/>
            </x14:dxf>
          </x14:cfRule>
          <xm:sqref>H5</xm:sqref>
        </x14:conditionalFormatting>
        <x14:conditionalFormatting xmlns:xm="http://schemas.microsoft.com/office/excel/2006/main">
          <x14:cfRule type="expression" priority="64" id="{B5A62E1F-A545-4646-BF19-D4FACFCCA36B}">
            <xm:f>Transactions!$D$5=Currency!$A$8</xm:f>
            <x14:dxf>
              <numFmt numFmtId="179" formatCode="[$$-C09]#,##0.00"/>
            </x14:dxf>
          </x14:cfRule>
          <x14:cfRule type="expression" priority="65" id="{73E6FC64-5ED6-45F9-8DCD-21A368D5559C}">
            <xm:f>Transactions!$D$5=Currency!$A$7</xm:f>
            <x14:dxf>
              <numFmt numFmtId="178" formatCode="[$¥-411]#,##0.00"/>
            </x14:dxf>
          </x14:cfRule>
          <x14:cfRule type="expression" priority="66" id="{153B36EF-1CEE-4380-8B3F-B2047C13465A}">
            <xm:f>Transactions!$D$5=Currency!$A$6</xm:f>
            <x14:dxf>
              <numFmt numFmtId="177" formatCode="[$$-4809]#,##0.00"/>
            </x14:dxf>
          </x14:cfRule>
          <x14:cfRule type="expression" priority="67" id="{D9247188-5A04-4365-BF9D-DDE0C2384F89}">
            <xm:f>Transactions!$D$5=Currency!$A$5</xm:f>
            <x14:dxf>
              <numFmt numFmtId="176" formatCode="[$¥-804]#,##0.00"/>
            </x14:dxf>
          </x14:cfRule>
          <x14:cfRule type="expression" priority="68" id="{B82DD305-9756-45D3-A232-E261DDF0E245}">
            <xm:f>Transactions!$D$5=Currency!$A$4</xm:f>
            <x14:dxf>
              <numFmt numFmtId="175" formatCode="[$£-809]#,##0.00"/>
            </x14:dxf>
          </x14:cfRule>
          <x14:cfRule type="expression" priority="69" id="{57053C83-DA9B-450E-A435-79EBA0471C91}">
            <xm:f>Transactions!$D$5=Currency!$A$3</xm:f>
            <x14:dxf>
              <numFmt numFmtId="174" formatCode="[$€-2]\ #,##0.00"/>
            </x14:dxf>
          </x14:cfRule>
          <x14:cfRule type="expression" priority="70" id="{FF8C65EF-F2F1-4FC5-8743-1E0823402405}">
            <xm:f>Transactions!$D$5=Currency!$A$2</xm:f>
            <x14:dxf>
              <numFmt numFmtId="169" formatCode="&quot;$&quot;#,##0.00"/>
            </x14:dxf>
          </x14:cfRule>
          <x14:cfRule type="expression" priority="71" id="{2702EF0C-C241-44D6-94F3-FB634344B85A}">
            <xm:f>Transactions!$D$5=Currency!$A$1</xm:f>
            <x14:dxf>
              <numFmt numFmtId="173" formatCode="#,##0\ [$₫-42A]"/>
            </x14:dxf>
          </x14:cfRule>
          <xm:sqref>J5</xm:sqref>
        </x14:conditionalFormatting>
        <x14:conditionalFormatting xmlns:xm="http://schemas.microsoft.com/office/excel/2006/main">
          <x14:cfRule type="expression" priority="55" id="{1B41BA10-7FC7-4EFD-ADC0-5C5C1279F308}">
            <xm:f>Transactions!$D$5=Currency!$A$8</xm:f>
            <x14:dxf>
              <numFmt numFmtId="179" formatCode="[$$-C09]#,##0.00"/>
            </x14:dxf>
          </x14:cfRule>
          <x14:cfRule type="expression" priority="56" id="{D3E604BF-93BD-47DC-8902-507E8AA1346C}">
            <xm:f>Transactions!$D$5=Currency!$A$7</xm:f>
            <x14:dxf>
              <numFmt numFmtId="178" formatCode="[$¥-411]#,##0.00"/>
            </x14:dxf>
          </x14:cfRule>
          <x14:cfRule type="expression" priority="57" id="{ABDCEC01-8EDB-4B63-BAC6-2831457768B7}">
            <xm:f>Transactions!$D$5=Currency!$A$6</xm:f>
            <x14:dxf>
              <numFmt numFmtId="177" formatCode="[$$-4809]#,##0.00"/>
            </x14:dxf>
          </x14:cfRule>
          <x14:cfRule type="expression" priority="58" id="{42152941-F673-4484-92C9-0AA650181CB6}">
            <xm:f>Transactions!$D$5=Currency!$A$5</xm:f>
            <x14:dxf>
              <numFmt numFmtId="176" formatCode="[$¥-804]#,##0.00"/>
            </x14:dxf>
          </x14:cfRule>
          <x14:cfRule type="expression" priority="59" id="{9EBCCFD9-F8EE-4F4C-850E-FB4CD40A2195}">
            <xm:f>Transactions!$D$5=Currency!$A$4</xm:f>
            <x14:dxf>
              <numFmt numFmtId="175" formatCode="[$£-809]#,##0.00"/>
            </x14:dxf>
          </x14:cfRule>
          <x14:cfRule type="expression" priority="60" id="{9909D7CE-4C8A-4CE9-BBB6-79446C154CA3}">
            <xm:f>Transactions!$D$5=Currency!$A$3</xm:f>
            <x14:dxf>
              <numFmt numFmtId="174" formatCode="[$€-2]\ #,##0.00"/>
            </x14:dxf>
          </x14:cfRule>
          <x14:cfRule type="expression" priority="61" id="{54026E65-69D1-487A-BB9C-F405A969E8C1}">
            <xm:f>Transactions!$D$5=Currency!$A$2</xm:f>
            <x14:dxf>
              <numFmt numFmtId="169" formatCode="&quot;$&quot;#,##0.00"/>
            </x14:dxf>
          </x14:cfRule>
          <x14:cfRule type="expression" priority="62" id="{4924F078-895C-4DA7-90E9-4A570A4D5DB7}">
            <xm:f>Transactions!$D$5=Currency!$A$1</xm:f>
            <x14:dxf>
              <numFmt numFmtId="173" formatCode="#,##0\ [$₫-42A]"/>
            </x14:dxf>
          </x14:cfRule>
          <xm:sqref>K5 M5:N5</xm:sqref>
        </x14:conditionalFormatting>
        <x14:conditionalFormatting xmlns:xm="http://schemas.microsoft.com/office/excel/2006/main">
          <x14:cfRule type="expression" priority="46" id="{30F6026F-F283-4C0C-9DA6-EE50ADC4199C}">
            <xm:f>Transactions!$D$5=Currency!$A$8</xm:f>
            <x14:dxf>
              <numFmt numFmtId="179" formatCode="[$$-C09]#,##0.00"/>
            </x14:dxf>
          </x14:cfRule>
          <x14:cfRule type="expression" priority="47" id="{038939E0-94E0-4FE1-9578-5C81FF08BF4C}">
            <xm:f>Transactions!$D$5=Currency!$A$7</xm:f>
            <x14:dxf>
              <numFmt numFmtId="178" formatCode="[$¥-411]#,##0.00"/>
            </x14:dxf>
          </x14:cfRule>
          <x14:cfRule type="expression" priority="48" id="{90836DF8-7374-4D41-87EC-A4E1BFCCA163}">
            <xm:f>Transactions!$D$5=Currency!$A$6</xm:f>
            <x14:dxf>
              <numFmt numFmtId="177" formatCode="[$$-4809]#,##0.00"/>
            </x14:dxf>
          </x14:cfRule>
          <x14:cfRule type="expression" priority="49" id="{7511DD0A-4F84-4F07-9006-0FC5E3F2DC6A}">
            <xm:f>Transactions!$D$5=Currency!$A$5</xm:f>
            <x14:dxf>
              <numFmt numFmtId="176" formatCode="[$¥-804]#,##0.00"/>
            </x14:dxf>
          </x14:cfRule>
          <x14:cfRule type="expression" priority="50" id="{E6B876B5-28DF-4526-ADA3-AA8A614E20F6}">
            <xm:f>Transactions!$D$5=Currency!$A$4</xm:f>
            <x14:dxf>
              <numFmt numFmtId="175" formatCode="[$£-809]#,##0.00"/>
            </x14:dxf>
          </x14:cfRule>
          <x14:cfRule type="expression" priority="51" id="{F8C6CD1C-CA0D-4C3B-9D2A-0AC76C031B7A}">
            <xm:f>Transactions!$D$5=Currency!$A$3</xm:f>
            <x14:dxf>
              <numFmt numFmtId="174" formatCode="[$€-2]\ #,##0.00"/>
            </x14:dxf>
          </x14:cfRule>
          <x14:cfRule type="expression" priority="52" id="{4FA770F4-6421-4655-B27B-03066BC9CD94}">
            <xm:f>Transactions!$D$5=Currency!$A$2</xm:f>
            <x14:dxf>
              <numFmt numFmtId="169" formatCode="&quot;$&quot;#,##0.00"/>
            </x14:dxf>
          </x14:cfRule>
          <x14:cfRule type="expression" priority="53" id="{AFFCC5E5-3BE4-42C6-AE22-E58756816C0D}">
            <xm:f>Transactions!$D$5=Currency!$A$1</xm:f>
            <x14:dxf>
              <numFmt numFmtId="173" formatCode="#,##0\ [$₫-42A]"/>
            </x14:dxf>
          </x14:cfRule>
          <xm:sqref>L5</xm:sqref>
        </x14:conditionalFormatting>
        <x14:conditionalFormatting xmlns:xm="http://schemas.microsoft.com/office/excel/2006/main">
          <x14:cfRule type="expression" priority="37" id="{AA9B6F47-92A2-48B6-ACD6-CF618C8FF89B}">
            <xm:f>Transactions!$D$5=Currency!$A$8</xm:f>
            <x14:dxf>
              <numFmt numFmtId="179" formatCode="[$$-C09]#,##0.00"/>
            </x14:dxf>
          </x14:cfRule>
          <x14:cfRule type="expression" priority="38" id="{5C64C4B1-E90B-445C-83FC-A13E449A9194}">
            <xm:f>Transactions!$D$5=Currency!$A$7</xm:f>
            <x14:dxf>
              <numFmt numFmtId="178" formatCode="[$¥-411]#,##0.00"/>
            </x14:dxf>
          </x14:cfRule>
          <x14:cfRule type="expression" priority="39" id="{2AA91789-98FE-4C26-A4F0-00F670FE6F6E}">
            <xm:f>Transactions!$D$5=Currency!$A$6</xm:f>
            <x14:dxf>
              <numFmt numFmtId="177" formatCode="[$$-4809]#,##0.00"/>
            </x14:dxf>
          </x14:cfRule>
          <x14:cfRule type="expression" priority="40" id="{6F6A6B8E-D8FC-418E-85B7-C3DCE2C2DC1F}">
            <xm:f>Transactions!$D$5=Currency!$A$5</xm:f>
            <x14:dxf>
              <numFmt numFmtId="176" formatCode="[$¥-804]#,##0.00"/>
            </x14:dxf>
          </x14:cfRule>
          <x14:cfRule type="expression" priority="41" id="{1496B176-D7AC-4723-9385-3018640FBD59}">
            <xm:f>Transactions!$D$5=Currency!$A$4</xm:f>
            <x14:dxf>
              <numFmt numFmtId="175" formatCode="[$£-809]#,##0.00"/>
            </x14:dxf>
          </x14:cfRule>
          <x14:cfRule type="expression" priority="42" id="{15248DC3-E739-4E0C-BB26-91039F547394}">
            <xm:f>Transactions!$D$5=Currency!$A$3</xm:f>
            <x14:dxf>
              <numFmt numFmtId="174" formatCode="[$€-2]\ #,##0.00"/>
            </x14:dxf>
          </x14:cfRule>
          <x14:cfRule type="expression" priority="43" id="{2653BA2C-6783-426D-8F54-8BD2160A5E54}">
            <xm:f>Transactions!$D$5=Currency!$A$2</xm:f>
            <x14:dxf>
              <numFmt numFmtId="169" formatCode="&quot;$&quot;#,##0.00"/>
            </x14:dxf>
          </x14:cfRule>
          <x14:cfRule type="expression" priority="44" id="{84E19F8C-D671-4893-9701-8EC921FF01F4}">
            <xm:f>Transactions!$D$5=Currency!$A$1</xm:f>
            <x14:dxf>
              <numFmt numFmtId="173" formatCode="#,##0\ [$₫-42A]"/>
            </x14:dxf>
          </x14:cfRule>
          <xm:sqref>C9</xm:sqref>
        </x14:conditionalFormatting>
        <x14:conditionalFormatting xmlns:xm="http://schemas.microsoft.com/office/excel/2006/main">
          <x14:cfRule type="expression" priority="28" id="{0E850DF9-E81D-4746-AF9C-FA477B3A884C}">
            <xm:f>Transactions!$D$5=Currency!$A$8</xm:f>
            <x14:dxf>
              <numFmt numFmtId="179" formatCode="[$$-C09]#,##0.00"/>
            </x14:dxf>
          </x14:cfRule>
          <x14:cfRule type="expression" priority="29" id="{05BF5927-05D7-474E-BA73-032B82777463}">
            <xm:f>Transactions!$D$5=Currency!$A$7</xm:f>
            <x14:dxf>
              <numFmt numFmtId="178" formatCode="[$¥-411]#,##0.00"/>
            </x14:dxf>
          </x14:cfRule>
          <x14:cfRule type="expression" priority="30" id="{FDD76DA1-F34C-473C-A329-BE9F3A72B847}">
            <xm:f>Transactions!$D$5=Currency!$A$6</xm:f>
            <x14:dxf>
              <numFmt numFmtId="177" formatCode="[$$-4809]#,##0.00"/>
            </x14:dxf>
          </x14:cfRule>
          <x14:cfRule type="expression" priority="31" id="{5346BD36-FEFB-4042-A682-569E48E5BECC}">
            <xm:f>Transactions!$D$5=Currency!$A$5</xm:f>
            <x14:dxf>
              <numFmt numFmtId="176" formatCode="[$¥-804]#,##0.00"/>
            </x14:dxf>
          </x14:cfRule>
          <x14:cfRule type="expression" priority="32" id="{2BE85DD2-E935-43A9-9897-2F54149B5896}">
            <xm:f>Transactions!$D$5=Currency!$A$4</xm:f>
            <x14:dxf>
              <numFmt numFmtId="175" formatCode="[$£-809]#,##0.00"/>
            </x14:dxf>
          </x14:cfRule>
          <x14:cfRule type="expression" priority="33" id="{96E3AD4E-8958-494D-81BA-523DBE6475CC}">
            <xm:f>Transactions!$D$5=Currency!$A$3</xm:f>
            <x14:dxf>
              <numFmt numFmtId="174" formatCode="[$€-2]\ #,##0.00"/>
            </x14:dxf>
          </x14:cfRule>
          <x14:cfRule type="expression" priority="34" id="{E5E00B6F-317A-46F0-A73F-7E0876995F44}">
            <xm:f>Transactions!$D$5=Currency!$A$2</xm:f>
            <x14:dxf>
              <numFmt numFmtId="169" formatCode="&quot;$&quot;#,##0.00"/>
            </x14:dxf>
          </x14:cfRule>
          <x14:cfRule type="expression" priority="35" id="{BF90B80B-5A1C-4636-9F3D-FF49F53789D2}">
            <xm:f>Transactions!$D$5=Currency!$A$1</xm:f>
            <x14:dxf>
              <numFmt numFmtId="173" formatCode="#,##0\ [$₫-42A]"/>
            </x14:dxf>
          </x14:cfRule>
          <xm:sqref>D9:G9</xm:sqref>
        </x14:conditionalFormatting>
        <x14:conditionalFormatting xmlns:xm="http://schemas.microsoft.com/office/excel/2006/main">
          <x14:cfRule type="expression" priority="19" id="{4583CAA6-8E8B-498C-A2CD-4230000AC720}">
            <xm:f>Transactions!$D$5=Currency!$A$8</xm:f>
            <x14:dxf>
              <numFmt numFmtId="179" formatCode="[$$-C09]#,##0.00"/>
            </x14:dxf>
          </x14:cfRule>
          <x14:cfRule type="expression" priority="20" id="{939274DB-E727-4EDF-A2DE-0FF5CCE69DCA}">
            <xm:f>Transactions!$D$5=Currency!$A$7</xm:f>
            <x14:dxf>
              <numFmt numFmtId="178" formatCode="[$¥-411]#,##0.00"/>
            </x14:dxf>
          </x14:cfRule>
          <x14:cfRule type="expression" priority="21" id="{80F3E2D2-D83E-44C9-A7B9-2B62E90350A1}">
            <xm:f>Transactions!$D$5=Currency!$A$6</xm:f>
            <x14:dxf>
              <numFmt numFmtId="177" formatCode="[$$-4809]#,##0.00"/>
            </x14:dxf>
          </x14:cfRule>
          <x14:cfRule type="expression" priority="22" id="{AB21F2BB-04F6-477D-A82A-26EA21813780}">
            <xm:f>Transactions!$D$5=Currency!$A$5</xm:f>
            <x14:dxf>
              <numFmt numFmtId="176" formatCode="[$¥-804]#,##0.00"/>
            </x14:dxf>
          </x14:cfRule>
          <x14:cfRule type="expression" priority="23" id="{BD442AC7-FED8-429E-A186-D1D10EE4732A}">
            <xm:f>Transactions!$D$5=Currency!$A$4</xm:f>
            <x14:dxf>
              <numFmt numFmtId="175" formatCode="[$£-809]#,##0.00"/>
            </x14:dxf>
          </x14:cfRule>
          <x14:cfRule type="expression" priority="24" id="{CCB06C9A-3815-4D98-8C0E-B40513EA3A1B}">
            <xm:f>Transactions!$D$5=Currency!$A$3</xm:f>
            <x14:dxf>
              <numFmt numFmtId="174" formatCode="[$€-2]\ #,##0.00"/>
            </x14:dxf>
          </x14:cfRule>
          <x14:cfRule type="expression" priority="25" id="{4AE700C4-5088-404E-9284-F54F90E4C00A}">
            <xm:f>Transactions!$D$5=Currency!$A$2</xm:f>
            <x14:dxf>
              <numFmt numFmtId="169" formatCode="&quot;$&quot;#,##0.00"/>
            </x14:dxf>
          </x14:cfRule>
          <x14:cfRule type="expression" priority="26" id="{52332955-0D23-4A6A-AA39-0D329CCF6F15}">
            <xm:f>Transactions!$D$5=Currency!$A$1</xm:f>
            <x14:dxf>
              <numFmt numFmtId="173" formatCode="#,##0\ [$₫-42A]"/>
            </x14:dxf>
          </x14:cfRule>
          <xm:sqref>J9</xm:sqref>
        </x14:conditionalFormatting>
        <x14:conditionalFormatting xmlns:xm="http://schemas.microsoft.com/office/excel/2006/main">
          <x14:cfRule type="expression" priority="10" id="{303E4EA1-B2E7-4898-8850-5261707CB326}">
            <xm:f>Transactions!$D$5=Currency!$A$8</xm:f>
            <x14:dxf>
              <numFmt numFmtId="179" formatCode="[$$-C09]#,##0.00"/>
            </x14:dxf>
          </x14:cfRule>
          <x14:cfRule type="expression" priority="11" id="{87049336-5393-4524-84B6-0AE22691537C}">
            <xm:f>Transactions!$D$5=Currency!$A$7</xm:f>
            <x14:dxf>
              <numFmt numFmtId="178" formatCode="[$¥-411]#,##0.00"/>
            </x14:dxf>
          </x14:cfRule>
          <x14:cfRule type="expression" priority="12" id="{D7291AF0-55E8-47B8-BD11-8D4CFCAF0796}">
            <xm:f>Transactions!$D$5=Currency!$A$6</xm:f>
            <x14:dxf>
              <numFmt numFmtId="177" formatCode="[$$-4809]#,##0.00"/>
            </x14:dxf>
          </x14:cfRule>
          <x14:cfRule type="expression" priority="13" id="{45049A28-DCB5-43F9-A166-51C5936551CB}">
            <xm:f>Transactions!$D$5=Currency!$A$5</xm:f>
            <x14:dxf>
              <numFmt numFmtId="176" formatCode="[$¥-804]#,##0.00"/>
            </x14:dxf>
          </x14:cfRule>
          <x14:cfRule type="expression" priority="14" id="{A96E777E-51D8-4019-9D20-164C705893F6}">
            <xm:f>Transactions!$D$5=Currency!$A$4</xm:f>
            <x14:dxf>
              <numFmt numFmtId="175" formatCode="[$£-809]#,##0.00"/>
            </x14:dxf>
          </x14:cfRule>
          <x14:cfRule type="expression" priority="15" id="{86338166-E07B-4E6A-A17D-27D82B0C170F}">
            <xm:f>Transactions!$D$5=Currency!$A$3</xm:f>
            <x14:dxf>
              <numFmt numFmtId="174" formatCode="[$€-2]\ #,##0.00"/>
            </x14:dxf>
          </x14:cfRule>
          <x14:cfRule type="expression" priority="16" id="{56916B25-0E51-4DD1-91BE-30238D7E8B68}">
            <xm:f>Transactions!$D$5=Currency!$A$2</xm:f>
            <x14:dxf>
              <numFmt numFmtId="169" formatCode="&quot;$&quot;#,##0.00"/>
            </x14:dxf>
          </x14:cfRule>
          <x14:cfRule type="expression" priority="17" id="{B2C6BB85-B002-4C1E-B40F-59098CF71757}">
            <xm:f>Transactions!$D$5=Currency!$A$1</xm:f>
            <x14:dxf>
              <numFmt numFmtId="173" formatCode="#,##0\ [$₫-42A]"/>
            </x14:dxf>
          </x14:cfRule>
          <xm:sqref>K9 M9:N9</xm:sqref>
        </x14:conditionalFormatting>
        <x14:conditionalFormatting xmlns:xm="http://schemas.microsoft.com/office/excel/2006/main">
          <x14:cfRule type="expression" priority="1" id="{101EF412-E82F-4953-A316-380B84062C7F}">
            <xm:f>Transactions!$D$5=Currency!$A$8</xm:f>
            <x14:dxf>
              <numFmt numFmtId="179" formatCode="[$$-C09]#,##0.00"/>
            </x14:dxf>
          </x14:cfRule>
          <x14:cfRule type="expression" priority="2" id="{9CFBFE7A-2094-4024-B067-6A32B195FCCF}">
            <xm:f>Transactions!$D$5=Currency!$A$7</xm:f>
            <x14:dxf>
              <numFmt numFmtId="178" formatCode="[$¥-411]#,##0.00"/>
            </x14:dxf>
          </x14:cfRule>
          <x14:cfRule type="expression" priority="3" id="{5B59A7D3-96FA-449C-9CA1-F49AACCC2195}">
            <xm:f>Transactions!$D$5=Currency!$A$6</xm:f>
            <x14:dxf>
              <numFmt numFmtId="177" formatCode="[$$-4809]#,##0.00"/>
            </x14:dxf>
          </x14:cfRule>
          <x14:cfRule type="expression" priority="4" id="{C3A5B134-434C-4818-A95B-3E7D2DD59767}">
            <xm:f>Transactions!$D$5=Currency!$A$5</xm:f>
            <x14:dxf>
              <numFmt numFmtId="176" formatCode="[$¥-804]#,##0.00"/>
            </x14:dxf>
          </x14:cfRule>
          <x14:cfRule type="expression" priority="5" id="{1A4A5A68-0DAD-4F99-BD93-C79084A46870}">
            <xm:f>Transactions!$D$5=Currency!$A$4</xm:f>
            <x14:dxf>
              <numFmt numFmtId="175" formatCode="[$£-809]#,##0.00"/>
            </x14:dxf>
          </x14:cfRule>
          <x14:cfRule type="expression" priority="6" id="{D71124FD-09B0-4B0E-9EAB-5F8F8930EFB7}">
            <xm:f>Transactions!$D$5=Currency!$A$3</xm:f>
            <x14:dxf>
              <numFmt numFmtId="174" formatCode="[$€-2]\ #,##0.00"/>
            </x14:dxf>
          </x14:cfRule>
          <x14:cfRule type="expression" priority="7" id="{212C3E90-E0F5-4232-861F-22F44FE4B046}">
            <xm:f>Transactions!$D$5=Currency!$A$2</xm:f>
            <x14:dxf>
              <numFmt numFmtId="169" formatCode="&quot;$&quot;#,##0.00"/>
            </x14:dxf>
          </x14:cfRule>
          <x14:cfRule type="expression" priority="8" id="{1E3D03BA-CEE6-47C9-8F98-B0D6E16BC445}">
            <xm:f>Transactions!$D$5=Currency!$A$1</xm:f>
            <x14:dxf>
              <numFmt numFmtId="173" formatCode="#,##0\ [$₫-42A]"/>
            </x14:dxf>
          </x14:cfRule>
          <xm:sqref>L9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51BEF54B-1255-4CB0-BA5F-D8DD2B8335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Asset Allocation</vt:lpstr>
      <vt:lpstr>Annual Forecast</vt:lpstr>
      <vt:lpstr>Actual v.s Forecast-MTD</vt:lpstr>
      <vt:lpstr>Actual v.s Forecast-YTD</vt:lpstr>
      <vt:lpstr>Actual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Thao Pham</dc:creator>
  <cp:lastModifiedBy>DELL</cp:lastModifiedBy>
  <dcterms:created xsi:type="dcterms:W3CDTF">2021-05-21T06:29:58Z</dcterms:created>
  <dcterms:modified xsi:type="dcterms:W3CDTF">2021-11-07T07:16:07Z</dcterms:modified>
</cp:coreProperties>
</file>