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ME Degree\Fall 2022\HVAC MENG 5318\Jump into stem\"/>
    </mc:Choice>
  </mc:AlternateContent>
  <xr:revisionPtr revIDLastSave="0" documentId="13_ncr:1_{B3F041D6-697D-4609-845A-A1457CC52017}" xr6:coauthVersionLast="47" xr6:coauthVersionMax="47" xr10:uidLastSave="{00000000-0000-0000-0000-000000000000}"/>
  <bookViews>
    <workbookView xWindow="-108" yWindow="-108" windowWidth="23256" windowHeight="13176" firstSheet="1" activeTab="3" xr2:uid="{BEDBC2B1-9575-473A-9C6C-97B3908F1846}"/>
  </bookViews>
  <sheets>
    <sheet name="calculation- Alburquerque " sheetId="1" r:id="rId1"/>
    <sheet name="calculation- Las Vegas" sheetId="4" r:id="rId2"/>
    <sheet name="Energy saving " sheetId="2" r:id="rId3"/>
    <sheet name="Economic Analysis 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5" l="1"/>
  <c r="D44" i="2"/>
  <c r="B44" i="2"/>
  <c r="B43" i="2"/>
  <c r="D43" i="2" s="1"/>
  <c r="D37" i="2"/>
  <c r="D38" i="2"/>
  <c r="D36" i="2"/>
  <c r="B8" i="5"/>
  <c r="C17" i="5"/>
  <c r="D17" i="5"/>
  <c r="E17" i="5"/>
  <c r="F17" i="5"/>
  <c r="G17" i="5"/>
  <c r="H17" i="5"/>
  <c r="I17" i="5"/>
  <c r="B17" i="5"/>
  <c r="B13" i="5"/>
  <c r="B7" i="6"/>
  <c r="B6" i="6"/>
  <c r="B5" i="6"/>
  <c r="B11" i="6" s="1"/>
  <c r="B4" i="6"/>
  <c r="B3" i="6"/>
  <c r="B2" i="6"/>
  <c r="B38" i="2"/>
  <c r="B42" i="2"/>
  <c r="B37" i="2"/>
  <c r="B36" i="2"/>
  <c r="B21" i="2"/>
  <c r="B4" i="5" s="1"/>
  <c r="G15" i="2"/>
  <c r="E30" i="2" s="1"/>
  <c r="G14" i="2"/>
  <c r="E29" i="2" s="1"/>
  <c r="B2" i="5"/>
  <c r="B31" i="1"/>
  <c r="B30" i="4"/>
  <c r="B30" i="1"/>
  <c r="B29" i="4"/>
  <c r="B29" i="1"/>
  <c r="B19" i="4"/>
  <c r="B19" i="1"/>
  <c r="B20" i="2"/>
  <c r="B3" i="5" s="1"/>
  <c r="L15" i="2"/>
  <c r="C11" i="2"/>
  <c r="F15" i="2"/>
  <c r="F14" i="2"/>
  <c r="E15" i="2"/>
  <c r="E14" i="2"/>
  <c r="D15" i="2"/>
  <c r="F27" i="4"/>
  <c r="B37" i="4"/>
  <c r="B17" i="4"/>
  <c r="C10" i="4"/>
  <c r="L14" i="2"/>
  <c r="D14" i="2"/>
  <c r="I16" i="6" l="1"/>
  <c r="H16" i="6"/>
  <c r="G16" i="6"/>
  <c r="F16" i="6"/>
  <c r="E16" i="6"/>
  <c r="D16" i="6"/>
  <c r="C16" i="6"/>
  <c r="B16" i="6"/>
  <c r="H14" i="2"/>
  <c r="F29" i="2" s="1"/>
  <c r="H15" i="2"/>
  <c r="F30" i="2" s="1"/>
  <c r="B31" i="4"/>
  <c r="C103" i="4"/>
  <c r="D103" i="4" s="1"/>
  <c r="E103" i="4" s="1"/>
  <c r="F103" i="4" s="1"/>
  <c r="C81" i="4"/>
  <c r="D81" i="4" s="1"/>
  <c r="E81" i="4" s="1"/>
  <c r="F81" i="4" s="1"/>
  <c r="C111" i="4"/>
  <c r="D111" i="4" s="1"/>
  <c r="E111" i="4" s="1"/>
  <c r="F111" i="4" s="1"/>
  <c r="C87" i="4"/>
  <c r="D87" i="4" s="1"/>
  <c r="E87" i="4" s="1"/>
  <c r="F87" i="4" s="1"/>
  <c r="C95" i="4"/>
  <c r="D95" i="4" s="1"/>
  <c r="E95" i="4" s="1"/>
  <c r="F95" i="4" s="1"/>
  <c r="C86" i="4"/>
  <c r="D86" i="4" s="1"/>
  <c r="E86" i="4" s="1"/>
  <c r="F86" i="4" s="1"/>
  <c r="C116" i="4"/>
  <c r="D116" i="4" s="1"/>
  <c r="E116" i="4" s="1"/>
  <c r="F116" i="4" s="1"/>
  <c r="C108" i="4"/>
  <c r="D108" i="4" s="1"/>
  <c r="E108" i="4" s="1"/>
  <c r="F108" i="4" s="1"/>
  <c r="C85" i="4"/>
  <c r="D85" i="4" s="1"/>
  <c r="E85" i="4" s="1"/>
  <c r="F85" i="4" s="1"/>
  <c r="C123" i="4"/>
  <c r="D123" i="4" s="1"/>
  <c r="E123" i="4" s="1"/>
  <c r="F123" i="4" s="1"/>
  <c r="C115" i="4"/>
  <c r="D115" i="4" s="1"/>
  <c r="E115" i="4" s="1"/>
  <c r="F115" i="4" s="1"/>
  <c r="C92" i="4"/>
  <c r="D92" i="4" s="1"/>
  <c r="E92" i="4" s="1"/>
  <c r="F92" i="4" s="1"/>
  <c r="C84" i="4"/>
  <c r="D84" i="4" s="1"/>
  <c r="E84" i="4" s="1"/>
  <c r="F84" i="4" s="1"/>
  <c r="C122" i="4"/>
  <c r="D122" i="4" s="1"/>
  <c r="E122" i="4" s="1"/>
  <c r="F122" i="4" s="1"/>
  <c r="C106" i="4"/>
  <c r="D106" i="4" s="1"/>
  <c r="E106" i="4" s="1"/>
  <c r="F106" i="4" s="1"/>
  <c r="C91" i="4"/>
  <c r="D91" i="4" s="1"/>
  <c r="E91" i="4" s="1"/>
  <c r="F91" i="4" s="1"/>
  <c r="C75" i="4"/>
  <c r="D75" i="4" s="1"/>
  <c r="E75" i="4" s="1"/>
  <c r="F75" i="4" s="1"/>
  <c r="C121" i="4"/>
  <c r="D121" i="4" s="1"/>
  <c r="E121" i="4" s="1"/>
  <c r="F121" i="4" s="1"/>
  <c r="C105" i="4"/>
  <c r="D105" i="4" s="1"/>
  <c r="E105" i="4" s="1"/>
  <c r="F105" i="4" s="1"/>
  <c r="C82" i="4"/>
  <c r="D82" i="4" s="1"/>
  <c r="E82" i="4" s="1"/>
  <c r="F82" i="4" s="1"/>
  <c r="C120" i="4"/>
  <c r="D120" i="4" s="1"/>
  <c r="E120" i="4" s="1"/>
  <c r="F120" i="4" s="1"/>
  <c r="C112" i="4"/>
  <c r="D112" i="4" s="1"/>
  <c r="E112" i="4" s="1"/>
  <c r="F112" i="4" s="1"/>
  <c r="C104" i="4"/>
  <c r="D104" i="4" s="1"/>
  <c r="E104" i="4" s="1"/>
  <c r="F104" i="4" s="1"/>
  <c r="C67" i="4"/>
  <c r="D67" i="4" s="1"/>
  <c r="E67" i="4" s="1"/>
  <c r="F67" i="4" s="1"/>
  <c r="C63" i="4"/>
  <c r="D63" i="4" s="1"/>
  <c r="E63" i="4" s="1"/>
  <c r="F63" i="4" s="1"/>
  <c r="C59" i="4"/>
  <c r="D59" i="4" s="1"/>
  <c r="E59" i="4" s="1"/>
  <c r="F59" i="4" s="1"/>
  <c r="C57" i="4"/>
  <c r="D57" i="4" s="1"/>
  <c r="E57" i="4" s="1"/>
  <c r="F57" i="4" s="1"/>
  <c r="C55" i="4"/>
  <c r="D55" i="4" s="1"/>
  <c r="E55" i="4" s="1"/>
  <c r="F55" i="4" s="1"/>
  <c r="C53" i="4"/>
  <c r="D53" i="4" s="1"/>
  <c r="E53" i="4" s="1"/>
  <c r="F53" i="4" s="1"/>
  <c r="C51" i="4"/>
  <c r="D51" i="4" s="1"/>
  <c r="E51" i="4" s="1"/>
  <c r="F51" i="4" s="1"/>
  <c r="C47" i="4"/>
  <c r="D47" i="4" s="1"/>
  <c r="E47" i="4" s="1"/>
  <c r="F47" i="4" s="1"/>
  <c r="C46" i="4"/>
  <c r="B42" i="4" s="1"/>
  <c r="B43" i="4" s="1"/>
  <c r="C45" i="4"/>
  <c r="D45" i="4" s="1"/>
  <c r="E45" i="4" s="1"/>
  <c r="C66" i="4"/>
  <c r="D66" i="4" s="1"/>
  <c r="E66" i="4" s="1"/>
  <c r="F66" i="4" s="1"/>
  <c r="C64" i="4"/>
  <c r="D64" i="4" s="1"/>
  <c r="E64" i="4" s="1"/>
  <c r="F64" i="4" s="1"/>
  <c r="C62" i="4"/>
  <c r="D62" i="4" s="1"/>
  <c r="E62" i="4" s="1"/>
  <c r="F62" i="4" s="1"/>
  <c r="C58" i="4"/>
  <c r="D58" i="4" s="1"/>
  <c r="E58" i="4" s="1"/>
  <c r="F58" i="4" s="1"/>
  <c r="C54" i="4"/>
  <c r="D54" i="4" s="1"/>
  <c r="E54" i="4" s="1"/>
  <c r="C52" i="4"/>
  <c r="D52" i="4" s="1"/>
  <c r="E52" i="4" s="1"/>
  <c r="F52" i="4" s="1"/>
  <c r="C48" i="4"/>
  <c r="D48" i="4" s="1"/>
  <c r="E48" i="4" s="1"/>
  <c r="F48" i="4" s="1"/>
  <c r="B21" i="4"/>
  <c r="B37" i="1"/>
  <c r="B17" i="1"/>
  <c r="C10" i="1"/>
  <c r="C83" i="4" l="1"/>
  <c r="D83" i="4" s="1"/>
  <c r="E83" i="4" s="1"/>
  <c r="F83" i="4" s="1"/>
  <c r="C107" i="4"/>
  <c r="D107" i="4" s="1"/>
  <c r="E107" i="4" s="1"/>
  <c r="F107" i="4" s="1"/>
  <c r="C78" i="4"/>
  <c r="D78" i="4" s="1"/>
  <c r="E78" i="4" s="1"/>
  <c r="F78" i="4" s="1"/>
  <c r="C74" i="4"/>
  <c r="D74" i="4" s="1"/>
  <c r="E74" i="4" s="1"/>
  <c r="F74" i="4" s="1"/>
  <c r="C56" i="4"/>
  <c r="D56" i="4" s="1"/>
  <c r="E56" i="4" s="1"/>
  <c r="F56" i="4" s="1"/>
  <c r="C50" i="4"/>
  <c r="D50" i="4" s="1"/>
  <c r="E50" i="4" s="1"/>
  <c r="F50" i="4" s="1"/>
  <c r="C61" i="4"/>
  <c r="D61" i="4" s="1"/>
  <c r="E61" i="4" s="1"/>
  <c r="F61" i="4" s="1"/>
  <c r="C90" i="4"/>
  <c r="D90" i="4" s="1"/>
  <c r="E90" i="4" s="1"/>
  <c r="F90" i="4" s="1"/>
  <c r="C114" i="4"/>
  <c r="D114" i="4" s="1"/>
  <c r="E114" i="4" s="1"/>
  <c r="F114" i="4" s="1"/>
  <c r="C77" i="4"/>
  <c r="D77" i="4" s="1"/>
  <c r="E77" i="4" s="1"/>
  <c r="F77" i="4" s="1"/>
  <c r="C117" i="4"/>
  <c r="D117" i="4" s="1"/>
  <c r="E117" i="4" s="1"/>
  <c r="F117" i="4" s="1"/>
  <c r="C60" i="4"/>
  <c r="D60" i="4" s="1"/>
  <c r="E60" i="4" s="1"/>
  <c r="F60" i="4" s="1"/>
  <c r="C49" i="4"/>
  <c r="D49" i="4" s="1"/>
  <c r="E49" i="4" s="1"/>
  <c r="F49" i="4" s="1"/>
  <c r="C65" i="4"/>
  <c r="D65" i="4" s="1"/>
  <c r="E65" i="4" s="1"/>
  <c r="F65" i="4" s="1"/>
  <c r="C113" i="4"/>
  <c r="D113" i="4" s="1"/>
  <c r="E113" i="4" s="1"/>
  <c r="F113" i="4" s="1"/>
  <c r="C76" i="4"/>
  <c r="D76" i="4" s="1"/>
  <c r="E76" i="4" s="1"/>
  <c r="F76" i="4" s="1"/>
  <c r="C93" i="4"/>
  <c r="D93" i="4" s="1"/>
  <c r="E93" i="4" s="1"/>
  <c r="F93" i="4" s="1"/>
  <c r="C110" i="4"/>
  <c r="D110" i="4" s="1"/>
  <c r="E110" i="4" s="1"/>
  <c r="F110" i="4" s="1"/>
  <c r="C124" i="4"/>
  <c r="D124" i="4" s="1"/>
  <c r="E124" i="4" s="1"/>
  <c r="F124" i="4" s="1"/>
  <c r="C125" i="4"/>
  <c r="D125" i="4" s="1"/>
  <c r="E125" i="4" s="1"/>
  <c r="F125" i="4" s="1"/>
  <c r="C89" i="4"/>
  <c r="D89" i="4" s="1"/>
  <c r="E89" i="4" s="1"/>
  <c r="F89" i="4" s="1"/>
  <c r="D46" i="4"/>
  <c r="E46" i="4" s="1"/>
  <c r="F46" i="4" s="1"/>
  <c r="C94" i="4"/>
  <c r="D94" i="4" s="1"/>
  <c r="E94" i="4" s="1"/>
  <c r="F94" i="4" s="1"/>
  <c r="C118" i="4"/>
  <c r="D118" i="4" s="1"/>
  <c r="E118" i="4" s="1"/>
  <c r="F118" i="4" s="1"/>
  <c r="C88" i="4"/>
  <c r="D88" i="4" s="1"/>
  <c r="E88" i="4" s="1"/>
  <c r="F88" i="4" s="1"/>
  <c r="C79" i="4"/>
  <c r="D79" i="4" s="1"/>
  <c r="E79" i="4" s="1"/>
  <c r="F79" i="4" s="1"/>
  <c r="C80" i="4"/>
  <c r="D80" i="4" s="1"/>
  <c r="E80" i="4" s="1"/>
  <c r="F80" i="4" s="1"/>
  <c r="C96" i="4"/>
  <c r="D96" i="4" s="1"/>
  <c r="E96" i="4" s="1"/>
  <c r="F96" i="4" s="1"/>
  <c r="C109" i="4"/>
  <c r="D109" i="4" s="1"/>
  <c r="E109" i="4" s="1"/>
  <c r="F109" i="4" s="1"/>
  <c r="C119" i="4"/>
  <c r="D119" i="4" s="1"/>
  <c r="E119" i="4" s="1"/>
  <c r="F119" i="4" s="1"/>
  <c r="F45" i="4"/>
  <c r="H50" i="4"/>
  <c r="F54" i="4"/>
  <c r="B21" i="1" l="1"/>
  <c r="I10" i="2" s="1"/>
  <c r="G29" i="2" l="1"/>
  <c r="H29" i="2" s="1"/>
  <c r="I29" i="2" s="1"/>
  <c r="G30" i="2"/>
  <c r="H30" i="2" s="1"/>
  <c r="I15" i="2"/>
  <c r="J15" i="2" s="1"/>
  <c r="M15" i="2" s="1"/>
  <c r="N15" i="2" s="1"/>
  <c r="C53" i="1"/>
  <c r="D53" i="1" s="1"/>
  <c r="E53" i="1" s="1"/>
  <c r="F53" i="1" s="1"/>
  <c r="C62" i="1"/>
  <c r="D62" i="1" s="1"/>
  <c r="E62" i="1" s="1"/>
  <c r="F62" i="1" s="1"/>
  <c r="C52" i="1"/>
  <c r="D52" i="1" s="1"/>
  <c r="E52" i="1" s="1"/>
  <c r="F52" i="1" s="1"/>
  <c r="C46" i="1"/>
  <c r="D46" i="1" s="1"/>
  <c r="E46" i="1" s="1"/>
  <c r="F46" i="1" s="1"/>
  <c r="C50" i="1"/>
  <c r="D50" i="1" s="1"/>
  <c r="E50" i="1" s="1"/>
  <c r="F50" i="1" s="1"/>
  <c r="C56" i="1"/>
  <c r="D56" i="1" s="1"/>
  <c r="E56" i="1" s="1"/>
  <c r="F56" i="1" s="1"/>
  <c r="C64" i="1"/>
  <c r="D64" i="1" s="1"/>
  <c r="E64" i="1" s="1"/>
  <c r="F64" i="1" s="1"/>
  <c r="C60" i="1"/>
  <c r="D60" i="1" s="1"/>
  <c r="E60" i="1" s="1"/>
  <c r="F60" i="1" s="1"/>
  <c r="C48" i="1"/>
  <c r="D48" i="1" s="1"/>
  <c r="E48" i="1" s="1"/>
  <c r="F48" i="1" s="1"/>
  <c r="C63" i="1"/>
  <c r="D63" i="1" s="1"/>
  <c r="E63" i="1" s="1"/>
  <c r="F63" i="1" s="1"/>
  <c r="C61" i="1"/>
  <c r="D61" i="1" s="1"/>
  <c r="E61" i="1" s="1"/>
  <c r="F61" i="1" s="1"/>
  <c r="C57" i="1"/>
  <c r="D57" i="1" s="1"/>
  <c r="E57" i="1" s="1"/>
  <c r="F57" i="1" s="1"/>
  <c r="C59" i="1"/>
  <c r="D59" i="1" s="1"/>
  <c r="E59" i="1" s="1"/>
  <c r="F59" i="1" s="1"/>
  <c r="C58" i="1"/>
  <c r="C45" i="1"/>
  <c r="D45" i="1" s="1"/>
  <c r="E45" i="1" s="1"/>
  <c r="C49" i="1"/>
  <c r="D49" i="1" s="1"/>
  <c r="E49" i="1" s="1"/>
  <c r="F49" i="1" s="1"/>
  <c r="C51" i="1"/>
  <c r="D51" i="1" s="1"/>
  <c r="E51" i="1" s="1"/>
  <c r="F51" i="1" s="1"/>
  <c r="C54" i="1"/>
  <c r="D54" i="1" s="1"/>
  <c r="E54" i="1" s="1"/>
  <c r="C47" i="1"/>
  <c r="D47" i="1" s="1"/>
  <c r="E47" i="1" s="1"/>
  <c r="F47" i="1" s="1"/>
  <c r="C55" i="1"/>
  <c r="B42" i="1" s="1"/>
  <c r="B43" i="1" s="1"/>
  <c r="C65" i="1"/>
  <c r="D65" i="1" s="1"/>
  <c r="E65" i="1" s="1"/>
  <c r="F65" i="1" s="1"/>
  <c r="B5" i="5" l="1"/>
  <c r="B11" i="5" s="1"/>
  <c r="B41" i="2"/>
  <c r="B22" i="2"/>
  <c r="D55" i="1"/>
  <c r="E55" i="1" s="1"/>
  <c r="F55" i="1" s="1"/>
  <c r="I14" i="2"/>
  <c r="J14" i="2" s="1"/>
  <c r="F54" i="1"/>
  <c r="H50" i="1"/>
  <c r="F45" i="1"/>
  <c r="D58" i="1"/>
  <c r="E58" i="1" s="1"/>
  <c r="F58" i="1" s="1"/>
  <c r="C67" i="1"/>
  <c r="D67" i="1" s="1"/>
  <c r="E67" i="1" s="1"/>
  <c r="F67" i="1" s="1"/>
  <c r="C66" i="1"/>
  <c r="D66" i="1" s="1"/>
  <c r="E66" i="1" s="1"/>
  <c r="F66" i="1" s="1"/>
  <c r="M14" i="2" l="1"/>
  <c r="N14" i="2" s="1"/>
  <c r="O14" i="2" s="1"/>
  <c r="B23" i="2" s="1"/>
  <c r="B24" i="2" s="1"/>
  <c r="B6" i="5" l="1"/>
  <c r="B26" i="2" l="1"/>
  <c r="B7" i="5"/>
</calcChain>
</file>

<file path=xl/sharedStrings.xml><?xml version="1.0" encoding="utf-8"?>
<sst xmlns="http://schemas.openxmlformats.org/spreadsheetml/2006/main" count="277" uniqueCount="114">
  <si>
    <t>Pressure</t>
  </si>
  <si>
    <t>P</t>
  </si>
  <si>
    <t>Low pressure</t>
  </si>
  <si>
    <t>High Pressure</t>
  </si>
  <si>
    <t>Enthaply</t>
  </si>
  <si>
    <t xml:space="preserve">Position </t>
  </si>
  <si>
    <t>Value (Btu/lbm)</t>
  </si>
  <si>
    <t>h1</t>
  </si>
  <si>
    <t>h2</t>
  </si>
  <si>
    <t>h3</t>
  </si>
  <si>
    <t>h4</t>
  </si>
  <si>
    <t xml:space="preserve">Evaporator Outlet/Comperssor inlet </t>
  </si>
  <si>
    <t xml:space="preserve">Compressor outlet/Condenser inlet </t>
  </si>
  <si>
    <t xml:space="preserve">Condenser Outlet/Expansion valve inlet </t>
  </si>
  <si>
    <t xml:space="preserve">Expansion valve outlet/Evaporator Inlet </t>
  </si>
  <si>
    <t>P1 (Evaporator Side)</t>
  </si>
  <si>
    <t>P2 (Condenser Side)</t>
  </si>
  <si>
    <t>Temperature</t>
  </si>
  <si>
    <t>t1</t>
  </si>
  <si>
    <t>t2</t>
  </si>
  <si>
    <t>t3</t>
  </si>
  <si>
    <t>t4</t>
  </si>
  <si>
    <t>Value (F)</t>
  </si>
  <si>
    <t xml:space="preserve">Calculation of the mass flow rate of refrigerant </t>
  </si>
  <si>
    <t>Q_ref</t>
  </si>
  <si>
    <t xml:space="preserve">Tons </t>
  </si>
  <si>
    <t>M_ref</t>
  </si>
  <si>
    <t xml:space="preserve"> </t>
  </si>
  <si>
    <t>Calculation of the mass of air (Without evaporative media )</t>
  </si>
  <si>
    <t>Q_cond</t>
  </si>
  <si>
    <t>M_air</t>
  </si>
  <si>
    <t>Enthalpy of air (Inlet of condenser) (Btu/lbm)</t>
  </si>
  <si>
    <t>Enthalpy of air (Outlet of condenser) (Btu/lbm)</t>
  </si>
  <si>
    <t>Temperature (F)</t>
  </si>
  <si>
    <t>Calculation (With evaporative media)</t>
  </si>
  <si>
    <t xml:space="preserve">Specific humidity of the air at the inlet (lb per lb of da) </t>
  </si>
  <si>
    <t>Specific humidity of the air at the outlet (lb per lb of da) (Rh=100%)</t>
  </si>
  <si>
    <t>Specific humidity of the air at the outlet (lb per lb of da) (n=80%)</t>
  </si>
  <si>
    <t>Faucet Temperature</t>
  </si>
  <si>
    <t>Alburquerque (F)</t>
  </si>
  <si>
    <t>hfg (76.2F) (Btu/lbm)</t>
  </si>
  <si>
    <t>h3'</t>
  </si>
  <si>
    <t>T3'</t>
  </si>
  <si>
    <t>M_ref_new</t>
  </si>
  <si>
    <t>Capacity</t>
  </si>
  <si>
    <t>Btu/hr (Q_ref)</t>
  </si>
  <si>
    <t>Difference</t>
  </si>
  <si>
    <t xml:space="preserve">Check </t>
  </si>
  <si>
    <t>S.n</t>
  </si>
  <si>
    <t>cfm</t>
  </si>
  <si>
    <t>Temperature of water</t>
  </si>
  <si>
    <t>hfg</t>
  </si>
  <si>
    <t>Temperature (t3')</t>
  </si>
  <si>
    <t>Work done (compressor) (Btu/hr)</t>
  </si>
  <si>
    <t>W_comp_new</t>
  </si>
  <si>
    <t>W_saving (Btu/hr)</t>
  </si>
  <si>
    <t>W_saving (KW)</t>
  </si>
  <si>
    <t>No. of hrs in a day</t>
  </si>
  <si>
    <t>W_saving (KWh)</t>
  </si>
  <si>
    <t xml:space="preserve">No of hrs in a year </t>
  </si>
  <si>
    <t>unit(Psi)</t>
  </si>
  <si>
    <t>R134a</t>
  </si>
  <si>
    <t>differnce</t>
  </si>
  <si>
    <t>Temp</t>
  </si>
  <si>
    <t>Las Vegas(F)</t>
  </si>
  <si>
    <t>wbt</t>
  </si>
  <si>
    <t xml:space="preserve">Location </t>
  </si>
  <si>
    <t>Alburquerque</t>
  </si>
  <si>
    <t xml:space="preserve">Las Vegas </t>
  </si>
  <si>
    <t xml:space="preserve">% saved </t>
  </si>
  <si>
    <t xml:space="preserve">Average % saved </t>
  </si>
  <si>
    <t xml:space="preserve">Total Power consumption </t>
  </si>
  <si>
    <t>unit</t>
  </si>
  <si>
    <t>Billion KWh</t>
  </si>
  <si>
    <t xml:space="preserve">Remarks </t>
  </si>
  <si>
    <t xml:space="preserve">Saving </t>
  </si>
  <si>
    <t>CO2 reduced</t>
  </si>
  <si>
    <t>Billion Mwh</t>
  </si>
  <si>
    <t>Billion lbs</t>
  </si>
  <si>
    <t>CO2 emitted</t>
  </si>
  <si>
    <t>Billion MWh</t>
  </si>
  <si>
    <t>Without media</t>
  </si>
  <si>
    <t>With media</t>
  </si>
  <si>
    <t xml:space="preserve">Validate </t>
  </si>
  <si>
    <t>M_water</t>
  </si>
  <si>
    <t>Q_cond_new</t>
  </si>
  <si>
    <t xml:space="preserve">Savings in dollars </t>
  </si>
  <si>
    <t xml:space="preserve">Energy price </t>
  </si>
  <si>
    <t>Rate per KWh</t>
  </si>
  <si>
    <t xml:space="preserve">Total energy saving </t>
  </si>
  <si>
    <t>Remarks</t>
  </si>
  <si>
    <t>in billions</t>
  </si>
  <si>
    <t>Service life (in years)</t>
  </si>
  <si>
    <t>Discount rate</t>
  </si>
  <si>
    <t>Present Value (In billions)</t>
  </si>
  <si>
    <t>Temperature (t3') (F)</t>
  </si>
  <si>
    <t>h3' (Btu/lb)</t>
  </si>
  <si>
    <t xml:space="preserve">% saving </t>
  </si>
  <si>
    <t xml:space="preserve">Average saving </t>
  </si>
  <si>
    <t xml:space="preserve">Without evaporative media </t>
  </si>
  <si>
    <t>Unit</t>
  </si>
  <si>
    <t xml:space="preserve">Amount </t>
  </si>
  <si>
    <t xml:space="preserve">With evaporative media </t>
  </si>
  <si>
    <t xml:space="preserve">SO2 </t>
  </si>
  <si>
    <t>Nox</t>
  </si>
  <si>
    <t>C02 (lbs/MWh)</t>
  </si>
  <si>
    <t>So2</t>
  </si>
  <si>
    <t>Nix</t>
  </si>
  <si>
    <t xml:space="preserve">No of homes </t>
  </si>
  <si>
    <t>Saving per home per year</t>
  </si>
  <si>
    <t>Total households</t>
  </si>
  <si>
    <t xml:space="preserve">Million </t>
  </si>
  <si>
    <t>Total energy saving per yr</t>
  </si>
  <si>
    <t>Co2 reduced per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</si>
</sst>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3" borderId="2" applyNumberFormat="0" applyAlignment="0" applyProtection="0"/>
    <xf numFmtId="44" fontId="4" fillId="0" borderId="0" applyFont="0" applyFill="0" applyBorder="0" applyAlignment="0" applyProtection="0"/>
    <xf numFmtId="0" fontId="5" fillId="4" borderId="2" applyNumberFormat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3" fillId="0" borderId="1" xfId="0" applyFont="1" applyBorder="1"/>
    <xf numFmtId="0" fontId="3" fillId="0" borderId="0" xfId="0" applyFont="1"/>
    <xf numFmtId="0" fontId="3" fillId="2" borderId="0" xfId="0" applyFont="1" applyFill="1"/>
    <xf numFmtId="0" fontId="2" fillId="3" borderId="2" xfId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/>
    <xf numFmtId="0" fontId="3" fillId="2" borderId="1" xfId="0" applyFont="1" applyFill="1" applyBorder="1"/>
    <xf numFmtId="9" fontId="3" fillId="2" borderId="1" xfId="0" applyNumberFormat="1" applyFont="1" applyFill="1" applyBorder="1"/>
    <xf numFmtId="8" fontId="2" fillId="3" borderId="2" xfId="1" applyNumberFormat="1"/>
    <xf numFmtId="0" fontId="6" fillId="4" borderId="2" xfId="3" applyFont="1"/>
    <xf numFmtId="44" fontId="6" fillId="4" borderId="2" xfId="3" applyNumberFormat="1" applyFont="1"/>
    <xf numFmtId="0" fontId="0" fillId="0" borderId="6" xfId="0" applyBorder="1"/>
    <xf numFmtId="44" fontId="0" fillId="0" borderId="0" xfId="0" applyNumberFormat="1"/>
    <xf numFmtId="44" fontId="0" fillId="0" borderId="0" xfId="2" applyFont="1"/>
    <xf numFmtId="43" fontId="6" fillId="4" borderId="2" xfId="4" applyFont="1" applyFill="1" applyBorder="1"/>
    <xf numFmtId="0" fontId="0" fillId="0" borderId="10" xfId="0" applyBorder="1"/>
    <xf numFmtId="43" fontId="0" fillId="0" borderId="0" xfId="0" applyNumberFormat="1"/>
    <xf numFmtId="8" fontId="0" fillId="0" borderId="0" xfId="0" applyNumberFormat="1"/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Calculation" xfId="1" builtinId="22"/>
    <cellStyle name="Comma" xfId="4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</a:t>
            </a:r>
            <a:r>
              <a:rPr lang="en-US" baseline="0"/>
              <a:t> Value v/s Discount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'Economic Analysis '!$A$17</c:f>
              <c:strCache>
                <c:ptCount val="1"/>
                <c:pt idx="0">
                  <c:v>Present Value (In billions)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Analysis '!$B$16:$I$16</c:f>
              <c:numCache>
                <c:formatCode>0%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'Economic Analysis '!$B$17:$I$17</c:f>
              <c:numCache>
                <c:formatCode>"$"#,##0.00_);[Red]\("$"#,##0.00\)</c:formatCode>
                <c:ptCount val="8"/>
                <c:pt idx="0">
                  <c:v>931.86812103111492</c:v>
                </c:pt>
                <c:pt idx="1">
                  <c:v>867.89471797241117</c:v>
                </c:pt>
                <c:pt idx="2">
                  <c:v>810.22994032688939</c:v>
                </c:pt>
                <c:pt idx="3">
                  <c:v>758.13238633019807</c:v>
                </c:pt>
                <c:pt idx="4">
                  <c:v>710.95835659683678</c:v>
                </c:pt>
                <c:pt idx="5">
                  <c:v>668.14782154070826</c:v>
                </c:pt>
                <c:pt idx="6">
                  <c:v>629.21255030664247</c:v>
                </c:pt>
                <c:pt idx="7">
                  <c:v>593.72604779935807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7-4711-A2ED-A8F6F96F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50016"/>
        <c:axId val="866449184"/>
      </c:scatterChart>
      <c:valAx>
        <c:axId val="866450016"/>
        <c:scaling>
          <c:orientation val="minMax"/>
          <c:max val="0.1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49184"/>
        <c:crosses val="autoZero"/>
        <c:crossBetween val="midCat"/>
      </c:valAx>
      <c:valAx>
        <c:axId val="86644918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</a:t>
                </a:r>
                <a:r>
                  <a:rPr lang="en-US" baseline="0"/>
                  <a:t> Value (Saving per 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</a:t>
            </a:r>
            <a:r>
              <a:rPr lang="en-US" baseline="0"/>
              <a:t> Value v/s Discount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'Economic Analysis '!$A$17</c:f>
              <c:strCache>
                <c:ptCount val="1"/>
                <c:pt idx="0">
                  <c:v>Present Value (In billions)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Analysis '!$B$16:$I$16</c:f>
              <c:numCache>
                <c:formatCode>0%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'Economic Analysis '!$B$17:$I$17</c:f>
              <c:numCache>
                <c:formatCode>"$"#,##0.00_);[Red]\("$"#,##0.00\)</c:formatCode>
                <c:ptCount val="8"/>
                <c:pt idx="0">
                  <c:v>931.86812103111492</c:v>
                </c:pt>
                <c:pt idx="1">
                  <c:v>867.89471797241117</c:v>
                </c:pt>
                <c:pt idx="2">
                  <c:v>810.22994032688939</c:v>
                </c:pt>
                <c:pt idx="3">
                  <c:v>758.13238633019807</c:v>
                </c:pt>
                <c:pt idx="4">
                  <c:v>710.95835659683678</c:v>
                </c:pt>
                <c:pt idx="5">
                  <c:v>668.14782154070826</c:v>
                </c:pt>
                <c:pt idx="6">
                  <c:v>629.21255030664247</c:v>
                </c:pt>
                <c:pt idx="7">
                  <c:v>593.72604779935807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9-42FD-BBDA-54A61621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50016"/>
        <c:axId val="866449184"/>
      </c:scatterChart>
      <c:valAx>
        <c:axId val="866450016"/>
        <c:scaling>
          <c:orientation val="minMax"/>
          <c:max val="0.1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49184"/>
        <c:crosses val="autoZero"/>
        <c:crossBetween val="midCat"/>
      </c:valAx>
      <c:valAx>
        <c:axId val="866449184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</a:t>
                </a:r>
                <a:r>
                  <a:rPr lang="en-US" baseline="0"/>
                  <a:t> Value (in billion dollars)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15</xdr:row>
      <xdr:rowOff>144780</xdr:rowOff>
    </xdr:from>
    <xdr:to>
      <xdr:col>9</xdr:col>
      <xdr:colOff>205980</xdr:colOff>
      <xdr:row>19</xdr:row>
      <xdr:rowOff>15293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718B8-882F-9E33-E62C-FAA96DAC8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3070860"/>
          <a:ext cx="2773920" cy="60965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18</xdr:row>
      <xdr:rowOff>11430</xdr:rowOff>
    </xdr:from>
    <xdr:to>
      <xdr:col>5</xdr:col>
      <xdr:colOff>381000</xdr:colOff>
      <xdr:row>33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40A24-A924-5449-FD0E-E3A1CA17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17</xdr:row>
      <xdr:rowOff>11430</xdr:rowOff>
    </xdr:from>
    <xdr:to>
      <xdr:col>5</xdr:col>
      <xdr:colOff>381000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7E0C-5DB6-4846-A810-C9F5213E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29D5-69B2-4947-BCEE-227FB6115ADA}">
  <dimension ref="A1:I67"/>
  <sheetViews>
    <sheetView topLeftCell="A7" workbookViewId="0">
      <selection activeCell="B43" sqref="B43"/>
    </sheetView>
  </sheetViews>
  <sheetFormatPr defaultRowHeight="14.4" x14ac:dyDescent="0.3"/>
  <cols>
    <col min="1" max="1" width="56.109375" bestFit="1" customWidth="1"/>
    <col min="2" max="2" width="34.77734375" bestFit="1" customWidth="1"/>
    <col min="3" max="3" width="14.6640625" bestFit="1" customWidth="1"/>
    <col min="4" max="4" width="11.5546875" bestFit="1" customWidth="1"/>
    <col min="5" max="5" width="10" bestFit="1" customWidth="1"/>
  </cols>
  <sheetData>
    <row r="1" spans="1:5" x14ac:dyDescent="0.3">
      <c r="A1" s="5" t="s">
        <v>61</v>
      </c>
    </row>
    <row r="2" spans="1:5" x14ac:dyDescent="0.3">
      <c r="A2" s="4" t="s">
        <v>0</v>
      </c>
      <c r="B2" s="4" t="s">
        <v>1</v>
      </c>
      <c r="C2" s="4" t="s">
        <v>60</v>
      </c>
    </row>
    <row r="3" spans="1:5" x14ac:dyDescent="0.3">
      <c r="A3" s="1" t="s">
        <v>2</v>
      </c>
      <c r="B3" s="1" t="s">
        <v>15</v>
      </c>
      <c r="C3" s="1">
        <v>50</v>
      </c>
    </row>
    <row r="4" spans="1:5" x14ac:dyDescent="0.3">
      <c r="A4" s="1" t="s">
        <v>3</v>
      </c>
      <c r="B4" s="1" t="s">
        <v>16</v>
      </c>
      <c r="C4" s="1">
        <v>250</v>
      </c>
    </row>
    <row r="6" spans="1:5" x14ac:dyDescent="0.3">
      <c r="A6" s="4" t="s">
        <v>5</v>
      </c>
      <c r="B6" s="4" t="s">
        <v>4</v>
      </c>
      <c r="C6" s="4" t="s">
        <v>6</v>
      </c>
      <c r="D6" s="4" t="s">
        <v>17</v>
      </c>
      <c r="E6" s="4" t="s">
        <v>22</v>
      </c>
    </row>
    <row r="7" spans="1:5" x14ac:dyDescent="0.3">
      <c r="A7" s="1" t="s">
        <v>11</v>
      </c>
      <c r="B7" s="1" t="s">
        <v>7</v>
      </c>
      <c r="C7" s="1">
        <v>108.81</v>
      </c>
      <c r="D7" s="1" t="s">
        <v>18</v>
      </c>
      <c r="E7" s="1">
        <v>40.229999999999997</v>
      </c>
    </row>
    <row r="8" spans="1:5" x14ac:dyDescent="0.3">
      <c r="A8" s="1" t="s">
        <v>12</v>
      </c>
      <c r="B8" s="1" t="s">
        <v>8</v>
      </c>
      <c r="C8" s="1">
        <v>123.554</v>
      </c>
      <c r="D8" s="1" t="s">
        <v>19</v>
      </c>
      <c r="E8" s="1">
        <v>153.001</v>
      </c>
    </row>
    <row r="9" spans="1:5" x14ac:dyDescent="0.3">
      <c r="A9" s="1" t="s">
        <v>13</v>
      </c>
      <c r="B9" s="1" t="s">
        <v>9</v>
      </c>
      <c r="C9" s="1">
        <v>60.616</v>
      </c>
      <c r="D9" s="1" t="s">
        <v>20</v>
      </c>
      <c r="E9" s="1">
        <v>141.79</v>
      </c>
    </row>
    <row r="10" spans="1:5" x14ac:dyDescent="0.3">
      <c r="A10" s="1" t="s">
        <v>14</v>
      </c>
      <c r="B10" s="1" t="s">
        <v>10</v>
      </c>
      <c r="C10" s="1">
        <f>C9</f>
        <v>60.616</v>
      </c>
      <c r="D10" s="1" t="s">
        <v>21</v>
      </c>
      <c r="E10" s="1"/>
    </row>
    <row r="13" spans="1:5" x14ac:dyDescent="0.3">
      <c r="A13" s="6" t="s">
        <v>23</v>
      </c>
    </row>
    <row r="15" spans="1:5" x14ac:dyDescent="0.3">
      <c r="A15" s="5" t="s">
        <v>44</v>
      </c>
    </row>
    <row r="16" spans="1:5" x14ac:dyDescent="0.3">
      <c r="A16" s="1" t="s">
        <v>25</v>
      </c>
      <c r="B16" s="1">
        <v>3</v>
      </c>
    </row>
    <row r="17" spans="1:3" x14ac:dyDescent="0.3">
      <c r="A17" s="1" t="s">
        <v>45</v>
      </c>
      <c r="B17" s="1">
        <f>B16*12000</f>
        <v>36000</v>
      </c>
    </row>
    <row r="19" spans="1:3" x14ac:dyDescent="0.3">
      <c r="A19" s="7" t="s">
        <v>26</v>
      </c>
      <c r="B19" s="7">
        <f>ROUNDUP(B17/(C7-C10),0)</f>
        <v>747</v>
      </c>
    </row>
    <row r="20" spans="1:3" x14ac:dyDescent="0.3">
      <c r="A20" t="s">
        <v>27</v>
      </c>
    </row>
    <row r="21" spans="1:3" x14ac:dyDescent="0.3">
      <c r="A21" s="7" t="s">
        <v>53</v>
      </c>
      <c r="B21" s="7">
        <f>B19*(C8-C7)</f>
        <v>11013.768</v>
      </c>
    </row>
    <row r="22" spans="1:3" x14ac:dyDescent="0.3">
      <c r="A22" s="7"/>
      <c r="B22" s="7"/>
    </row>
    <row r="23" spans="1:3" x14ac:dyDescent="0.3">
      <c r="A23" s="6" t="s">
        <v>28</v>
      </c>
    </row>
    <row r="24" spans="1:3" x14ac:dyDescent="0.3">
      <c r="C24" s="5" t="s">
        <v>33</v>
      </c>
    </row>
    <row r="25" spans="1:3" x14ac:dyDescent="0.3">
      <c r="A25" s="4" t="s">
        <v>31</v>
      </c>
      <c r="B25" s="1">
        <v>21.626000000000001</v>
      </c>
      <c r="C25" s="1">
        <v>90</v>
      </c>
    </row>
    <row r="26" spans="1:3" x14ac:dyDescent="0.3">
      <c r="A26" s="4" t="s">
        <v>32</v>
      </c>
      <c r="B26" s="1">
        <v>25.899899999999999</v>
      </c>
      <c r="C26" s="1">
        <v>107</v>
      </c>
    </row>
    <row r="29" spans="1:3" x14ac:dyDescent="0.3">
      <c r="A29" s="7" t="s">
        <v>29</v>
      </c>
      <c r="B29" s="7">
        <f>ROUNDUP(B19*(C8-C9),0)</f>
        <v>47015</v>
      </c>
    </row>
    <row r="30" spans="1:3" x14ac:dyDescent="0.3">
      <c r="A30" s="7" t="s">
        <v>30</v>
      </c>
      <c r="B30" s="7">
        <f>ROUNDUP(B19*(C8-C9)/(B26-B25),0)</f>
        <v>11001</v>
      </c>
    </row>
    <row r="31" spans="1:3" x14ac:dyDescent="0.3">
      <c r="A31" s="7" t="s">
        <v>49</v>
      </c>
      <c r="B31" s="7">
        <f>ROUND(13.34*B30*1/60,0)</f>
        <v>2446</v>
      </c>
    </row>
    <row r="33" spans="1:6" x14ac:dyDescent="0.3">
      <c r="A33" s="6" t="s">
        <v>34</v>
      </c>
    </row>
    <row r="35" spans="1:6" x14ac:dyDescent="0.3">
      <c r="A35" s="1" t="s">
        <v>35</v>
      </c>
      <c r="B35" s="1">
        <v>1.2200000000000001E-2</v>
      </c>
    </row>
    <row r="36" spans="1:6" x14ac:dyDescent="0.3">
      <c r="A36" s="1" t="s">
        <v>36</v>
      </c>
      <c r="B36" s="1">
        <v>1.6799999999999999E-2</v>
      </c>
    </row>
    <row r="37" spans="1:6" x14ac:dyDescent="0.3">
      <c r="A37" s="1" t="s">
        <v>37</v>
      </c>
      <c r="B37" s="1">
        <f>0.8*(B36-B35)+B35</f>
        <v>1.5879999999999998E-2</v>
      </c>
    </row>
    <row r="39" spans="1:6" x14ac:dyDescent="0.3">
      <c r="A39" t="s">
        <v>38</v>
      </c>
    </row>
    <row r="40" spans="1:6" x14ac:dyDescent="0.3">
      <c r="A40" t="s">
        <v>39</v>
      </c>
      <c r="B40">
        <v>76.2</v>
      </c>
    </row>
    <row r="41" spans="1:6" x14ac:dyDescent="0.3">
      <c r="A41" t="s">
        <v>40</v>
      </c>
      <c r="B41">
        <v>1050.29</v>
      </c>
    </row>
    <row r="42" spans="1:6" x14ac:dyDescent="0.3">
      <c r="A42" s="7" t="s">
        <v>85</v>
      </c>
      <c r="B42">
        <f>C55*(C8-B55)</f>
        <v>42519.604267199968</v>
      </c>
    </row>
    <row r="43" spans="1:6" x14ac:dyDescent="0.3">
      <c r="A43" s="7" t="s">
        <v>84</v>
      </c>
      <c r="B43" s="7">
        <f>B42/B41</f>
        <v>40.483679999999971</v>
      </c>
    </row>
    <row r="44" spans="1:6" x14ac:dyDescent="0.3">
      <c r="A44" s="1" t="s">
        <v>42</v>
      </c>
      <c r="B44" s="1" t="s">
        <v>41</v>
      </c>
      <c r="C44" s="1" t="s">
        <v>43</v>
      </c>
      <c r="D44" s="1" t="s">
        <v>24</v>
      </c>
      <c r="E44" s="1" t="s">
        <v>46</v>
      </c>
      <c r="F44" s="1" t="s">
        <v>47</v>
      </c>
    </row>
    <row r="45" spans="1:6" x14ac:dyDescent="0.3">
      <c r="A45" s="1">
        <v>141.79</v>
      </c>
      <c r="B45" s="1">
        <v>60.616</v>
      </c>
      <c r="C45" s="1">
        <f t="shared" ref="C45:C67" si="0">$B$30*($B$37-$B$35)*$B$41/($C$8-B45)</f>
        <v>675.57920917728507</v>
      </c>
      <c r="D45" s="1">
        <f>C45*($C$7-B45)</f>
        <v>32558.864407090077</v>
      </c>
      <c r="E45" s="1">
        <f>$B$17-D45</f>
        <v>3441.1355929099227</v>
      </c>
      <c r="F45" s="1" t="b">
        <f>IF(E45&lt;0,TRUE,FALSE)</f>
        <v>0</v>
      </c>
    </row>
    <row r="46" spans="1:6" x14ac:dyDescent="0.3">
      <c r="A46" s="1">
        <v>130</v>
      </c>
      <c r="B46" s="1">
        <v>56.47</v>
      </c>
      <c r="C46" s="1">
        <f t="shared" si="0"/>
        <v>633.82631129926608</v>
      </c>
      <c r="D46" s="1">
        <f>C46*($C$7-B46)</f>
        <v>33174.469133403589</v>
      </c>
      <c r="E46" s="1">
        <f>$B$17-D46</f>
        <v>2825.5308665964112</v>
      </c>
      <c r="F46" s="1" t="b">
        <f t="shared" ref="F46:F67" si="1">IF(E46&lt;0,TRUE,FALSE)</f>
        <v>0</v>
      </c>
    </row>
    <row r="47" spans="1:6" x14ac:dyDescent="0.3">
      <c r="A47" s="1">
        <v>120</v>
      </c>
      <c r="B47" s="1">
        <v>52.941000000000003</v>
      </c>
      <c r="C47" s="1">
        <f t="shared" si="0"/>
        <v>602.14980622831445</v>
      </c>
      <c r="D47" s="1">
        <f t="shared" ref="D47:D59" si="2">C47*($C$7-B47)</f>
        <v>33641.507524169698</v>
      </c>
      <c r="E47" s="1">
        <f t="shared" ref="E47:E67" si="3">$B$17-D47</f>
        <v>2358.4924758303023</v>
      </c>
      <c r="F47" s="1" t="b">
        <f t="shared" si="1"/>
        <v>0</v>
      </c>
    </row>
    <row r="48" spans="1:6" x14ac:dyDescent="0.3">
      <c r="A48" s="1">
        <v>110</v>
      </c>
      <c r="B48" s="1">
        <v>49.41</v>
      </c>
      <c r="C48" s="1">
        <f t="shared" si="0"/>
        <v>573.47329881311998</v>
      </c>
      <c r="D48" s="1">
        <f t="shared" si="2"/>
        <v>34064.31394949933</v>
      </c>
      <c r="E48" s="1">
        <f t="shared" si="3"/>
        <v>1935.6860505006698</v>
      </c>
      <c r="F48" s="1" t="b">
        <f t="shared" si="1"/>
        <v>0</v>
      </c>
    </row>
    <row r="49" spans="1:9" x14ac:dyDescent="0.3">
      <c r="A49" s="1">
        <v>100</v>
      </c>
      <c r="B49" s="1">
        <v>47.058999999999997</v>
      </c>
      <c r="C49" s="1">
        <f t="shared" si="0"/>
        <v>555.84815043074661</v>
      </c>
      <c r="D49" s="1">
        <f t="shared" si="2"/>
        <v>34324.179137249033</v>
      </c>
      <c r="E49" s="1">
        <f t="shared" si="3"/>
        <v>1675.8208627509666</v>
      </c>
      <c r="F49" s="1" t="b">
        <f t="shared" si="1"/>
        <v>0</v>
      </c>
      <c r="H49" s="1" t="s">
        <v>63</v>
      </c>
      <c r="I49" s="1" t="s">
        <v>62</v>
      </c>
    </row>
    <row r="50" spans="1:9" x14ac:dyDescent="0.3">
      <c r="A50" s="1">
        <v>90</v>
      </c>
      <c r="B50" s="1">
        <v>44.118000000000002</v>
      </c>
      <c r="C50" s="1">
        <f t="shared" si="0"/>
        <v>535.26869765849187</v>
      </c>
      <c r="D50" s="1">
        <f t="shared" si="2"/>
        <v>34627.602588923161</v>
      </c>
      <c r="E50" s="1">
        <f t="shared" si="3"/>
        <v>1372.3974110768395</v>
      </c>
      <c r="F50" s="1" t="b">
        <f t="shared" si="1"/>
        <v>0</v>
      </c>
      <c r="H50" s="1">
        <f>ROUNDUP(FORECAST(I50,A54:A55,E54:E55),0)</f>
        <v>41</v>
      </c>
      <c r="I50" s="1">
        <v>0</v>
      </c>
    </row>
    <row r="51" spans="1:9" x14ac:dyDescent="0.3">
      <c r="A51" s="1">
        <v>80</v>
      </c>
      <c r="B51" s="1">
        <v>40</v>
      </c>
      <c r="C51" s="1">
        <f t="shared" si="0"/>
        <v>508.88771653302018</v>
      </c>
      <c r="D51" s="1">
        <f t="shared" si="2"/>
        <v>35016.563774637121</v>
      </c>
      <c r="E51" s="1">
        <f t="shared" si="3"/>
        <v>983.43622536287876</v>
      </c>
      <c r="F51" s="1" t="b">
        <f t="shared" si="1"/>
        <v>0</v>
      </c>
    </row>
    <row r="52" spans="1:9" x14ac:dyDescent="0.3">
      <c r="A52" s="1">
        <v>70</v>
      </c>
      <c r="B52" s="1">
        <v>36.47</v>
      </c>
      <c r="C52" s="1">
        <f t="shared" si="0"/>
        <v>488.25966041063759</v>
      </c>
      <c r="D52" s="1">
        <f t="shared" si="2"/>
        <v>35320.703834105523</v>
      </c>
      <c r="E52" s="1">
        <f t="shared" si="3"/>
        <v>679.29616589447687</v>
      </c>
      <c r="F52" s="1" t="b">
        <f t="shared" si="1"/>
        <v>0</v>
      </c>
    </row>
    <row r="53" spans="1:9" x14ac:dyDescent="0.3">
      <c r="A53" s="1">
        <v>60</v>
      </c>
      <c r="B53" s="1">
        <v>34.116999999999997</v>
      </c>
      <c r="C53" s="1">
        <f t="shared" si="0"/>
        <v>475.41402626653354</v>
      </c>
      <c r="D53" s="1">
        <f t="shared" si="2"/>
        <v>35510.099863926196</v>
      </c>
      <c r="E53" s="1">
        <f t="shared" si="3"/>
        <v>489.90013607380388</v>
      </c>
      <c r="F53" s="1" t="b">
        <f t="shared" si="1"/>
        <v>0</v>
      </c>
    </row>
    <row r="54" spans="1:9" x14ac:dyDescent="0.3">
      <c r="A54" s="1">
        <v>50</v>
      </c>
      <c r="B54" s="1">
        <v>30.588000000000001</v>
      </c>
      <c r="C54" s="1">
        <f t="shared" si="0"/>
        <v>457.36725541810944</v>
      </c>
      <c r="D54" s="1">
        <f t="shared" si="2"/>
        <v>35776.181453315359</v>
      </c>
      <c r="E54" s="1">
        <f t="shared" si="3"/>
        <v>223.81854668464075</v>
      </c>
      <c r="F54" s="1" t="b">
        <f t="shared" si="1"/>
        <v>0</v>
      </c>
    </row>
    <row r="55" spans="1:9" x14ac:dyDescent="0.3">
      <c r="A55" s="2">
        <v>40</v>
      </c>
      <c r="B55" s="2">
        <v>27.058800000000002</v>
      </c>
      <c r="C55" s="2">
        <f t="shared" si="0"/>
        <v>440.63957862359962</v>
      </c>
      <c r="D55" s="2">
        <f t="shared" si="2"/>
        <v>36022.814319973615</v>
      </c>
      <c r="E55" s="2">
        <f t="shared" si="3"/>
        <v>-22.814319973615056</v>
      </c>
      <c r="F55" s="2" t="b">
        <f t="shared" si="1"/>
        <v>1</v>
      </c>
    </row>
    <row r="56" spans="1:9" x14ac:dyDescent="0.3">
      <c r="A56" s="1">
        <v>30</v>
      </c>
      <c r="B56" s="1">
        <v>24.706</v>
      </c>
      <c r="C56" s="1">
        <f t="shared" si="0"/>
        <v>430.15138664616347</v>
      </c>
      <c r="D56" s="1">
        <f t="shared" si="2"/>
        <v>36177.45222248893</v>
      </c>
      <c r="E56" s="1">
        <f t="shared" si="3"/>
        <v>-177.45222248892969</v>
      </c>
      <c r="F56" s="1" t="b">
        <f t="shared" si="1"/>
        <v>1</v>
      </c>
    </row>
    <row r="57" spans="1:9" x14ac:dyDescent="0.3">
      <c r="A57" s="1">
        <v>20</v>
      </c>
      <c r="B57" s="1">
        <v>21.175999999999998</v>
      </c>
      <c r="C57" s="1">
        <f t="shared" si="0"/>
        <v>415.3197392721089</v>
      </c>
      <c r="D57" s="1">
        <f t="shared" si="2"/>
        <v>36396.130031371991</v>
      </c>
      <c r="E57" s="1">
        <f t="shared" si="3"/>
        <v>-396.13003137199121</v>
      </c>
      <c r="F57" s="1" t="b">
        <f t="shared" si="1"/>
        <v>1</v>
      </c>
    </row>
    <row r="58" spans="1:9" x14ac:dyDescent="0.3">
      <c r="A58" s="1">
        <v>10</v>
      </c>
      <c r="B58" s="1">
        <v>17.646999999999998</v>
      </c>
      <c r="C58" s="1">
        <f t="shared" si="0"/>
        <v>401.48058454304214</v>
      </c>
      <c r="D58" s="1">
        <f t="shared" si="2"/>
        <v>36600.174528697353</v>
      </c>
      <c r="E58" s="1">
        <f t="shared" si="3"/>
        <v>-600.1745286973528</v>
      </c>
      <c r="F58" s="1" t="b">
        <f t="shared" si="1"/>
        <v>1</v>
      </c>
    </row>
    <row r="59" spans="1:9" x14ac:dyDescent="0.3">
      <c r="A59" s="1">
        <v>0</v>
      </c>
      <c r="B59" s="1">
        <v>14.118</v>
      </c>
      <c r="C59" s="1">
        <f t="shared" si="0"/>
        <v>388.53397663657267</v>
      </c>
      <c r="D59" s="1">
        <f t="shared" si="2"/>
        <v>36791.05931567034</v>
      </c>
      <c r="E59" s="1">
        <f t="shared" si="3"/>
        <v>-791.05931567033986</v>
      </c>
      <c r="F59" s="1" t="b">
        <f t="shared" si="1"/>
        <v>1</v>
      </c>
    </row>
    <row r="60" spans="1:9" x14ac:dyDescent="0.3">
      <c r="A60" s="1">
        <v>-10</v>
      </c>
      <c r="B60" s="1">
        <v>10.58</v>
      </c>
      <c r="C60" s="1">
        <f t="shared" si="0"/>
        <v>376.36628133198758</v>
      </c>
      <c r="D60" s="1">
        <f t="shared" ref="D60:D67" si="4">C60*($C$7-B60)</f>
        <v>36970.459815241142</v>
      </c>
      <c r="E60" s="1">
        <f t="shared" si="3"/>
        <v>-970.45981524114177</v>
      </c>
      <c r="F60" s="1" t="b">
        <f t="shared" si="1"/>
        <v>1</v>
      </c>
    </row>
    <row r="61" spans="1:9" x14ac:dyDescent="0.3">
      <c r="A61" s="1">
        <v>-20</v>
      </c>
      <c r="B61" s="1">
        <v>5.88</v>
      </c>
      <c r="C61" s="1">
        <f t="shared" si="0"/>
        <v>361.3338908102042</v>
      </c>
      <c r="D61" s="1">
        <f t="shared" si="4"/>
        <v>37192.097381094318</v>
      </c>
      <c r="E61" s="1">
        <f t="shared" si="3"/>
        <v>-1192.0973810943178</v>
      </c>
      <c r="F61" s="1" t="b">
        <f t="shared" si="1"/>
        <v>1</v>
      </c>
    </row>
    <row r="62" spans="1:9" x14ac:dyDescent="0.3">
      <c r="A62" s="1">
        <v>-30</v>
      </c>
      <c r="B62" s="1">
        <v>3.5289999999999999</v>
      </c>
      <c r="C62" s="1">
        <f t="shared" si="0"/>
        <v>354.25623217829587</v>
      </c>
      <c r="D62" s="1">
        <f t="shared" si="4"/>
        <v>37296.450379963171</v>
      </c>
      <c r="E62" s="1">
        <f t="shared" si="3"/>
        <v>-1296.4503799631711</v>
      </c>
      <c r="F62" s="1" t="b">
        <f t="shared" si="1"/>
        <v>1</v>
      </c>
    </row>
    <row r="63" spans="1:9" x14ac:dyDescent="0.3">
      <c r="A63" s="1">
        <v>-40</v>
      </c>
      <c r="B63" s="1">
        <v>1.1759999999999999</v>
      </c>
      <c r="C63" s="1">
        <f t="shared" si="0"/>
        <v>347.44483703933685</v>
      </c>
      <c r="D63" s="1">
        <f t="shared" si="4"/>
        <v>37396.877589891985</v>
      </c>
      <c r="E63" s="1">
        <f t="shared" si="3"/>
        <v>-1396.8775898919848</v>
      </c>
      <c r="F63" s="1" t="b">
        <f t="shared" si="1"/>
        <v>1</v>
      </c>
    </row>
    <row r="64" spans="1:9" x14ac:dyDescent="0.3">
      <c r="A64" s="1">
        <v>-50</v>
      </c>
      <c r="B64" s="1">
        <v>-2.3519999999999999</v>
      </c>
      <c r="C64" s="1">
        <f t="shared" si="0"/>
        <v>337.70911844709519</v>
      </c>
      <c r="D64" s="1">
        <f t="shared" si="4"/>
        <v>37540.421024815994</v>
      </c>
      <c r="E64" s="1">
        <f t="shared" si="3"/>
        <v>-1540.4210248159943</v>
      </c>
      <c r="F64" s="1" t="b">
        <f t="shared" si="1"/>
        <v>1</v>
      </c>
    </row>
    <row r="65" spans="1:6" x14ac:dyDescent="0.3">
      <c r="A65" s="1">
        <v>-60</v>
      </c>
      <c r="B65" s="1">
        <v>-4.7060000000000004</v>
      </c>
      <c r="C65" s="1">
        <f t="shared" si="0"/>
        <v>331.51102656479003</v>
      </c>
      <c r="D65" s="1">
        <f t="shared" si="4"/>
        <v>37631.805691528709</v>
      </c>
      <c r="E65" s="1">
        <f t="shared" si="3"/>
        <v>-1631.8056915287088</v>
      </c>
      <c r="F65" s="1" t="b">
        <f t="shared" si="1"/>
        <v>1</v>
      </c>
    </row>
    <row r="66" spans="1:6" x14ac:dyDescent="0.3">
      <c r="A66" s="1">
        <v>-70</v>
      </c>
      <c r="B66" s="1">
        <v>-7.0590000000000002</v>
      </c>
      <c r="C66" s="1">
        <f t="shared" si="0"/>
        <v>325.5388381493417</v>
      </c>
      <c r="D66" s="1">
        <f t="shared" si="4"/>
        <v>37719.859637526075</v>
      </c>
      <c r="E66" s="1">
        <f t="shared" si="3"/>
        <v>-1719.8596375260749</v>
      </c>
      <c r="F66" s="1" t="b">
        <f t="shared" si="1"/>
        <v>1</v>
      </c>
    </row>
    <row r="67" spans="1:6" x14ac:dyDescent="0.3">
      <c r="A67" s="1">
        <v>-80</v>
      </c>
      <c r="B67" s="1">
        <v>-8.2349999999999994</v>
      </c>
      <c r="C67" s="1">
        <f t="shared" si="0"/>
        <v>322.63393960952715</v>
      </c>
      <c r="D67" s="1">
        <f t="shared" si="4"/>
        <v>37762.689461597103</v>
      </c>
      <c r="E67" s="1">
        <f t="shared" si="3"/>
        <v>-1762.6894615971032</v>
      </c>
      <c r="F67" s="1" t="b">
        <f t="shared" si="1"/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D971-400E-4B23-AAFA-CBA573CBBFAF}">
  <dimension ref="A1:I125"/>
  <sheetViews>
    <sheetView topLeftCell="A13" workbookViewId="0">
      <selection activeCell="B30" sqref="B30"/>
    </sheetView>
  </sheetViews>
  <sheetFormatPr defaultRowHeight="14.4" x14ac:dyDescent="0.3"/>
  <cols>
    <col min="1" max="1" width="56.109375" bestFit="1" customWidth="1"/>
    <col min="2" max="2" width="34.77734375" bestFit="1" customWidth="1"/>
    <col min="3" max="3" width="14.6640625" bestFit="1" customWidth="1"/>
    <col min="4" max="4" width="11.5546875" bestFit="1" customWidth="1"/>
    <col min="5" max="5" width="10" bestFit="1" customWidth="1"/>
  </cols>
  <sheetData>
    <row r="1" spans="1:5" x14ac:dyDescent="0.3">
      <c r="A1" s="5" t="s">
        <v>61</v>
      </c>
    </row>
    <row r="2" spans="1:5" x14ac:dyDescent="0.3">
      <c r="A2" s="4" t="s">
        <v>0</v>
      </c>
      <c r="B2" s="4" t="s">
        <v>1</v>
      </c>
      <c r="C2" s="4" t="s">
        <v>60</v>
      </c>
    </row>
    <row r="3" spans="1:5" x14ac:dyDescent="0.3">
      <c r="A3" s="1" t="s">
        <v>2</v>
      </c>
      <c r="B3" s="1" t="s">
        <v>15</v>
      </c>
      <c r="C3" s="1">
        <v>50</v>
      </c>
    </row>
    <row r="4" spans="1:5" x14ac:dyDescent="0.3">
      <c r="A4" s="1" t="s">
        <v>3</v>
      </c>
      <c r="B4" s="1" t="s">
        <v>16</v>
      </c>
      <c r="C4" s="1">
        <v>250</v>
      </c>
    </row>
    <row r="6" spans="1:5" x14ac:dyDescent="0.3">
      <c r="A6" s="4" t="s">
        <v>5</v>
      </c>
      <c r="B6" s="4" t="s">
        <v>4</v>
      </c>
      <c r="C6" s="4" t="s">
        <v>6</v>
      </c>
      <c r="D6" s="4" t="s">
        <v>17</v>
      </c>
      <c r="E6" s="4" t="s">
        <v>22</v>
      </c>
    </row>
    <row r="7" spans="1:5" x14ac:dyDescent="0.3">
      <c r="A7" s="1" t="s">
        <v>11</v>
      </c>
      <c r="B7" s="1" t="s">
        <v>7</v>
      </c>
      <c r="C7" s="1">
        <v>108.81</v>
      </c>
      <c r="D7" s="1" t="s">
        <v>18</v>
      </c>
      <c r="E7" s="1">
        <v>40.229999999999997</v>
      </c>
    </row>
    <row r="8" spans="1:5" x14ac:dyDescent="0.3">
      <c r="A8" s="1" t="s">
        <v>12</v>
      </c>
      <c r="B8" s="1" t="s">
        <v>8</v>
      </c>
      <c r="C8" s="1">
        <v>123.554</v>
      </c>
      <c r="D8" s="1" t="s">
        <v>19</v>
      </c>
      <c r="E8" s="1">
        <v>153.001</v>
      </c>
    </row>
    <row r="9" spans="1:5" x14ac:dyDescent="0.3">
      <c r="A9" s="1" t="s">
        <v>13</v>
      </c>
      <c r="B9" s="1" t="s">
        <v>9</v>
      </c>
      <c r="C9" s="1">
        <v>60.616</v>
      </c>
      <c r="D9" s="1" t="s">
        <v>20</v>
      </c>
      <c r="E9" s="1">
        <v>141.79</v>
      </c>
    </row>
    <row r="10" spans="1:5" x14ac:dyDescent="0.3">
      <c r="A10" s="1" t="s">
        <v>14</v>
      </c>
      <c r="B10" s="1" t="s">
        <v>10</v>
      </c>
      <c r="C10" s="1">
        <f>C9</f>
        <v>60.616</v>
      </c>
      <c r="D10" s="1" t="s">
        <v>21</v>
      </c>
      <c r="E10" s="1"/>
    </row>
    <row r="13" spans="1:5" x14ac:dyDescent="0.3">
      <c r="A13" s="6" t="s">
        <v>23</v>
      </c>
    </row>
    <row r="15" spans="1:5" x14ac:dyDescent="0.3">
      <c r="A15" s="5" t="s">
        <v>44</v>
      </c>
    </row>
    <row r="16" spans="1:5" x14ac:dyDescent="0.3">
      <c r="A16" s="1" t="s">
        <v>25</v>
      </c>
      <c r="B16" s="1">
        <v>3</v>
      </c>
    </row>
    <row r="17" spans="1:7" x14ac:dyDescent="0.3">
      <c r="A17" s="1" t="s">
        <v>45</v>
      </c>
      <c r="B17" s="1">
        <f>B16*12000</f>
        <v>36000</v>
      </c>
    </row>
    <row r="19" spans="1:7" x14ac:dyDescent="0.3">
      <c r="A19" s="7" t="s">
        <v>26</v>
      </c>
      <c r="B19" s="7">
        <f>ROUNDUP(B17/(C7-C10),0)</f>
        <v>747</v>
      </c>
    </row>
    <row r="20" spans="1:7" x14ac:dyDescent="0.3">
      <c r="A20" t="s">
        <v>27</v>
      </c>
    </row>
    <row r="21" spans="1:7" x14ac:dyDescent="0.3">
      <c r="A21" s="7" t="s">
        <v>53</v>
      </c>
      <c r="B21" s="7">
        <f>B19*(C8-C7)</f>
        <v>11013.768</v>
      </c>
    </row>
    <row r="22" spans="1:7" x14ac:dyDescent="0.3">
      <c r="A22" s="7"/>
      <c r="B22" s="7"/>
    </row>
    <row r="23" spans="1:7" x14ac:dyDescent="0.3">
      <c r="A23" s="6" t="s">
        <v>28</v>
      </c>
    </row>
    <row r="24" spans="1:7" x14ac:dyDescent="0.3">
      <c r="C24" s="5" t="s">
        <v>33</v>
      </c>
      <c r="D24" t="s">
        <v>65</v>
      </c>
    </row>
    <row r="25" spans="1:7" x14ac:dyDescent="0.3">
      <c r="A25" s="4" t="s">
        <v>31</v>
      </c>
      <c r="B25" s="1">
        <v>26.436</v>
      </c>
      <c r="C25" s="1">
        <v>109</v>
      </c>
      <c r="D25">
        <v>67</v>
      </c>
      <c r="F25">
        <v>128</v>
      </c>
      <c r="G25">
        <v>30.766999999999999</v>
      </c>
    </row>
    <row r="26" spans="1:7" x14ac:dyDescent="0.3">
      <c r="A26" s="4" t="s">
        <v>32</v>
      </c>
      <c r="B26" s="1">
        <v>34.6</v>
      </c>
      <c r="C26" s="1">
        <v>144</v>
      </c>
      <c r="F26">
        <v>129</v>
      </c>
      <c r="G26">
        <v>31.007999999999999</v>
      </c>
    </row>
    <row r="27" spans="1:7" x14ac:dyDescent="0.3">
      <c r="F27">
        <f>FORECAST(G27,F25:F26,G25:G26)</f>
        <v>143.90456431535273</v>
      </c>
      <c r="G27">
        <v>34.6</v>
      </c>
    </row>
    <row r="29" spans="1:7" x14ac:dyDescent="0.3">
      <c r="A29" s="7" t="s">
        <v>29</v>
      </c>
      <c r="B29" s="7">
        <f>ROUNDUP(B19*(C8-C9),0)</f>
        <v>47015</v>
      </c>
    </row>
    <row r="30" spans="1:7" x14ac:dyDescent="0.3">
      <c r="A30" s="7" t="s">
        <v>30</v>
      </c>
      <c r="B30" s="7">
        <f>ROUNDUP(B19*(C8-C9)/(B26-B25),0)</f>
        <v>5759</v>
      </c>
    </row>
    <row r="31" spans="1:7" x14ac:dyDescent="0.3">
      <c r="A31" s="7" t="s">
        <v>49</v>
      </c>
      <c r="B31" s="7">
        <f>ROUND(13.34*B30*1/60,0)</f>
        <v>1280</v>
      </c>
    </row>
    <row r="33" spans="1:6" x14ac:dyDescent="0.3">
      <c r="A33" s="6" t="s">
        <v>34</v>
      </c>
    </row>
    <row r="35" spans="1:6" x14ac:dyDescent="0.3">
      <c r="A35" s="1" t="s">
        <v>35</v>
      </c>
      <c r="B35" s="1">
        <v>4.5999999999999999E-3</v>
      </c>
    </row>
    <row r="36" spans="1:6" x14ac:dyDescent="0.3">
      <c r="A36" s="1" t="s">
        <v>36</v>
      </c>
      <c r="B36" s="1">
        <v>1.4246E-2</v>
      </c>
    </row>
    <row r="37" spans="1:6" x14ac:dyDescent="0.3">
      <c r="A37" s="1" t="s">
        <v>37</v>
      </c>
      <c r="B37" s="1">
        <f>0.8*(B36-B35)+B35</f>
        <v>1.2316799999999999E-2</v>
      </c>
    </row>
    <row r="39" spans="1:6" x14ac:dyDescent="0.3">
      <c r="A39" t="s">
        <v>38</v>
      </c>
    </row>
    <row r="40" spans="1:6" x14ac:dyDescent="0.3">
      <c r="A40" t="s">
        <v>64</v>
      </c>
      <c r="B40">
        <v>76</v>
      </c>
    </row>
    <row r="41" spans="1:6" x14ac:dyDescent="0.3">
      <c r="A41" t="s">
        <v>40</v>
      </c>
      <c r="B41">
        <v>1050.29</v>
      </c>
    </row>
    <row r="42" spans="1:6" x14ac:dyDescent="0.3">
      <c r="A42" s="7" t="s">
        <v>85</v>
      </c>
      <c r="B42" s="7">
        <f>C46*(C8-B46)</f>
        <v>46675.991664847992</v>
      </c>
    </row>
    <row r="43" spans="1:6" x14ac:dyDescent="0.3">
      <c r="A43" s="7" t="s">
        <v>84</v>
      </c>
      <c r="B43" s="7">
        <f>B42/B41</f>
        <v>44.441051199999997</v>
      </c>
    </row>
    <row r="44" spans="1:6" x14ac:dyDescent="0.3">
      <c r="A44" s="1" t="s">
        <v>42</v>
      </c>
      <c r="B44" s="1" t="s">
        <v>41</v>
      </c>
      <c r="C44" s="1" t="s">
        <v>43</v>
      </c>
      <c r="D44" s="1" t="s">
        <v>24</v>
      </c>
      <c r="E44" s="1" t="s">
        <v>46</v>
      </c>
      <c r="F44" s="1" t="s">
        <v>47</v>
      </c>
    </row>
    <row r="45" spans="1:6" x14ac:dyDescent="0.3">
      <c r="A45" s="1">
        <v>141.79</v>
      </c>
      <c r="B45" s="1">
        <v>60.616</v>
      </c>
      <c r="C45" s="1">
        <f t="shared" ref="C45:C67" si="0">$B$30*($B$37-$B$35)*$B$41/($C$8-B45)</f>
        <v>741.61860346448873</v>
      </c>
      <c r="D45" s="1">
        <f>C45*($C$7-B45)</f>
        <v>35741.566975367568</v>
      </c>
      <c r="E45" s="1">
        <f>$B$17-D45</f>
        <v>258.43302463243162</v>
      </c>
      <c r="F45" s="1" t="b">
        <f>IF(E45&lt;0,TRUE,FALSE)</f>
        <v>0</v>
      </c>
    </row>
    <row r="46" spans="1:6" x14ac:dyDescent="0.3">
      <c r="A46" s="2">
        <v>130</v>
      </c>
      <c r="B46" s="2">
        <v>56.47</v>
      </c>
      <c r="C46" s="2">
        <f t="shared" si="0"/>
        <v>695.78426547087224</v>
      </c>
      <c r="D46" s="2">
        <f>C46*($C$7-B46)</f>
        <v>36417.348454745457</v>
      </c>
      <c r="E46" s="2">
        <f>$B$17-D46</f>
        <v>-417.34845474545727</v>
      </c>
      <c r="F46" s="2" t="b">
        <f t="shared" ref="F46:F67" si="1">IF(E46&lt;0,TRUE,FALSE)</f>
        <v>1</v>
      </c>
    </row>
    <row r="47" spans="1:6" x14ac:dyDescent="0.3">
      <c r="A47" s="1">
        <v>120</v>
      </c>
      <c r="B47" s="1">
        <v>52.941000000000003</v>
      </c>
      <c r="C47" s="1">
        <f t="shared" si="0"/>
        <v>661.01131045059685</v>
      </c>
      <c r="D47" s="1">
        <f t="shared" ref="D47:D67" si="2">C47*($C$7-B47)</f>
        <v>36930.040903564397</v>
      </c>
      <c r="E47" s="1">
        <f t="shared" ref="E47:E67" si="3">$B$17-D47</f>
        <v>-930.04090356439701</v>
      </c>
      <c r="F47" s="1" t="b">
        <f t="shared" si="1"/>
        <v>1</v>
      </c>
    </row>
    <row r="48" spans="1:6" x14ac:dyDescent="0.3">
      <c r="A48" s="1">
        <v>110</v>
      </c>
      <c r="B48" s="1">
        <v>49.41</v>
      </c>
      <c r="C48" s="1">
        <f t="shared" si="0"/>
        <v>629.53160963595155</v>
      </c>
      <c r="D48" s="1">
        <f t="shared" si="2"/>
        <v>37394.177612375526</v>
      </c>
      <c r="E48" s="1">
        <f t="shared" si="3"/>
        <v>-1394.1776123755262</v>
      </c>
      <c r="F48" s="1" t="b">
        <f t="shared" si="1"/>
        <v>1</v>
      </c>
    </row>
    <row r="49" spans="1:9" x14ac:dyDescent="0.3">
      <c r="A49" s="1">
        <v>100</v>
      </c>
      <c r="B49" s="1">
        <v>47.058999999999997</v>
      </c>
      <c r="C49" s="1">
        <f t="shared" si="0"/>
        <v>610.18356317207645</v>
      </c>
      <c r="D49" s="1">
        <f t="shared" si="2"/>
        <v>37679.445209438898</v>
      </c>
      <c r="E49" s="1">
        <f t="shared" si="3"/>
        <v>-1679.445209438898</v>
      </c>
      <c r="F49" s="1" t="b">
        <f t="shared" si="1"/>
        <v>1</v>
      </c>
      <c r="H49" s="1" t="s">
        <v>63</v>
      </c>
      <c r="I49" s="1" t="s">
        <v>62</v>
      </c>
    </row>
    <row r="50" spans="1:9" x14ac:dyDescent="0.3">
      <c r="A50" s="1">
        <v>90</v>
      </c>
      <c r="B50" s="1">
        <v>44.118000000000002</v>
      </c>
      <c r="C50" s="1">
        <f t="shared" si="0"/>
        <v>587.59242238843831</v>
      </c>
      <c r="D50" s="1">
        <f t="shared" si="2"/>
        <v>38012.528989152852</v>
      </c>
      <c r="E50" s="1">
        <f t="shared" si="3"/>
        <v>-2012.5289891528519</v>
      </c>
      <c r="F50" s="1" t="b">
        <f t="shared" si="1"/>
        <v>1</v>
      </c>
      <c r="H50" s="1">
        <f>FORECAST(0,A45:A46,E45:E46)</f>
        <v>137.28125648838244</v>
      </c>
      <c r="I50" s="1">
        <v>0</v>
      </c>
    </row>
    <row r="51" spans="1:9" x14ac:dyDescent="0.3">
      <c r="A51" s="1">
        <v>80</v>
      </c>
      <c r="B51" s="1">
        <v>40</v>
      </c>
      <c r="C51" s="1">
        <f t="shared" si="0"/>
        <v>558.63264074548181</v>
      </c>
      <c r="D51" s="1">
        <f t="shared" si="2"/>
        <v>38439.512009696606</v>
      </c>
      <c r="E51" s="1">
        <f t="shared" si="3"/>
        <v>-2439.5120096966057</v>
      </c>
      <c r="F51" s="1" t="b">
        <f t="shared" si="1"/>
        <v>1</v>
      </c>
    </row>
    <row r="52" spans="1:9" x14ac:dyDescent="0.3">
      <c r="A52" s="1">
        <v>70</v>
      </c>
      <c r="B52" s="1">
        <v>36.47</v>
      </c>
      <c r="C52" s="1">
        <f t="shared" si="0"/>
        <v>535.98814552441308</v>
      </c>
      <c r="D52" s="1">
        <f t="shared" si="2"/>
        <v>38773.382447236043</v>
      </c>
      <c r="E52" s="1">
        <f t="shared" si="3"/>
        <v>-2773.3824472360429</v>
      </c>
      <c r="F52" s="1" t="b">
        <f t="shared" si="1"/>
        <v>1</v>
      </c>
    </row>
    <row r="53" spans="1:9" x14ac:dyDescent="0.3">
      <c r="A53" s="1">
        <v>60</v>
      </c>
      <c r="B53" s="1">
        <v>34.116999999999997</v>
      </c>
      <c r="C53" s="1">
        <f t="shared" si="0"/>
        <v>521.88682161575173</v>
      </c>
      <c r="D53" s="1">
        <f t="shared" si="2"/>
        <v>38981.292366945352</v>
      </c>
      <c r="E53" s="1">
        <f t="shared" si="3"/>
        <v>-2981.2923669453521</v>
      </c>
      <c r="F53" s="1" t="b">
        <f t="shared" si="1"/>
        <v>1</v>
      </c>
    </row>
    <row r="54" spans="1:9" x14ac:dyDescent="0.3">
      <c r="A54" s="1">
        <v>50</v>
      </c>
      <c r="B54" s="1">
        <v>30.588000000000001</v>
      </c>
      <c r="C54" s="1">
        <f t="shared" si="0"/>
        <v>502.0759381370392</v>
      </c>
      <c r="D54" s="1">
        <f t="shared" si="2"/>
        <v>39273.384032955488</v>
      </c>
      <c r="E54" s="1">
        <f t="shared" si="3"/>
        <v>-3273.3840329554878</v>
      </c>
      <c r="F54" s="1" t="b">
        <f t="shared" si="1"/>
        <v>1</v>
      </c>
    </row>
    <row r="55" spans="1:9" x14ac:dyDescent="0.3">
      <c r="A55" s="1">
        <v>40</v>
      </c>
      <c r="B55" s="1">
        <v>27.058800000000002</v>
      </c>
      <c r="C55" s="1">
        <f t="shared" si="0"/>
        <v>483.71309313673629</v>
      </c>
      <c r="D55" s="1">
        <f t="shared" si="2"/>
        <v>39544.125819639958</v>
      </c>
      <c r="E55" s="1">
        <f t="shared" si="3"/>
        <v>-3544.1258196399576</v>
      </c>
      <c r="F55" s="1" t="b">
        <f t="shared" si="1"/>
        <v>1</v>
      </c>
    </row>
    <row r="56" spans="1:9" x14ac:dyDescent="0.3">
      <c r="A56" s="1">
        <v>30</v>
      </c>
      <c r="B56" s="1">
        <v>24.706</v>
      </c>
      <c r="C56" s="1">
        <f t="shared" si="0"/>
        <v>472.1996566935901</v>
      </c>
      <c r="D56" s="1">
        <f t="shared" si="2"/>
        <v>39713.879926557704</v>
      </c>
      <c r="E56" s="1">
        <f t="shared" si="3"/>
        <v>-3713.8799265577036</v>
      </c>
      <c r="F56" s="1" t="b">
        <f t="shared" si="1"/>
        <v>1</v>
      </c>
    </row>
    <row r="57" spans="1:9" x14ac:dyDescent="0.3">
      <c r="A57" s="1">
        <v>20</v>
      </c>
      <c r="B57" s="1">
        <v>21.175999999999998</v>
      </c>
      <c r="C57" s="1">
        <f t="shared" si="0"/>
        <v>455.9181822740041</v>
      </c>
      <c r="D57" s="1">
        <f t="shared" si="2"/>
        <v>39953.933985400072</v>
      </c>
      <c r="E57" s="1">
        <f t="shared" si="3"/>
        <v>-3953.9339854000718</v>
      </c>
      <c r="F57" s="1" t="b">
        <f t="shared" si="1"/>
        <v>1</v>
      </c>
    </row>
    <row r="58" spans="1:9" x14ac:dyDescent="0.3">
      <c r="A58" s="1">
        <v>10</v>
      </c>
      <c r="B58" s="1">
        <v>17.646999999999998</v>
      </c>
      <c r="C58" s="1">
        <f t="shared" si="0"/>
        <v>440.72621889816526</v>
      </c>
      <c r="D58" s="1">
        <f t="shared" si="2"/>
        <v>40177.924293413445</v>
      </c>
      <c r="E58" s="1">
        <f t="shared" si="3"/>
        <v>-4177.9242934134454</v>
      </c>
      <c r="F58" s="1" t="b">
        <f t="shared" si="1"/>
        <v>1</v>
      </c>
    </row>
    <row r="59" spans="1:9" x14ac:dyDescent="0.3">
      <c r="A59" s="1">
        <v>0</v>
      </c>
      <c r="B59" s="1">
        <v>14.118</v>
      </c>
      <c r="C59" s="1">
        <f t="shared" si="0"/>
        <v>426.51405081369921</v>
      </c>
      <c r="D59" s="1">
        <f t="shared" si="2"/>
        <v>40387.468499650808</v>
      </c>
      <c r="E59" s="1">
        <f t="shared" si="3"/>
        <v>-4387.4684996508076</v>
      </c>
      <c r="F59" s="1" t="b">
        <f t="shared" si="1"/>
        <v>1</v>
      </c>
    </row>
    <row r="60" spans="1:9" x14ac:dyDescent="0.3">
      <c r="A60" s="1">
        <v>-10</v>
      </c>
      <c r="B60" s="1">
        <v>10.58</v>
      </c>
      <c r="C60" s="1">
        <f t="shared" si="0"/>
        <v>413.15693579804196</v>
      </c>
      <c r="D60" s="1">
        <f t="shared" si="2"/>
        <v>40584.405803441667</v>
      </c>
      <c r="E60" s="1">
        <f t="shared" si="3"/>
        <v>-4584.4058034416666</v>
      </c>
      <c r="F60" s="1" t="b">
        <f t="shared" si="1"/>
        <v>1</v>
      </c>
    </row>
    <row r="61" spans="1:9" x14ac:dyDescent="0.3">
      <c r="A61" s="1">
        <v>-20</v>
      </c>
      <c r="B61" s="1">
        <v>5.88</v>
      </c>
      <c r="C61" s="1">
        <f t="shared" si="0"/>
        <v>396.65509513442214</v>
      </c>
      <c r="D61" s="1">
        <f t="shared" si="2"/>
        <v>40827.708942186073</v>
      </c>
      <c r="E61" s="1">
        <f t="shared" si="3"/>
        <v>-4827.7089421860728</v>
      </c>
      <c r="F61" s="1" t="b">
        <f t="shared" si="1"/>
        <v>1</v>
      </c>
    </row>
    <row r="62" spans="1:9" x14ac:dyDescent="0.3">
      <c r="A62" s="1">
        <v>-30</v>
      </c>
      <c r="B62" s="1">
        <v>3.5289999999999999</v>
      </c>
      <c r="C62" s="1">
        <f t="shared" si="0"/>
        <v>388.88557937802949</v>
      </c>
      <c r="D62" s="1">
        <f t="shared" si="2"/>
        <v>40942.262682498324</v>
      </c>
      <c r="E62" s="1">
        <f t="shared" si="3"/>
        <v>-4942.2626824983236</v>
      </c>
      <c r="F62" s="1" t="b">
        <f t="shared" si="1"/>
        <v>1</v>
      </c>
    </row>
    <row r="63" spans="1:9" x14ac:dyDescent="0.3">
      <c r="A63" s="1">
        <v>-40</v>
      </c>
      <c r="B63" s="1">
        <v>1.1759999999999999</v>
      </c>
      <c r="C63" s="1">
        <f t="shared" si="0"/>
        <v>381.40835497269109</v>
      </c>
      <c r="D63" s="1">
        <f t="shared" si="2"/>
        <v>41052.506879130633</v>
      </c>
      <c r="E63" s="1">
        <f t="shared" si="3"/>
        <v>-5052.506879130633</v>
      </c>
      <c r="F63" s="1" t="b">
        <f t="shared" si="1"/>
        <v>1</v>
      </c>
    </row>
    <row r="64" spans="1:9" x14ac:dyDescent="0.3">
      <c r="A64" s="1">
        <v>-50</v>
      </c>
      <c r="B64" s="1">
        <v>-2.3519999999999999</v>
      </c>
      <c r="C64" s="1">
        <f t="shared" si="0"/>
        <v>370.72094788848818</v>
      </c>
      <c r="D64" s="1">
        <f t="shared" si="2"/>
        <v>41210.082009180129</v>
      </c>
      <c r="E64" s="1">
        <f t="shared" si="3"/>
        <v>-5210.0820091801288</v>
      </c>
      <c r="F64" s="1" t="b">
        <f t="shared" si="1"/>
        <v>1</v>
      </c>
    </row>
    <row r="65" spans="1:6" x14ac:dyDescent="0.3">
      <c r="A65" s="1">
        <v>-60</v>
      </c>
      <c r="B65" s="1">
        <v>-4.7060000000000004</v>
      </c>
      <c r="C65" s="1">
        <f t="shared" si="0"/>
        <v>363.91697851900824</v>
      </c>
      <c r="D65" s="1">
        <f t="shared" si="2"/>
        <v>41310.39973356374</v>
      </c>
      <c r="E65" s="1">
        <f t="shared" si="3"/>
        <v>-5310.3997335637396</v>
      </c>
      <c r="F65" s="1" t="b">
        <f t="shared" si="1"/>
        <v>1</v>
      </c>
    </row>
    <row r="66" spans="1:6" x14ac:dyDescent="0.3">
      <c r="A66" s="1">
        <v>-70</v>
      </c>
      <c r="B66" s="1">
        <v>-7.0590000000000002</v>
      </c>
      <c r="C66" s="1">
        <f t="shared" si="0"/>
        <v>357.360995190739</v>
      </c>
      <c r="D66" s="1">
        <f t="shared" si="2"/>
        <v>41407.061151755741</v>
      </c>
      <c r="E66" s="1">
        <f t="shared" si="3"/>
        <v>-5407.0611517557409</v>
      </c>
      <c r="F66" s="1" t="b">
        <f t="shared" si="1"/>
        <v>1</v>
      </c>
    </row>
    <row r="67" spans="1:6" x14ac:dyDescent="0.3">
      <c r="A67" s="1">
        <v>-80</v>
      </c>
      <c r="B67" s="1">
        <v>-8.2349999999999994</v>
      </c>
      <c r="C67" s="1">
        <f t="shared" si="0"/>
        <v>354.17213625452803</v>
      </c>
      <c r="D67" s="1">
        <f t="shared" si="2"/>
        <v>41454.077687911231</v>
      </c>
      <c r="E67" s="1">
        <f t="shared" si="3"/>
        <v>-5454.0776879112309</v>
      </c>
      <c r="F67" s="1" t="b">
        <f t="shared" si="1"/>
        <v>1</v>
      </c>
    </row>
    <row r="69" spans="1:6" x14ac:dyDescent="0.3">
      <c r="A69" t="s">
        <v>38</v>
      </c>
    </row>
    <row r="70" spans="1:6" x14ac:dyDescent="0.3">
      <c r="A70" t="s">
        <v>64</v>
      </c>
      <c r="B70">
        <v>77</v>
      </c>
    </row>
    <row r="71" spans="1:6" x14ac:dyDescent="0.3">
      <c r="A71" t="s">
        <v>40</v>
      </c>
      <c r="B71">
        <v>1049.72</v>
      </c>
    </row>
    <row r="73" spans="1:6" x14ac:dyDescent="0.3">
      <c r="A73" s="1" t="s">
        <v>42</v>
      </c>
      <c r="B73" s="1" t="s">
        <v>41</v>
      </c>
      <c r="C73" s="1" t="s">
        <v>43</v>
      </c>
      <c r="D73" s="1" t="s">
        <v>24</v>
      </c>
      <c r="E73" s="1" t="s">
        <v>46</v>
      </c>
      <c r="F73" s="1" t="s">
        <v>47</v>
      </c>
    </row>
    <row r="74" spans="1:6" x14ac:dyDescent="0.3">
      <c r="A74" s="1">
        <v>141.79</v>
      </c>
      <c r="B74" s="1">
        <v>60.616</v>
      </c>
      <c r="C74" s="1">
        <f>$B$30*($B$37-$B$35)*$B$71/($C$8-B74)</f>
        <v>741.21612166996078</v>
      </c>
      <c r="D74" s="1">
        <f>C74*($C$7-B74)</f>
        <v>35722.16976776209</v>
      </c>
      <c r="E74" s="1">
        <f>$B$17-D74</f>
        <v>277.83023223790951</v>
      </c>
      <c r="F74" s="1" t="b">
        <f>IF(E74&lt;0,TRUE,FALSE)</f>
        <v>0</v>
      </c>
    </row>
    <row r="75" spans="1:6" x14ac:dyDescent="0.3">
      <c r="A75" s="1">
        <v>130</v>
      </c>
      <c r="B75" s="1">
        <v>56.47</v>
      </c>
      <c r="C75" s="1">
        <f t="shared" ref="C75:C96" si="4">$B$30*($B$37-$B$35)*$B$71/($C$8-B75)</f>
        <v>695.406658303977</v>
      </c>
      <c r="D75" s="1">
        <f>C75*($C$7-B75)</f>
        <v>36397.584495630159</v>
      </c>
      <c r="E75" s="1">
        <f>$B$17-D75</f>
        <v>-397.58449563015893</v>
      </c>
      <c r="F75" s="1" t="b">
        <f t="shared" ref="F75:F96" si="5">IF(E75&lt;0,TRUE,FALSE)</f>
        <v>1</v>
      </c>
    </row>
    <row r="76" spans="1:6" x14ac:dyDescent="0.3">
      <c r="A76" s="1">
        <v>120</v>
      </c>
      <c r="B76" s="1">
        <v>52.941000000000003</v>
      </c>
      <c r="C76" s="1">
        <f t="shared" si="4"/>
        <v>660.65257481857441</v>
      </c>
      <c r="D76" s="1">
        <f t="shared" ref="D76:D96" si="6">C76*($C$7-B76)</f>
        <v>36909.998702538935</v>
      </c>
      <c r="E76" s="1">
        <f t="shared" ref="E76:E96" si="7">$B$17-D76</f>
        <v>-909.99870253893459</v>
      </c>
      <c r="F76" s="1" t="b">
        <f t="shared" si="5"/>
        <v>1</v>
      </c>
    </row>
    <row r="77" spans="1:6" x14ac:dyDescent="0.3">
      <c r="A77" s="1">
        <v>110</v>
      </c>
      <c r="B77" s="1">
        <v>49.41</v>
      </c>
      <c r="C77" s="1">
        <f t="shared" si="4"/>
        <v>629.18995826586092</v>
      </c>
      <c r="D77" s="1">
        <f t="shared" si="6"/>
        <v>37373.883520992145</v>
      </c>
      <c r="E77" s="1">
        <f t="shared" si="7"/>
        <v>-1373.8835209921453</v>
      </c>
      <c r="F77" s="1" t="b">
        <f t="shared" si="5"/>
        <v>1</v>
      </c>
    </row>
    <row r="78" spans="1:6" x14ac:dyDescent="0.3">
      <c r="A78" s="1">
        <v>100</v>
      </c>
      <c r="B78" s="1">
        <v>47.058999999999997</v>
      </c>
      <c r="C78" s="1">
        <f t="shared" si="4"/>
        <v>609.85241212711935</v>
      </c>
      <c r="D78" s="1">
        <f t="shared" si="6"/>
        <v>37658.996301261752</v>
      </c>
      <c r="E78" s="1">
        <f t="shared" si="7"/>
        <v>-1658.9963012617518</v>
      </c>
      <c r="F78" s="1" t="b">
        <f t="shared" si="5"/>
        <v>1</v>
      </c>
    </row>
    <row r="79" spans="1:6" x14ac:dyDescent="0.3">
      <c r="A79" s="1">
        <v>90</v>
      </c>
      <c r="B79" s="1">
        <v>44.118000000000002</v>
      </c>
      <c r="C79" s="1">
        <f t="shared" si="4"/>
        <v>587.27353171942184</v>
      </c>
      <c r="D79" s="1">
        <f t="shared" si="6"/>
        <v>37991.899313992843</v>
      </c>
      <c r="E79" s="1">
        <f t="shared" si="7"/>
        <v>-1991.8993139928425</v>
      </c>
      <c r="F79" s="1" t="b">
        <f t="shared" si="5"/>
        <v>1</v>
      </c>
    </row>
    <row r="80" spans="1:6" x14ac:dyDescent="0.3">
      <c r="A80" s="1">
        <v>80</v>
      </c>
      <c r="B80" s="1">
        <v>40</v>
      </c>
      <c r="C80" s="1">
        <f t="shared" si="4"/>
        <v>558.32946675998744</v>
      </c>
      <c r="D80" s="1">
        <f t="shared" si="6"/>
        <v>38418.650607754738</v>
      </c>
      <c r="E80" s="1">
        <f t="shared" si="7"/>
        <v>-2418.6506077547383</v>
      </c>
      <c r="F80" s="1" t="b">
        <f t="shared" si="5"/>
        <v>1</v>
      </c>
    </row>
    <row r="81" spans="1:6" x14ac:dyDescent="0.3">
      <c r="A81" s="1">
        <v>70</v>
      </c>
      <c r="B81" s="1">
        <v>36.47</v>
      </c>
      <c r="C81" s="1">
        <f t="shared" si="4"/>
        <v>535.69726087069944</v>
      </c>
      <c r="D81" s="1">
        <f t="shared" si="6"/>
        <v>38752.339851386401</v>
      </c>
      <c r="E81" s="1">
        <f t="shared" si="7"/>
        <v>-2752.3398513864013</v>
      </c>
      <c r="F81" s="1" t="b">
        <f t="shared" si="5"/>
        <v>1</v>
      </c>
    </row>
    <row r="82" spans="1:6" x14ac:dyDescent="0.3">
      <c r="A82" s="1">
        <v>60</v>
      </c>
      <c r="B82" s="1">
        <v>34.116999999999997</v>
      </c>
      <c r="C82" s="1">
        <f t="shared" si="4"/>
        <v>521.60358985279015</v>
      </c>
      <c r="D82" s="1">
        <f t="shared" si="6"/>
        <v>38960.136936874464</v>
      </c>
      <c r="E82" s="1">
        <f t="shared" si="7"/>
        <v>-2960.1369368744636</v>
      </c>
      <c r="F82" s="1" t="b">
        <f t="shared" si="5"/>
        <v>1</v>
      </c>
    </row>
    <row r="83" spans="1:6" x14ac:dyDescent="0.3">
      <c r="A83" s="1">
        <v>50</v>
      </c>
      <c r="B83" s="1">
        <v>30.588000000000001</v>
      </c>
      <c r="C83" s="1">
        <f t="shared" si="4"/>
        <v>501.80345788421562</v>
      </c>
      <c r="D83" s="1">
        <f t="shared" si="6"/>
        <v>39252.070082619117</v>
      </c>
      <c r="E83" s="1">
        <f t="shared" si="7"/>
        <v>-3252.0700826191169</v>
      </c>
      <c r="F83" s="1" t="b">
        <f t="shared" si="5"/>
        <v>1</v>
      </c>
    </row>
    <row r="84" spans="1:6" x14ac:dyDescent="0.3">
      <c r="A84" s="2">
        <v>40</v>
      </c>
      <c r="B84" s="2">
        <v>27.058800000000002</v>
      </c>
      <c r="C84" s="1">
        <f t="shared" si="4"/>
        <v>483.4505785330669</v>
      </c>
      <c r="D84" s="2">
        <f t="shared" si="6"/>
        <v>39522.66493577246</v>
      </c>
      <c r="E84" s="2">
        <f t="shared" si="7"/>
        <v>-3522.66493577246</v>
      </c>
      <c r="F84" s="2" t="b">
        <f t="shared" si="5"/>
        <v>1</v>
      </c>
    </row>
    <row r="85" spans="1:6" x14ac:dyDescent="0.3">
      <c r="A85" s="1">
        <v>30</v>
      </c>
      <c r="B85" s="1">
        <v>24.706</v>
      </c>
      <c r="C85" s="1">
        <f t="shared" si="4"/>
        <v>471.94339051537708</v>
      </c>
      <c r="D85" s="1">
        <f t="shared" si="6"/>
        <v>39692.326915905272</v>
      </c>
      <c r="E85" s="1">
        <f t="shared" si="7"/>
        <v>-3692.3269159052725</v>
      </c>
      <c r="F85" s="1" t="b">
        <f t="shared" si="5"/>
        <v>1</v>
      </c>
    </row>
    <row r="86" spans="1:6" x14ac:dyDescent="0.3">
      <c r="A86" s="1">
        <v>20</v>
      </c>
      <c r="B86" s="1">
        <v>21.175999999999998</v>
      </c>
      <c r="C86" s="1">
        <f t="shared" si="4"/>
        <v>455.67075217003651</v>
      </c>
      <c r="D86" s="1">
        <f t="shared" si="6"/>
        <v>39932.250695668983</v>
      </c>
      <c r="E86" s="1">
        <f t="shared" si="7"/>
        <v>-3932.2506956689831</v>
      </c>
      <c r="F86" s="1" t="b">
        <f t="shared" si="5"/>
        <v>1</v>
      </c>
    </row>
    <row r="87" spans="1:6" x14ac:dyDescent="0.3">
      <c r="A87" s="1">
        <v>10</v>
      </c>
      <c r="B87" s="1">
        <v>17.646999999999998</v>
      </c>
      <c r="C87" s="1">
        <f t="shared" si="4"/>
        <v>440.48703358289811</v>
      </c>
      <c r="D87" s="1">
        <f t="shared" si="6"/>
        <v>40156.119442517745</v>
      </c>
      <c r="E87" s="1">
        <f t="shared" si="7"/>
        <v>-4156.1194425177455</v>
      </c>
      <c r="F87" s="1" t="b">
        <f t="shared" si="5"/>
        <v>1</v>
      </c>
    </row>
    <row r="88" spans="1:6" x14ac:dyDescent="0.3">
      <c r="A88" s="1">
        <v>0</v>
      </c>
      <c r="B88" s="1">
        <v>14.118</v>
      </c>
      <c r="C88" s="1">
        <f t="shared" si="4"/>
        <v>426.28257854512219</v>
      </c>
      <c r="D88" s="1">
        <f t="shared" si="6"/>
        <v>40365.549927594715</v>
      </c>
      <c r="E88" s="1">
        <f t="shared" si="7"/>
        <v>-4365.549927594715</v>
      </c>
      <c r="F88" s="1" t="b">
        <f t="shared" si="5"/>
        <v>1</v>
      </c>
    </row>
    <row r="89" spans="1:6" x14ac:dyDescent="0.3">
      <c r="A89" s="1">
        <v>-10</v>
      </c>
      <c r="B89" s="1">
        <v>10.58</v>
      </c>
      <c r="C89" s="1">
        <f t="shared" si="4"/>
        <v>412.93271253265345</v>
      </c>
      <c r="D89" s="1">
        <f t="shared" si="6"/>
        <v>40562.380352082553</v>
      </c>
      <c r="E89" s="1">
        <f t="shared" si="7"/>
        <v>-4562.3803520825531</v>
      </c>
      <c r="F89" s="1" t="b">
        <f t="shared" si="5"/>
        <v>1</v>
      </c>
    </row>
    <row r="90" spans="1:6" x14ac:dyDescent="0.3">
      <c r="A90" s="1">
        <v>-20</v>
      </c>
      <c r="B90" s="1">
        <v>5.88</v>
      </c>
      <c r="C90" s="1">
        <f t="shared" si="4"/>
        <v>396.43982753763783</v>
      </c>
      <c r="D90" s="1">
        <f t="shared" si="6"/>
        <v>40805.551448449063</v>
      </c>
      <c r="E90" s="1">
        <f t="shared" si="7"/>
        <v>-4805.5514484490632</v>
      </c>
      <c r="F90" s="1" t="b">
        <f t="shared" si="5"/>
        <v>1</v>
      </c>
    </row>
    <row r="91" spans="1:6" x14ac:dyDescent="0.3">
      <c r="A91" s="1">
        <v>-30</v>
      </c>
      <c r="B91" s="1">
        <v>3.5289999999999999</v>
      </c>
      <c r="C91" s="1">
        <f t="shared" si="4"/>
        <v>388.67452835379288</v>
      </c>
      <c r="D91" s="1">
        <f t="shared" si="6"/>
        <v>40920.043019615674</v>
      </c>
      <c r="E91" s="1">
        <f t="shared" si="7"/>
        <v>-4920.043019615674</v>
      </c>
      <c r="F91" s="1" t="b">
        <f t="shared" si="5"/>
        <v>1</v>
      </c>
    </row>
    <row r="92" spans="1:6" x14ac:dyDescent="0.3">
      <c r="A92" s="1">
        <v>-40</v>
      </c>
      <c r="B92" s="1">
        <v>1.1759999999999999</v>
      </c>
      <c r="C92" s="1">
        <f t="shared" si="4"/>
        <v>381.20136189236621</v>
      </c>
      <c r="D92" s="1">
        <f t="shared" si="6"/>
        <v>41030.227385922946</v>
      </c>
      <c r="E92" s="1">
        <f t="shared" si="7"/>
        <v>-5030.2273859229463</v>
      </c>
      <c r="F92" s="1" t="b">
        <f t="shared" si="5"/>
        <v>1</v>
      </c>
    </row>
    <row r="93" spans="1:6" x14ac:dyDescent="0.3">
      <c r="A93" s="1">
        <v>-50</v>
      </c>
      <c r="B93" s="1">
        <v>-2.3519999999999999</v>
      </c>
      <c r="C93" s="1">
        <f t="shared" si="4"/>
        <v>370.51975494149599</v>
      </c>
      <c r="D93" s="1">
        <f t="shared" si="6"/>
        <v>41187.71699880658</v>
      </c>
      <c r="E93" s="1">
        <f t="shared" si="7"/>
        <v>-5187.7169988065798</v>
      </c>
      <c r="F93" s="1" t="b">
        <f t="shared" si="5"/>
        <v>1</v>
      </c>
    </row>
    <row r="94" spans="1:6" x14ac:dyDescent="0.3">
      <c r="A94" s="1">
        <v>-60</v>
      </c>
      <c r="B94" s="1">
        <v>-4.7060000000000004</v>
      </c>
      <c r="C94" s="1">
        <f t="shared" si="4"/>
        <v>363.7194781355372</v>
      </c>
      <c r="D94" s="1">
        <f t="shared" si="6"/>
        <v>41287.98028003364</v>
      </c>
      <c r="E94" s="1">
        <f t="shared" si="7"/>
        <v>-5287.9802800336402</v>
      </c>
      <c r="F94" s="1" t="b">
        <f t="shared" si="5"/>
        <v>1</v>
      </c>
    </row>
    <row r="95" spans="1:6" x14ac:dyDescent="0.3">
      <c r="A95" s="1">
        <v>-70</v>
      </c>
      <c r="B95" s="1">
        <v>-7.0590000000000002</v>
      </c>
      <c r="C95" s="1">
        <f t="shared" si="4"/>
        <v>357.16705278696605</v>
      </c>
      <c r="D95" s="1">
        <f t="shared" si="6"/>
        <v>41384.589239372966</v>
      </c>
      <c r="E95" s="1">
        <f t="shared" si="7"/>
        <v>-5384.5892393729664</v>
      </c>
      <c r="F95" s="1" t="b">
        <f t="shared" si="5"/>
        <v>1</v>
      </c>
    </row>
    <row r="96" spans="1:6" x14ac:dyDescent="0.3">
      <c r="A96" s="1">
        <v>-80</v>
      </c>
      <c r="B96" s="1">
        <v>-8.2349999999999994</v>
      </c>
      <c r="C96" s="1">
        <f t="shared" si="4"/>
        <v>353.97992446762629</v>
      </c>
      <c r="D96" s="1">
        <f t="shared" si="6"/>
        <v>41431.580259313319</v>
      </c>
      <c r="E96" s="1">
        <f t="shared" si="7"/>
        <v>-5431.5802593133194</v>
      </c>
      <c r="F96" s="1" t="b">
        <f t="shared" si="5"/>
        <v>1</v>
      </c>
    </row>
    <row r="98" spans="1:6" x14ac:dyDescent="0.3">
      <c r="A98" t="s">
        <v>38</v>
      </c>
    </row>
    <row r="99" spans="1:6" x14ac:dyDescent="0.3">
      <c r="A99" t="s">
        <v>64</v>
      </c>
      <c r="B99">
        <v>78</v>
      </c>
    </row>
    <row r="100" spans="1:6" x14ac:dyDescent="0.3">
      <c r="A100" t="s">
        <v>40</v>
      </c>
      <c r="B100">
        <v>1049.1600000000001</v>
      </c>
    </row>
    <row r="102" spans="1:6" x14ac:dyDescent="0.3">
      <c r="A102" s="1" t="s">
        <v>42</v>
      </c>
      <c r="B102" s="1" t="s">
        <v>41</v>
      </c>
      <c r="C102" s="1" t="s">
        <v>43</v>
      </c>
      <c r="D102" s="1" t="s">
        <v>24</v>
      </c>
      <c r="E102" s="1" t="s">
        <v>46</v>
      </c>
      <c r="F102" s="1" t="s">
        <v>47</v>
      </c>
    </row>
    <row r="103" spans="1:6" x14ac:dyDescent="0.3">
      <c r="A103" s="1">
        <v>141.79</v>
      </c>
      <c r="B103" s="1">
        <v>60.616</v>
      </c>
      <c r="C103" s="1">
        <f>$B$30*($B$37-$B$35)*$B$100/($C$8-B103)</f>
        <v>740.82070095954748</v>
      </c>
      <c r="D103" s="1">
        <f>C103*($C$7-B103)</f>
        <v>35703.112862044436</v>
      </c>
      <c r="E103" s="1">
        <f>$B$17-D103</f>
        <v>296.88713795556396</v>
      </c>
      <c r="F103" s="1" t="b">
        <f>IF(E103&lt;0,TRUE,FALSE)</f>
        <v>0</v>
      </c>
    </row>
    <row r="104" spans="1:6" x14ac:dyDescent="0.3">
      <c r="A104" s="1">
        <v>130</v>
      </c>
      <c r="B104" s="1">
        <v>56.47</v>
      </c>
      <c r="C104" s="1">
        <f t="shared" ref="C104:C125" si="8">$B$30*($B$37-$B$35)*$B$100/($C$8-B104)</f>
        <v>695.03567582422045</v>
      </c>
      <c r="D104" s="1">
        <f>C104*($C$7-B104)</f>
        <v>36378.167272639701</v>
      </c>
      <c r="E104" s="1">
        <f>$B$17-D104</f>
        <v>-378.16727263970097</v>
      </c>
      <c r="F104" s="1" t="b">
        <f t="shared" ref="F104:F125" si="9">IF(E104&lt;0,TRUE,FALSE)</f>
        <v>1</v>
      </c>
    </row>
    <row r="105" spans="1:6" x14ac:dyDescent="0.3">
      <c r="A105" s="1">
        <v>120</v>
      </c>
      <c r="B105" s="1">
        <v>52.941000000000003</v>
      </c>
      <c r="C105" s="1">
        <f t="shared" si="8"/>
        <v>660.3001327941314</v>
      </c>
      <c r="D105" s="1">
        <f t="shared" ref="D105:D125" si="10">C105*($C$7-B105)</f>
        <v>36890.308119075329</v>
      </c>
      <c r="E105" s="1">
        <f t="shared" ref="E105:E125" si="11">$B$17-D105</f>
        <v>-890.30811907532916</v>
      </c>
      <c r="F105" s="1" t="b">
        <f t="shared" si="9"/>
        <v>1</v>
      </c>
    </row>
    <row r="106" spans="1:6" x14ac:dyDescent="0.3">
      <c r="A106" s="1">
        <v>110</v>
      </c>
      <c r="B106" s="1">
        <v>49.41</v>
      </c>
      <c r="C106" s="1">
        <f t="shared" si="8"/>
        <v>628.85430077945625</v>
      </c>
      <c r="D106" s="1">
        <f t="shared" si="10"/>
        <v>37353.945466299701</v>
      </c>
      <c r="E106" s="1">
        <f t="shared" si="11"/>
        <v>-1353.9454662997014</v>
      </c>
      <c r="F106" s="1" t="b">
        <f t="shared" si="9"/>
        <v>1</v>
      </c>
    </row>
    <row r="107" spans="1:6" x14ac:dyDescent="0.3">
      <c r="A107" s="1">
        <v>100</v>
      </c>
      <c r="B107" s="1">
        <v>47.058999999999997</v>
      </c>
      <c r="C107" s="1">
        <f t="shared" si="8"/>
        <v>609.52707074961768</v>
      </c>
      <c r="D107" s="1">
        <f t="shared" si="10"/>
        <v>37638.906145859641</v>
      </c>
      <c r="E107" s="1">
        <f t="shared" si="11"/>
        <v>-1638.9061458596407</v>
      </c>
      <c r="F107" s="1" t="b">
        <f t="shared" si="9"/>
        <v>1</v>
      </c>
    </row>
    <row r="108" spans="1:6" x14ac:dyDescent="0.3">
      <c r="A108" s="1">
        <v>90</v>
      </c>
      <c r="B108" s="1">
        <v>44.118000000000002</v>
      </c>
      <c r="C108" s="1">
        <f t="shared" si="8"/>
        <v>586.96023562354594</v>
      </c>
      <c r="D108" s="1">
        <f t="shared" si="10"/>
        <v>37971.631562958435</v>
      </c>
      <c r="E108" s="1">
        <f t="shared" si="11"/>
        <v>-1971.6315629584351</v>
      </c>
      <c r="F108" s="1" t="b">
        <f t="shared" si="9"/>
        <v>1</v>
      </c>
    </row>
    <row r="109" spans="1:6" x14ac:dyDescent="0.3">
      <c r="A109" s="1">
        <v>80</v>
      </c>
      <c r="B109" s="1">
        <v>40</v>
      </c>
      <c r="C109" s="1">
        <f t="shared" si="8"/>
        <v>558.03161161634398</v>
      </c>
      <c r="D109" s="1">
        <f t="shared" si="10"/>
        <v>38398.155195320629</v>
      </c>
      <c r="E109" s="1">
        <f t="shared" si="11"/>
        <v>-2398.155195320629</v>
      </c>
      <c r="F109" s="1" t="b">
        <f t="shared" si="9"/>
        <v>1</v>
      </c>
    </row>
    <row r="110" spans="1:6" x14ac:dyDescent="0.3">
      <c r="A110" s="1">
        <v>70</v>
      </c>
      <c r="B110" s="1">
        <v>36.47</v>
      </c>
      <c r="C110" s="1">
        <f t="shared" si="8"/>
        <v>535.41147945652472</v>
      </c>
      <c r="D110" s="1">
        <f t="shared" si="10"/>
        <v>38731.666423884999</v>
      </c>
      <c r="E110" s="1">
        <f t="shared" si="11"/>
        <v>-2731.6664238849989</v>
      </c>
      <c r="F110" s="1" t="b">
        <f t="shared" si="9"/>
        <v>1</v>
      </c>
    </row>
    <row r="111" spans="1:6" x14ac:dyDescent="0.3">
      <c r="A111" s="1">
        <v>60</v>
      </c>
      <c r="B111" s="1">
        <v>34.116999999999997</v>
      </c>
      <c r="C111" s="1">
        <f t="shared" si="8"/>
        <v>521.32532706812617</v>
      </c>
      <c r="D111" s="1">
        <f t="shared" si="10"/>
        <v>38939.352654699556</v>
      </c>
      <c r="E111" s="1">
        <f t="shared" si="11"/>
        <v>-2939.3526546995563</v>
      </c>
      <c r="F111" s="1" t="b">
        <f t="shared" si="9"/>
        <v>1</v>
      </c>
    </row>
    <row r="112" spans="1:6" x14ac:dyDescent="0.3">
      <c r="A112" s="1">
        <v>50</v>
      </c>
      <c r="B112" s="1">
        <v>30.588000000000001</v>
      </c>
      <c r="C112" s="1">
        <f t="shared" si="8"/>
        <v>501.53575798670482</v>
      </c>
      <c r="D112" s="1">
        <f t="shared" si="10"/>
        <v>39231.130061236028</v>
      </c>
      <c r="E112" s="1">
        <f t="shared" si="11"/>
        <v>-3231.1300612360283</v>
      </c>
      <c r="F112" s="1" t="b">
        <f t="shared" si="9"/>
        <v>1</v>
      </c>
    </row>
    <row r="113" spans="1:6" x14ac:dyDescent="0.3">
      <c r="A113" s="2">
        <v>40</v>
      </c>
      <c r="B113" s="2">
        <v>27.058800000000002</v>
      </c>
      <c r="C113" s="1">
        <f t="shared" si="8"/>
        <v>483.19266944876023</v>
      </c>
      <c r="D113" s="2">
        <f t="shared" si="10"/>
        <v>39501.580558639485</v>
      </c>
      <c r="E113" s="2">
        <f t="shared" si="11"/>
        <v>-3501.5805586394854</v>
      </c>
      <c r="F113" s="2" t="b">
        <f t="shared" si="9"/>
        <v>1</v>
      </c>
    </row>
    <row r="114" spans="1:6" x14ac:dyDescent="0.3">
      <c r="A114" s="1">
        <v>30</v>
      </c>
      <c r="B114" s="1">
        <v>24.706</v>
      </c>
      <c r="C114" s="1">
        <f t="shared" si="8"/>
        <v>471.69162023502759</v>
      </c>
      <c r="D114" s="1">
        <f t="shared" si="10"/>
        <v>39671.152028246761</v>
      </c>
      <c r="E114" s="1">
        <f t="shared" si="11"/>
        <v>-3671.1520282467609</v>
      </c>
      <c r="F114" s="1" t="b">
        <f t="shared" si="9"/>
        <v>1</v>
      </c>
    </row>
    <row r="115" spans="1:6" x14ac:dyDescent="0.3">
      <c r="A115" s="1">
        <v>20</v>
      </c>
      <c r="B115" s="1">
        <v>21.175999999999998</v>
      </c>
      <c r="C115" s="1">
        <f t="shared" si="8"/>
        <v>455.4276629450859</v>
      </c>
      <c r="D115" s="1">
        <f t="shared" si="10"/>
        <v>39910.94781452966</v>
      </c>
      <c r="E115" s="1">
        <f t="shared" si="11"/>
        <v>-3910.9478145296598</v>
      </c>
      <c r="F115" s="1" t="b">
        <f t="shared" si="9"/>
        <v>1</v>
      </c>
    </row>
    <row r="116" spans="1:6" x14ac:dyDescent="0.3">
      <c r="A116" s="1">
        <v>10</v>
      </c>
      <c r="B116" s="1">
        <v>17.646999999999998</v>
      </c>
      <c r="C116" s="1">
        <f t="shared" si="8"/>
        <v>440.25204450123221</v>
      </c>
      <c r="D116" s="1">
        <f t="shared" si="10"/>
        <v>40134.697132865833</v>
      </c>
      <c r="E116" s="1">
        <f t="shared" si="11"/>
        <v>-4134.6971328658328</v>
      </c>
      <c r="F116" s="1" t="b">
        <f t="shared" si="9"/>
        <v>1</v>
      </c>
    </row>
    <row r="117" spans="1:6" x14ac:dyDescent="0.3">
      <c r="A117" s="1">
        <v>0</v>
      </c>
      <c r="B117" s="1">
        <v>14.118</v>
      </c>
      <c r="C117" s="1">
        <f t="shared" si="8"/>
        <v>426.05516719353778</v>
      </c>
      <c r="D117" s="1">
        <f t="shared" si="10"/>
        <v>40344.015891890485</v>
      </c>
      <c r="E117" s="1">
        <f t="shared" si="11"/>
        <v>-4344.0158918904854</v>
      </c>
      <c r="F117" s="1" t="b">
        <f t="shared" si="9"/>
        <v>1</v>
      </c>
    </row>
    <row r="118" spans="1:6" x14ac:dyDescent="0.3">
      <c r="A118" s="1">
        <v>-10</v>
      </c>
      <c r="B118" s="1">
        <v>10.58</v>
      </c>
      <c r="C118" s="1">
        <f t="shared" si="8"/>
        <v>412.7124230087631</v>
      </c>
      <c r="D118" s="1">
        <f t="shared" si="10"/>
        <v>40540.7413121508</v>
      </c>
      <c r="E118" s="1">
        <f t="shared" si="11"/>
        <v>-4540.7413121507998</v>
      </c>
      <c r="F118" s="1" t="b">
        <f t="shared" si="9"/>
        <v>1</v>
      </c>
    </row>
    <row r="119" spans="1:6" x14ac:dyDescent="0.3">
      <c r="A119" s="1">
        <v>-20</v>
      </c>
      <c r="B119" s="1">
        <v>5.88</v>
      </c>
      <c r="C119" s="1">
        <f t="shared" si="8"/>
        <v>396.22833656535852</v>
      </c>
      <c r="D119" s="1">
        <f t="shared" si="10"/>
        <v>40783.782682672354</v>
      </c>
      <c r="E119" s="1">
        <f t="shared" si="11"/>
        <v>-4783.782682672354</v>
      </c>
      <c r="F119" s="1" t="b">
        <f t="shared" si="9"/>
        <v>1</v>
      </c>
    </row>
    <row r="120" spans="1:6" x14ac:dyDescent="0.3">
      <c r="A120" s="1">
        <v>-30</v>
      </c>
      <c r="B120" s="1">
        <v>3.5289999999999999</v>
      </c>
      <c r="C120" s="1">
        <f t="shared" si="8"/>
        <v>388.46717997910434</v>
      </c>
      <c r="D120" s="1">
        <f t="shared" si="10"/>
        <v>40898.213175380086</v>
      </c>
      <c r="E120" s="1">
        <f t="shared" si="11"/>
        <v>-4898.2131753800859</v>
      </c>
      <c r="F120" s="1" t="b">
        <f t="shared" si="9"/>
        <v>1</v>
      </c>
    </row>
    <row r="121" spans="1:6" x14ac:dyDescent="0.3">
      <c r="A121" s="1">
        <v>-40</v>
      </c>
      <c r="B121" s="1">
        <v>1.1759999999999999</v>
      </c>
      <c r="C121" s="1">
        <f t="shared" si="8"/>
        <v>380.99800026959099</v>
      </c>
      <c r="D121" s="1">
        <f t="shared" si="10"/>
        <v>41008.338761017156</v>
      </c>
      <c r="E121" s="1">
        <f t="shared" si="11"/>
        <v>-5008.3387610171558</v>
      </c>
      <c r="F121" s="1" t="b">
        <f t="shared" si="9"/>
        <v>1</v>
      </c>
    </row>
    <row r="122" spans="1:6" x14ac:dyDescent="0.3">
      <c r="A122" s="1">
        <v>-50</v>
      </c>
      <c r="B122" s="1">
        <v>-2.3519999999999999</v>
      </c>
      <c r="C122" s="1">
        <f t="shared" si="8"/>
        <v>370.32209169532825</v>
      </c>
      <c r="D122" s="1">
        <f t="shared" si="10"/>
        <v>41165.744357036085</v>
      </c>
      <c r="E122" s="1">
        <f t="shared" si="11"/>
        <v>-5165.7443570360847</v>
      </c>
      <c r="F122" s="1" t="b">
        <f t="shared" si="9"/>
        <v>1</v>
      </c>
    </row>
    <row r="123" spans="1:6" x14ac:dyDescent="0.3">
      <c r="A123" s="1">
        <v>-60</v>
      </c>
      <c r="B123" s="1">
        <v>-4.7060000000000004</v>
      </c>
      <c r="C123" s="1">
        <f t="shared" si="8"/>
        <v>363.52544267107442</v>
      </c>
      <c r="D123" s="1">
        <f t="shared" si="10"/>
        <v>41265.954150249687</v>
      </c>
      <c r="E123" s="1">
        <f t="shared" si="11"/>
        <v>-5265.9541502496868</v>
      </c>
      <c r="F123" s="1" t="b">
        <f t="shared" si="9"/>
        <v>1</v>
      </c>
    </row>
    <row r="124" spans="1:6" x14ac:dyDescent="0.3">
      <c r="A124" s="1">
        <v>-70</v>
      </c>
      <c r="B124" s="1">
        <v>-7.0590000000000002</v>
      </c>
      <c r="C124" s="1">
        <f t="shared" si="8"/>
        <v>356.97651288150496</v>
      </c>
      <c r="D124" s="1">
        <f t="shared" si="10"/>
        <v>41362.511571067102</v>
      </c>
      <c r="E124" s="1">
        <f t="shared" si="11"/>
        <v>-5362.5115710671016</v>
      </c>
      <c r="F124" s="1" t="b">
        <f t="shared" si="9"/>
        <v>1</v>
      </c>
    </row>
    <row r="125" spans="1:6" x14ac:dyDescent="0.3">
      <c r="A125" s="1">
        <v>-80</v>
      </c>
      <c r="B125" s="1">
        <v>-8.2349999999999994</v>
      </c>
      <c r="C125" s="1">
        <f t="shared" si="8"/>
        <v>353.79108481733687</v>
      </c>
      <c r="D125" s="1">
        <f t="shared" si="10"/>
        <v>41409.477522445195</v>
      </c>
      <c r="E125" s="1">
        <f t="shared" si="11"/>
        <v>-5409.4775224451951</v>
      </c>
      <c r="F125" s="1" t="b">
        <f t="shared" si="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CD6B-4C60-485D-84F0-F93A1C62BF76}">
  <dimension ref="A1:O45"/>
  <sheetViews>
    <sheetView topLeftCell="A13" workbookViewId="0">
      <selection activeCell="D44" sqref="D44"/>
    </sheetView>
  </sheetViews>
  <sheetFormatPr defaultRowHeight="14.4" x14ac:dyDescent="0.3"/>
  <cols>
    <col min="1" max="1" width="34.33203125" bestFit="1" customWidth="1"/>
    <col min="2" max="2" width="13.21875" bestFit="1" customWidth="1"/>
    <col min="3" max="3" width="39.44140625" bestFit="1" customWidth="1"/>
    <col min="4" max="4" width="14" bestFit="1" customWidth="1"/>
    <col min="5" max="5" width="14.88671875" bestFit="1" customWidth="1"/>
    <col min="6" max="6" width="13.33203125" bestFit="1" customWidth="1"/>
    <col min="7" max="7" width="18.21875" customWidth="1"/>
    <col min="8" max="8" width="12.77734375" bestFit="1" customWidth="1"/>
    <col min="9" max="9" width="15.6640625" bestFit="1" customWidth="1"/>
    <col min="10" max="10" width="14" bestFit="1" customWidth="1"/>
    <col min="11" max="11" width="15.88671875" bestFit="1" customWidth="1"/>
    <col min="12" max="12" width="16.44140625" bestFit="1" customWidth="1"/>
    <col min="13" max="13" width="14.21875" bestFit="1" customWidth="1"/>
    <col min="14" max="14" width="14.88671875" bestFit="1" customWidth="1"/>
    <col min="15" max="15" width="15.109375" bestFit="1" customWidth="1"/>
  </cols>
  <sheetData>
    <row r="1" spans="1:15" x14ac:dyDescent="0.3">
      <c r="A1" s="1"/>
      <c r="B1" s="1"/>
      <c r="C1" s="1" t="s">
        <v>33</v>
      </c>
      <c r="E1" s="3" t="s">
        <v>105</v>
      </c>
      <c r="F1" s="1">
        <v>846.6</v>
      </c>
    </row>
    <row r="2" spans="1:15" x14ac:dyDescent="0.3">
      <c r="A2" s="1" t="s">
        <v>31</v>
      </c>
      <c r="B2" s="1">
        <v>21.626000000000001</v>
      </c>
      <c r="C2" s="1">
        <v>90</v>
      </c>
      <c r="E2" t="s">
        <v>106</v>
      </c>
      <c r="F2">
        <v>0.155</v>
      </c>
    </row>
    <row r="3" spans="1:15" x14ac:dyDescent="0.3">
      <c r="A3" s="1" t="s">
        <v>32</v>
      </c>
      <c r="B3" s="1">
        <v>25.954999999999998</v>
      </c>
      <c r="C3" s="1">
        <v>120</v>
      </c>
      <c r="E3" t="s">
        <v>107</v>
      </c>
      <c r="F3">
        <v>0.48099999999999998</v>
      </c>
    </row>
    <row r="4" spans="1:15" x14ac:dyDescent="0.3">
      <c r="A4" s="1" t="s">
        <v>30</v>
      </c>
      <c r="B4" s="1"/>
      <c r="C4" s="1"/>
    </row>
    <row r="5" spans="1:15" x14ac:dyDescent="0.3">
      <c r="A5" s="1" t="s">
        <v>49</v>
      </c>
      <c r="B5" s="1"/>
      <c r="C5" s="1"/>
    </row>
    <row r="7" spans="1:15" x14ac:dyDescent="0.3">
      <c r="A7" s="4" t="s">
        <v>5</v>
      </c>
      <c r="B7" s="4" t="s">
        <v>4</v>
      </c>
      <c r="C7" s="4" t="s">
        <v>6</v>
      </c>
      <c r="D7" s="4" t="s">
        <v>17</v>
      </c>
      <c r="E7" s="4" t="s">
        <v>22</v>
      </c>
    </row>
    <row r="8" spans="1:15" x14ac:dyDescent="0.3">
      <c r="A8" s="1" t="s">
        <v>11</v>
      </c>
      <c r="B8" s="1" t="s">
        <v>7</v>
      </c>
      <c r="C8" s="1">
        <v>108.81</v>
      </c>
      <c r="D8" s="1" t="s">
        <v>18</v>
      </c>
      <c r="E8" s="1">
        <v>40.229999999999997</v>
      </c>
    </row>
    <row r="9" spans="1:15" x14ac:dyDescent="0.3">
      <c r="A9" s="1" t="s">
        <v>12</v>
      </c>
      <c r="B9" s="1" t="s">
        <v>8</v>
      </c>
      <c r="C9" s="1">
        <v>123.554</v>
      </c>
      <c r="D9" s="1" t="s">
        <v>19</v>
      </c>
      <c r="E9" s="1">
        <v>153.001</v>
      </c>
    </row>
    <row r="10" spans="1:15" x14ac:dyDescent="0.3">
      <c r="A10" s="1" t="s">
        <v>13</v>
      </c>
      <c r="B10" s="1" t="s">
        <v>9</v>
      </c>
      <c r="C10" s="1">
        <v>60.616</v>
      </c>
      <c r="D10" s="1" t="s">
        <v>20</v>
      </c>
      <c r="E10" s="1">
        <v>141.79</v>
      </c>
      <c r="G10" s="24" t="s">
        <v>53</v>
      </c>
      <c r="H10" s="25"/>
      <c r="I10">
        <f>ROUNDUP('calculation- Alburquerque '!B21,0)</f>
        <v>11014</v>
      </c>
    </row>
    <row r="11" spans="1:15" x14ac:dyDescent="0.3">
      <c r="A11" s="1" t="s">
        <v>14</v>
      </c>
      <c r="B11" s="1" t="s">
        <v>10</v>
      </c>
      <c r="C11" s="1">
        <f>C10</f>
        <v>60.616</v>
      </c>
      <c r="D11" s="1" t="s">
        <v>21</v>
      </c>
      <c r="E11" s="1"/>
    </row>
    <row r="13" spans="1:15" s="5" customFormat="1" x14ac:dyDescent="0.3">
      <c r="A13" s="4" t="s">
        <v>48</v>
      </c>
      <c r="B13" s="4" t="s">
        <v>66</v>
      </c>
      <c r="C13" s="4" t="s">
        <v>50</v>
      </c>
      <c r="D13" s="4" t="s">
        <v>51</v>
      </c>
      <c r="E13" s="4" t="s">
        <v>52</v>
      </c>
      <c r="F13" s="4" t="s">
        <v>41</v>
      </c>
      <c r="G13" s="4" t="s">
        <v>43</v>
      </c>
      <c r="H13" s="4" t="s">
        <v>54</v>
      </c>
      <c r="I13" s="4" t="s">
        <v>55</v>
      </c>
      <c r="J13" s="4" t="s">
        <v>56</v>
      </c>
      <c r="K13" s="4" t="s">
        <v>57</v>
      </c>
      <c r="L13" s="4" t="s">
        <v>59</v>
      </c>
      <c r="M13" s="4" t="s">
        <v>58</v>
      </c>
      <c r="N13" s="4" t="s">
        <v>69</v>
      </c>
      <c r="O13" s="4" t="s">
        <v>70</v>
      </c>
    </row>
    <row r="14" spans="1:15" x14ac:dyDescent="0.3">
      <c r="A14" s="1">
        <v>1</v>
      </c>
      <c r="B14" s="1" t="s">
        <v>67</v>
      </c>
      <c r="C14" s="1">
        <v>76</v>
      </c>
      <c r="D14" s="1">
        <f>'calculation- Alburquerque '!B41</f>
        <v>1050.29</v>
      </c>
      <c r="E14" s="1">
        <f>'calculation- Alburquerque '!A55</f>
        <v>40</v>
      </c>
      <c r="F14" s="1">
        <f>'calculation- Alburquerque '!B55</f>
        <v>27.058800000000002</v>
      </c>
      <c r="G14" s="1">
        <f>ROUNDUP('calculation- Alburquerque '!C55,0)</f>
        <v>441</v>
      </c>
      <c r="H14" s="1">
        <f>ROUNDUP(G14*($C$9-$C$8),0)</f>
        <v>6503</v>
      </c>
      <c r="I14" s="1">
        <f>$I$10-H14</f>
        <v>4511</v>
      </c>
      <c r="J14" s="1">
        <f>I14/3412.142</f>
        <v>1.3220434554013287</v>
      </c>
      <c r="K14" s="1">
        <v>14</v>
      </c>
      <c r="L14" s="1">
        <f>K14*365</f>
        <v>5110</v>
      </c>
      <c r="M14" s="1">
        <f>L14*J14</f>
        <v>6755.6420571007902</v>
      </c>
      <c r="N14" s="1">
        <f>M14/$I$10</f>
        <v>0.61336862693851368</v>
      </c>
      <c r="O14" s="26">
        <f>ROUNDUP(AVERAGE(N14:N15),2)</f>
        <v>0.36</v>
      </c>
    </row>
    <row r="15" spans="1:15" x14ac:dyDescent="0.3">
      <c r="A15" s="1">
        <v>2</v>
      </c>
      <c r="B15" s="1" t="s">
        <v>68</v>
      </c>
      <c r="C15" s="1">
        <v>76</v>
      </c>
      <c r="D15" s="1">
        <f>'calculation- Las Vegas'!B41</f>
        <v>1050.29</v>
      </c>
      <c r="E15" s="1">
        <f>'calculation- Las Vegas'!A46</f>
        <v>130</v>
      </c>
      <c r="F15" s="1">
        <f>'calculation- Las Vegas'!B46</f>
        <v>56.47</v>
      </c>
      <c r="G15" s="1">
        <f>ROUNDUP('calculation- Las Vegas'!C46,0)</f>
        <v>696</v>
      </c>
      <c r="H15" s="1">
        <f>ROUNDUP(G15*($C$9-$C$8),0)</f>
        <v>10262</v>
      </c>
      <c r="I15" s="1">
        <f>$I$10-H15</f>
        <v>752</v>
      </c>
      <c r="J15" s="1">
        <f>I15/3412.142</f>
        <v>0.22038942107333165</v>
      </c>
      <c r="K15" s="1">
        <v>14</v>
      </c>
      <c r="L15" s="1">
        <f>K15*365</f>
        <v>5110</v>
      </c>
      <c r="M15" s="1">
        <f>L15*J15</f>
        <v>1126.1899416847248</v>
      </c>
      <c r="N15" s="1">
        <f>M15/$I$10</f>
        <v>0.10225076645040174</v>
      </c>
      <c r="O15" s="26"/>
    </row>
    <row r="18" spans="1:9" s="5" customFormat="1" x14ac:dyDescent="0.3">
      <c r="A18" s="4"/>
      <c r="B18" s="4"/>
      <c r="C18" s="4" t="s">
        <v>72</v>
      </c>
      <c r="D18" s="4" t="s">
        <v>74</v>
      </c>
    </row>
    <row r="19" spans="1:9" x14ac:dyDescent="0.3">
      <c r="A19" s="1" t="s">
        <v>71</v>
      </c>
      <c r="B19" s="1">
        <v>21.9</v>
      </c>
      <c r="C19" s="1" t="s">
        <v>73</v>
      </c>
      <c r="D19" s="8"/>
    </row>
    <row r="20" spans="1:9" x14ac:dyDescent="0.3">
      <c r="A20" s="1" t="s">
        <v>71</v>
      </c>
      <c r="B20" s="1">
        <f>B19/1000</f>
        <v>2.1899999999999999E-2</v>
      </c>
      <c r="C20" s="1" t="s">
        <v>80</v>
      </c>
      <c r="D20" s="9"/>
    </row>
    <row r="21" spans="1:9" x14ac:dyDescent="0.3">
      <c r="A21" s="1" t="s">
        <v>79</v>
      </c>
      <c r="B21" s="1">
        <f>B20*$F$1</f>
        <v>18.54054</v>
      </c>
      <c r="C21" s="1" t="s">
        <v>78</v>
      </c>
      <c r="D21" s="10" t="s">
        <v>81</v>
      </c>
    </row>
    <row r="22" spans="1:9" x14ac:dyDescent="0.3">
      <c r="A22" s="1" t="s">
        <v>75</v>
      </c>
      <c r="B22" s="1">
        <f>$I$29*B19</f>
        <v>5.2560000000000002</v>
      </c>
      <c r="C22" s="1" t="s">
        <v>73</v>
      </c>
      <c r="D22" s="9"/>
    </row>
    <row r="23" spans="1:9" x14ac:dyDescent="0.3">
      <c r="A23" s="1" t="s">
        <v>75</v>
      </c>
      <c r="B23" s="1">
        <f>B22*10^-3</f>
        <v>5.2560000000000003E-3</v>
      </c>
      <c r="C23" s="1" t="s">
        <v>77</v>
      </c>
      <c r="D23" s="9"/>
    </row>
    <row r="24" spans="1:9" x14ac:dyDescent="0.3">
      <c r="A24" s="1" t="s">
        <v>76</v>
      </c>
      <c r="B24" s="1">
        <f>B23*$F$1</f>
        <v>4.4497296000000004</v>
      </c>
      <c r="C24" s="1" t="s">
        <v>78</v>
      </c>
      <c r="D24" s="10" t="s">
        <v>82</v>
      </c>
    </row>
    <row r="26" spans="1:9" x14ac:dyDescent="0.3">
      <c r="A26" t="s">
        <v>83</v>
      </c>
      <c r="B26">
        <f>B24/B21</f>
        <v>0.24000000000000002</v>
      </c>
    </row>
    <row r="28" spans="1:9" x14ac:dyDescent="0.3">
      <c r="A28" s="4" t="s">
        <v>48</v>
      </c>
      <c r="B28" s="4" t="s">
        <v>66</v>
      </c>
      <c r="C28" s="1" t="s">
        <v>95</v>
      </c>
      <c r="D28" s="1" t="s">
        <v>96</v>
      </c>
      <c r="E28" s="1" t="s">
        <v>43</v>
      </c>
      <c r="F28" s="1" t="s">
        <v>54</v>
      </c>
      <c r="G28" s="1" t="s">
        <v>55</v>
      </c>
      <c r="H28" s="1" t="s">
        <v>97</v>
      </c>
      <c r="I28" s="1" t="s">
        <v>98</v>
      </c>
    </row>
    <row r="29" spans="1:9" x14ac:dyDescent="0.3">
      <c r="A29" s="1">
        <v>1</v>
      </c>
      <c r="B29" s="1" t="s">
        <v>67</v>
      </c>
      <c r="C29" s="1">
        <v>40</v>
      </c>
      <c r="D29" s="1">
        <v>27.058800000000002</v>
      </c>
      <c r="E29" s="1">
        <f>G14</f>
        <v>441</v>
      </c>
      <c r="F29" s="1">
        <f>H14</f>
        <v>6503</v>
      </c>
      <c r="G29" s="1">
        <f>$I$10-F29</f>
        <v>4511</v>
      </c>
      <c r="H29" s="1">
        <f>G29/$I$10</f>
        <v>0.40956963864172868</v>
      </c>
      <c r="I29" s="27">
        <f>ROUNDUP(AVERAGE(H29:H30),2)</f>
        <v>0.24000000000000002</v>
      </c>
    </row>
    <row r="30" spans="1:9" x14ac:dyDescent="0.3">
      <c r="A30" s="1">
        <v>2</v>
      </c>
      <c r="B30" s="1" t="s">
        <v>68</v>
      </c>
      <c r="C30" s="1">
        <v>130</v>
      </c>
      <c r="D30" s="1">
        <v>56.47</v>
      </c>
      <c r="E30" s="1">
        <f>G15</f>
        <v>696</v>
      </c>
      <c r="F30" s="1">
        <f>H15</f>
        <v>10262</v>
      </c>
      <c r="G30" s="1">
        <f>$I$10-F30</f>
        <v>752</v>
      </c>
      <c r="H30" s="1">
        <f>G30/$I$10</f>
        <v>6.8276738696204833E-2</v>
      </c>
      <c r="I30" s="27"/>
    </row>
    <row r="33" spans="1:4" x14ac:dyDescent="0.3">
      <c r="A33" s="28" t="s">
        <v>99</v>
      </c>
      <c r="B33" s="29"/>
      <c r="C33" s="30"/>
    </row>
    <row r="34" spans="1:4" x14ac:dyDescent="0.3">
      <c r="A34" s="1"/>
      <c r="B34" s="1" t="s">
        <v>101</v>
      </c>
      <c r="C34" s="1" t="s">
        <v>100</v>
      </c>
    </row>
    <row r="35" spans="1:4" x14ac:dyDescent="0.3">
      <c r="A35" s="1" t="s">
        <v>71</v>
      </c>
      <c r="B35" s="1">
        <v>21.9</v>
      </c>
      <c r="C35" s="1" t="s">
        <v>73</v>
      </c>
    </row>
    <row r="36" spans="1:4" x14ac:dyDescent="0.3">
      <c r="A36" s="1" t="s">
        <v>79</v>
      </c>
      <c r="B36" s="1">
        <f>ROUND($B$35*$F1/1000,2)</f>
        <v>18.54</v>
      </c>
      <c r="C36" s="1" t="s">
        <v>78</v>
      </c>
      <c r="D36">
        <f>0.24*B36</f>
        <v>4.4495999999999993</v>
      </c>
    </row>
    <row r="37" spans="1:4" x14ac:dyDescent="0.3">
      <c r="A37" s="1" t="s">
        <v>103</v>
      </c>
      <c r="B37" s="1">
        <f>ROUND($B$35*$F2/1000,3)</f>
        <v>3.0000000000000001E-3</v>
      </c>
      <c r="C37" s="1" t="s">
        <v>78</v>
      </c>
      <c r="D37">
        <f t="shared" ref="D37:D38" si="0">0.24*B37</f>
        <v>7.1999999999999994E-4</v>
      </c>
    </row>
    <row r="38" spans="1:4" x14ac:dyDescent="0.3">
      <c r="A38" s="1" t="s">
        <v>104</v>
      </c>
      <c r="B38" s="1">
        <f>ROUND($B$35*$F3/1000,3)</f>
        <v>1.0999999999999999E-2</v>
      </c>
      <c r="C38" s="1" t="s">
        <v>78</v>
      </c>
      <c r="D38">
        <f t="shared" si="0"/>
        <v>2.6399999999999996E-3</v>
      </c>
    </row>
    <row r="39" spans="1:4" x14ac:dyDescent="0.3">
      <c r="A39" s="1"/>
      <c r="B39" s="1"/>
      <c r="C39" s="1"/>
    </row>
    <row r="40" spans="1:4" x14ac:dyDescent="0.3">
      <c r="A40" s="28" t="s">
        <v>102</v>
      </c>
      <c r="B40" s="29"/>
      <c r="C40" s="30"/>
    </row>
    <row r="41" spans="1:4" x14ac:dyDescent="0.3">
      <c r="A41" s="1" t="s">
        <v>71</v>
      </c>
      <c r="B41" s="1">
        <f>$I$29*B35</f>
        <v>5.2560000000000002</v>
      </c>
      <c r="C41" s="1" t="s">
        <v>73</v>
      </c>
    </row>
    <row r="42" spans="1:4" x14ac:dyDescent="0.3">
      <c r="A42" s="1" t="s">
        <v>79</v>
      </c>
      <c r="B42" s="1">
        <f>ROUNDUP($B$41*$F1/1000,3)</f>
        <v>4.45</v>
      </c>
      <c r="C42" s="1" t="s">
        <v>78</v>
      </c>
    </row>
    <row r="43" spans="1:4" x14ac:dyDescent="0.3">
      <c r="A43" s="1" t="s">
        <v>103</v>
      </c>
      <c r="B43" s="1">
        <f>ROUNDUP($B$41*$F2/1000,5)</f>
        <v>8.1999999999999998E-4</v>
      </c>
      <c r="C43" s="1" t="s">
        <v>78</v>
      </c>
      <c r="D43">
        <f>B43/B37</f>
        <v>0.27333333333333332</v>
      </c>
    </row>
    <row r="44" spans="1:4" x14ac:dyDescent="0.3">
      <c r="A44" s="1" t="s">
        <v>104</v>
      </c>
      <c r="B44" s="1">
        <f>ROUNDUP($B$41*$F3/1000,5)</f>
        <v>2.5300000000000001E-3</v>
      </c>
      <c r="C44" s="1" t="s">
        <v>78</v>
      </c>
      <c r="D44">
        <f>B44/B38</f>
        <v>0.23000000000000004</v>
      </c>
    </row>
    <row r="45" spans="1:4" x14ac:dyDescent="0.3">
      <c r="B45" s="17"/>
    </row>
  </sheetData>
  <mergeCells count="5">
    <mergeCell ref="G10:H10"/>
    <mergeCell ref="O14:O15"/>
    <mergeCell ref="I29:I30"/>
    <mergeCell ref="A40:C40"/>
    <mergeCell ref="A33:C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CCCD-BCF2-47E6-836F-171A347B259C}">
  <dimension ref="A1:J17"/>
  <sheetViews>
    <sheetView tabSelected="1" workbookViewId="0">
      <selection activeCell="J17" sqref="J17"/>
    </sheetView>
  </sheetViews>
  <sheetFormatPr defaultRowHeight="14.4" x14ac:dyDescent="0.3"/>
  <cols>
    <col min="1" max="1" width="22.6640625" bestFit="1" customWidth="1"/>
    <col min="2" max="2" width="12.109375" bestFit="1" customWidth="1"/>
    <col min="3" max="3" width="11.5546875" bestFit="1" customWidth="1"/>
    <col min="4" max="4" width="14" bestFit="1" customWidth="1"/>
  </cols>
  <sheetData>
    <row r="1" spans="1:9" x14ac:dyDescent="0.3">
      <c r="A1" s="1"/>
      <c r="B1" s="1"/>
      <c r="C1" s="1" t="s">
        <v>72</v>
      </c>
      <c r="D1" s="1" t="s">
        <v>74</v>
      </c>
    </row>
    <row r="2" spans="1:9" x14ac:dyDescent="0.3">
      <c r="A2" s="1" t="s">
        <v>71</v>
      </c>
      <c r="B2" s="1">
        <f>'Energy saving '!B19</f>
        <v>21.9</v>
      </c>
      <c r="C2" s="1" t="s">
        <v>73</v>
      </c>
      <c r="D2" s="1"/>
    </row>
    <row r="3" spans="1:9" x14ac:dyDescent="0.3">
      <c r="A3" s="1" t="s">
        <v>71</v>
      </c>
      <c r="B3" s="1">
        <f>'Energy saving '!B20</f>
        <v>2.1899999999999999E-2</v>
      </c>
      <c r="C3" s="1" t="s">
        <v>80</v>
      </c>
      <c r="D3" s="1"/>
    </row>
    <row r="4" spans="1:9" x14ac:dyDescent="0.3">
      <c r="A4" s="1" t="s">
        <v>79</v>
      </c>
      <c r="B4" s="1">
        <f>'Energy saving '!B21</f>
        <v>18.54054</v>
      </c>
      <c r="C4" s="1" t="s">
        <v>78</v>
      </c>
      <c r="D4" s="1" t="s">
        <v>81</v>
      </c>
    </row>
    <row r="5" spans="1:9" x14ac:dyDescent="0.3">
      <c r="A5" s="1" t="s">
        <v>75</v>
      </c>
      <c r="B5" s="1">
        <f>'Energy saving '!B22</f>
        <v>5.2560000000000002</v>
      </c>
      <c r="C5" s="1" t="s">
        <v>73</v>
      </c>
      <c r="D5" s="1"/>
    </row>
    <row r="6" spans="1:9" x14ac:dyDescent="0.3">
      <c r="A6" s="7" t="s">
        <v>75</v>
      </c>
      <c r="B6" s="1">
        <f>'Energy saving '!B23</f>
        <v>5.2560000000000003E-3</v>
      </c>
      <c r="C6" s="7" t="s">
        <v>77</v>
      </c>
      <c r="D6" s="1"/>
    </row>
    <row r="7" spans="1:9" x14ac:dyDescent="0.3">
      <c r="A7" s="7" t="s">
        <v>76</v>
      </c>
      <c r="B7" s="1">
        <f>'Energy saving '!B24</f>
        <v>4.4497296000000004</v>
      </c>
      <c r="C7" s="7" t="s">
        <v>78</v>
      </c>
      <c r="D7" s="7" t="s">
        <v>82</v>
      </c>
    </row>
    <row r="8" spans="1:9" x14ac:dyDescent="0.3">
      <c r="A8" s="21" t="s">
        <v>113</v>
      </c>
      <c r="B8" s="22">
        <f>B7*1000/B12</f>
        <v>440.56728712871296</v>
      </c>
    </row>
    <row r="9" spans="1:9" x14ac:dyDescent="0.3">
      <c r="A9" s="1" t="s">
        <v>86</v>
      </c>
      <c r="B9" s="1" t="s">
        <v>88</v>
      </c>
      <c r="C9" s="1" t="s">
        <v>90</v>
      </c>
    </row>
    <row r="10" spans="1:9" x14ac:dyDescent="0.3">
      <c r="A10" s="1" t="s">
        <v>87</v>
      </c>
      <c r="B10" s="11">
        <v>0.15</v>
      </c>
      <c r="C10" s="1"/>
    </row>
    <row r="11" spans="1:9" x14ac:dyDescent="0.3">
      <c r="A11" s="15" t="s">
        <v>112</v>
      </c>
      <c r="B11" s="16">
        <f>B10*B5</f>
        <v>0.78839999999999999</v>
      </c>
      <c r="C11" s="15" t="s">
        <v>91</v>
      </c>
      <c r="D11" s="18"/>
    </row>
    <row r="12" spans="1:9" x14ac:dyDescent="0.3">
      <c r="A12" s="15" t="s">
        <v>110</v>
      </c>
      <c r="B12" s="20">
        <v>10.1</v>
      </c>
      <c r="C12" s="15" t="s">
        <v>111</v>
      </c>
      <c r="D12" s="18"/>
    </row>
    <row r="13" spans="1:9" x14ac:dyDescent="0.3">
      <c r="A13" t="s">
        <v>109</v>
      </c>
      <c r="B13" s="19">
        <f>B11*1000/B12</f>
        <v>78.059405940594061</v>
      </c>
    </row>
    <row r="14" spans="1:9" x14ac:dyDescent="0.3">
      <c r="A14" s="15" t="s">
        <v>92</v>
      </c>
      <c r="B14" s="15">
        <v>15</v>
      </c>
    </row>
    <row r="16" spans="1:9" x14ac:dyDescent="0.3">
      <c r="A16" s="12" t="s">
        <v>93</v>
      </c>
      <c r="B16" s="13">
        <v>0.03</v>
      </c>
      <c r="C16" s="13">
        <v>0.04</v>
      </c>
      <c r="D16" s="13">
        <v>0.05</v>
      </c>
      <c r="E16" s="13">
        <v>0.06</v>
      </c>
      <c r="F16" s="13">
        <v>7.0000000000000007E-2</v>
      </c>
      <c r="G16" s="13">
        <v>0.08</v>
      </c>
      <c r="H16" s="13">
        <v>0.09</v>
      </c>
      <c r="I16" s="13">
        <v>0.1</v>
      </c>
    </row>
    <row r="17" spans="1:10" x14ac:dyDescent="0.3">
      <c r="A17" s="7" t="s">
        <v>94</v>
      </c>
      <c r="B17" s="14">
        <f>PV(B16,15,-$B$13)</f>
        <v>931.86812103111492</v>
      </c>
      <c r="C17" s="14">
        <f t="shared" ref="C17:I17" si="0">PV(C16,15,-$B$13)</f>
        <v>867.89471797241117</v>
      </c>
      <c r="D17" s="14">
        <f t="shared" si="0"/>
        <v>810.22994032688939</v>
      </c>
      <c r="E17" s="14">
        <f t="shared" si="0"/>
        <v>758.13238633019807</v>
      </c>
      <c r="F17" s="14">
        <f t="shared" si="0"/>
        <v>710.95835659683678</v>
      </c>
      <c r="G17" s="14">
        <f t="shared" si="0"/>
        <v>668.14782154070826</v>
      </c>
      <c r="H17" s="14">
        <f t="shared" si="0"/>
        <v>629.21255030664247</v>
      </c>
      <c r="I17" s="14">
        <f t="shared" si="0"/>
        <v>593.72604779935807</v>
      </c>
      <c r="J17" s="23">
        <f>AVERAGE(B17:I17)</f>
        <v>746.27124273801996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AE68-A7ED-463A-9303-E4854C8659CB}">
  <dimension ref="A1:I16"/>
  <sheetViews>
    <sheetView workbookViewId="0">
      <selection activeCell="B12" sqref="B12"/>
    </sheetView>
  </sheetViews>
  <sheetFormatPr defaultRowHeight="14.4" x14ac:dyDescent="0.3"/>
  <cols>
    <col min="1" max="1" width="22.6640625" bestFit="1" customWidth="1"/>
    <col min="2" max="2" width="12.109375" bestFit="1" customWidth="1"/>
    <col min="3" max="3" width="10.88671875" bestFit="1" customWidth="1"/>
    <col min="4" max="4" width="13.21875" bestFit="1" customWidth="1"/>
  </cols>
  <sheetData>
    <row r="1" spans="1:9" x14ac:dyDescent="0.3">
      <c r="A1" s="1"/>
      <c r="B1" s="1"/>
      <c r="C1" s="1" t="s">
        <v>72</v>
      </c>
      <c r="D1" s="1" t="s">
        <v>74</v>
      </c>
    </row>
    <row r="2" spans="1:9" x14ac:dyDescent="0.3">
      <c r="A2" s="1" t="s">
        <v>71</v>
      </c>
      <c r="B2" s="1">
        <f>'Energy saving '!B19</f>
        <v>21.9</v>
      </c>
      <c r="C2" s="1" t="s">
        <v>73</v>
      </c>
      <c r="D2" s="1"/>
    </row>
    <row r="3" spans="1:9" x14ac:dyDescent="0.3">
      <c r="A3" s="1" t="s">
        <v>71</v>
      </c>
      <c r="B3" s="1">
        <f>'Energy saving '!B20</f>
        <v>2.1899999999999999E-2</v>
      </c>
      <c r="C3" s="1" t="s">
        <v>80</v>
      </c>
      <c r="D3" s="1"/>
    </row>
    <row r="4" spans="1:9" x14ac:dyDescent="0.3">
      <c r="A4" s="1" t="s">
        <v>79</v>
      </c>
      <c r="B4" s="1">
        <f>'Energy saving '!B21</f>
        <v>18.54054</v>
      </c>
      <c r="C4" s="1" t="s">
        <v>78</v>
      </c>
      <c r="D4" s="1" t="s">
        <v>81</v>
      </c>
    </row>
    <row r="5" spans="1:9" x14ac:dyDescent="0.3">
      <c r="A5" s="1" t="s">
        <v>75</v>
      </c>
      <c r="B5" s="1">
        <f>'Energy saving '!B22</f>
        <v>5.2560000000000002</v>
      </c>
      <c r="C5" s="1" t="s">
        <v>73</v>
      </c>
      <c r="D5" s="1"/>
    </row>
    <row r="6" spans="1:9" x14ac:dyDescent="0.3">
      <c r="A6" s="7" t="s">
        <v>75</v>
      </c>
      <c r="B6" s="1">
        <f>'Energy saving '!B23</f>
        <v>5.2560000000000003E-3</v>
      </c>
      <c r="C6" s="7" t="s">
        <v>77</v>
      </c>
      <c r="D6" s="1"/>
    </row>
    <row r="7" spans="1:9" x14ac:dyDescent="0.3">
      <c r="A7" s="7" t="s">
        <v>76</v>
      </c>
      <c r="B7" s="1">
        <f>'Energy saving '!B24</f>
        <v>4.4497296000000004</v>
      </c>
      <c r="C7" s="7" t="s">
        <v>78</v>
      </c>
      <c r="D7" s="7" t="s">
        <v>82</v>
      </c>
    </row>
    <row r="9" spans="1:9" x14ac:dyDescent="0.3">
      <c r="A9" s="1" t="s">
        <v>86</v>
      </c>
      <c r="B9" s="1" t="s">
        <v>88</v>
      </c>
      <c r="C9" s="1" t="s">
        <v>90</v>
      </c>
    </row>
    <row r="10" spans="1:9" x14ac:dyDescent="0.3">
      <c r="A10" s="1" t="s">
        <v>87</v>
      </c>
      <c r="B10" s="11">
        <v>0.15</v>
      </c>
      <c r="C10" s="1"/>
    </row>
    <row r="11" spans="1:9" x14ac:dyDescent="0.3">
      <c r="A11" s="15" t="s">
        <v>89</v>
      </c>
      <c r="B11" s="16">
        <f>B10*B5</f>
        <v>0.78839999999999999</v>
      </c>
      <c r="C11" s="15" t="s">
        <v>91</v>
      </c>
    </row>
    <row r="12" spans="1:9" x14ac:dyDescent="0.3">
      <c r="A12" t="s">
        <v>108</v>
      </c>
    </row>
    <row r="13" spans="1:9" x14ac:dyDescent="0.3">
      <c r="A13" s="15" t="s">
        <v>92</v>
      </c>
      <c r="B13" s="15">
        <v>15</v>
      </c>
    </row>
    <row r="15" spans="1:9" x14ac:dyDescent="0.3">
      <c r="A15" s="12" t="s">
        <v>93</v>
      </c>
      <c r="B15" s="13">
        <v>0.03</v>
      </c>
      <c r="C15" s="13">
        <v>0.04</v>
      </c>
      <c r="D15" s="13">
        <v>0.05</v>
      </c>
      <c r="E15" s="13">
        <v>0.06</v>
      </c>
      <c r="F15" s="13">
        <v>7.0000000000000007E-2</v>
      </c>
      <c r="G15" s="13">
        <v>0.08</v>
      </c>
      <c r="H15" s="13">
        <v>0.09</v>
      </c>
      <c r="I15" s="13">
        <v>0.1</v>
      </c>
    </row>
    <row r="16" spans="1:9" x14ac:dyDescent="0.3">
      <c r="A16" s="7" t="s">
        <v>94</v>
      </c>
      <c r="B16" s="14">
        <f>PV(B15,15,-$B$11)</f>
        <v>9.411868022414259</v>
      </c>
      <c r="C16" s="14">
        <f>PV(C15,15,-$B$11)</f>
        <v>8.7657366515213528</v>
      </c>
      <c r="D16" s="14">
        <f t="shared" ref="D16:I16" si="0">PV(D15,15,-$B$11)</f>
        <v>8.1833223973015823</v>
      </c>
      <c r="E16" s="14">
        <f t="shared" si="0"/>
        <v>7.6571371019350005</v>
      </c>
      <c r="F16" s="14">
        <f t="shared" si="0"/>
        <v>7.1806794016280522</v>
      </c>
      <c r="G16" s="14">
        <f t="shared" si="0"/>
        <v>6.7482929975611539</v>
      </c>
      <c r="H16" s="14">
        <f t="shared" si="0"/>
        <v>6.355046758097088</v>
      </c>
      <c r="I16" s="14">
        <f t="shared" si="0"/>
        <v>5.9966330827735153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calculation- Alburquerque </vt:lpstr>
      <vt:lpstr>calculation- Las Vegas</vt:lpstr>
      <vt:lpstr>Energy saving </vt:lpstr>
      <vt:lpstr>Economic Analysis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Rashish Adhikari</dc:creator>
  <cp:lastModifiedBy>Rashish Adhikari</cp:lastModifiedBy>
  <cp:lastPrinted>2022-10-20T03:12:49Z</cp:lastPrinted>
  <dcterms:created xsi:type="dcterms:W3CDTF">2022-10-20T03:10:33Z</dcterms:created>
  <dcterms:modified xsi:type="dcterms:W3CDTF">2023-03-02T19:36:59Z</dcterms:modified>
</cp:coreProperties>
</file>