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iwoodcock/Documents/University/Year_3/MATH3001/Code/Data/"/>
    </mc:Choice>
  </mc:AlternateContent>
  <xr:revisionPtr revIDLastSave="0" documentId="13_ncr:1_{91BE196B-352E-F944-B270-845D5A57BFA1}" xr6:coauthVersionLast="43" xr6:coauthVersionMax="43" xr10:uidLastSave="{00000000-0000-0000-0000-000000000000}"/>
  <bookViews>
    <workbookView xWindow="13080" yWindow="460" windowWidth="25400" windowHeight="16260" xr2:uid="{4D4D092F-D1A8-5448-B4C2-DFDC6507C1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1" l="1"/>
  <c r="F41" i="1"/>
  <c r="N37" i="1" s="1"/>
  <c r="F40" i="1"/>
  <c r="F39" i="1"/>
  <c r="F38" i="1"/>
  <c r="F37" i="1"/>
  <c r="F36" i="1"/>
  <c r="F35" i="1"/>
  <c r="F34" i="1"/>
  <c r="F33" i="1"/>
  <c r="F32" i="1"/>
  <c r="F31" i="1"/>
  <c r="E38" i="1"/>
  <c r="E37" i="1"/>
  <c r="E42" i="1"/>
  <c r="E41" i="1"/>
  <c r="E40" i="1"/>
  <c r="E39" i="1"/>
  <c r="E36" i="1"/>
  <c r="E35" i="1"/>
  <c r="E34" i="1"/>
  <c r="E33" i="1"/>
  <c r="E32" i="1"/>
  <c r="E31" i="1"/>
  <c r="D38" i="1"/>
  <c r="D37" i="1"/>
  <c r="D42" i="1"/>
  <c r="D41" i="1"/>
  <c r="D40" i="1"/>
  <c r="D39" i="1"/>
  <c r="D36" i="1"/>
  <c r="D35" i="1"/>
  <c r="D34" i="1"/>
  <c r="D33" i="1"/>
  <c r="D32" i="1"/>
  <c r="D31" i="1"/>
  <c r="M35" i="1" s="1"/>
  <c r="C42" i="1"/>
  <c r="C38" i="1"/>
  <c r="C37" i="1"/>
  <c r="C41" i="1"/>
  <c r="C40" i="1"/>
  <c r="C39" i="1"/>
  <c r="C36" i="1"/>
  <c r="C35" i="1"/>
  <c r="C34" i="1"/>
  <c r="C33" i="1"/>
  <c r="C32" i="1"/>
  <c r="C31" i="1"/>
  <c r="B42" i="1"/>
  <c r="B41" i="1"/>
  <c r="B40" i="1"/>
  <c r="B39" i="1"/>
  <c r="B38" i="1"/>
  <c r="B37" i="1"/>
  <c r="N33" i="1" s="1"/>
  <c r="B32" i="1"/>
  <c r="B31" i="1"/>
  <c r="C24" i="1"/>
  <c r="B28" i="1"/>
  <c r="B26" i="1"/>
  <c r="B25" i="1"/>
  <c r="B24" i="1"/>
  <c r="F24" i="1"/>
  <c r="F23" i="1"/>
  <c r="L22" i="1" s="1"/>
  <c r="E24" i="1"/>
  <c r="N27" i="1" s="1"/>
  <c r="E23" i="1"/>
  <c r="F28" i="1"/>
  <c r="F27" i="1"/>
  <c r="F26" i="1"/>
  <c r="F25" i="1"/>
  <c r="F22" i="1"/>
  <c r="F21" i="1"/>
  <c r="M22" i="1" s="1"/>
  <c r="F20" i="1"/>
  <c r="E28" i="1"/>
  <c r="E27" i="1"/>
  <c r="E26" i="1"/>
  <c r="E25" i="1"/>
  <c r="E22" i="1"/>
  <c r="E21" i="1"/>
  <c r="E20" i="1"/>
  <c r="E18" i="1"/>
  <c r="D24" i="1"/>
  <c r="D23" i="1"/>
  <c r="D28" i="1"/>
  <c r="D27" i="1"/>
  <c r="N20" i="1" s="1"/>
  <c r="D26" i="1"/>
  <c r="D25" i="1"/>
  <c r="D22" i="1"/>
  <c r="D21" i="1"/>
  <c r="D20" i="1"/>
  <c r="C28" i="1"/>
  <c r="C27" i="1"/>
  <c r="C26" i="1"/>
  <c r="N26" i="1" s="1"/>
  <c r="C25" i="1"/>
  <c r="C23" i="1"/>
  <c r="C22" i="1"/>
  <c r="C21" i="1"/>
  <c r="M19" i="1" s="1"/>
  <c r="C20" i="1"/>
  <c r="B27" i="1"/>
  <c r="B23" i="1"/>
  <c r="B22" i="1"/>
  <c r="B21" i="1"/>
  <c r="B20" i="1"/>
  <c r="F19" i="1"/>
  <c r="G19" i="1"/>
  <c r="E19" i="1"/>
  <c r="D19" i="1"/>
  <c r="C19" i="1"/>
  <c r="B19" i="1"/>
  <c r="B36" i="1"/>
  <c r="B35" i="1"/>
  <c r="L33" i="1" s="1"/>
  <c r="B34" i="1"/>
  <c r="B33" i="1"/>
  <c r="N42" i="1"/>
  <c r="N41" i="1"/>
  <c r="N36" i="1"/>
  <c r="N35" i="1"/>
  <c r="N34" i="1"/>
  <c r="M37" i="1"/>
  <c r="M36" i="1"/>
  <c r="M34" i="1"/>
  <c r="M33" i="1"/>
  <c r="L37" i="1"/>
  <c r="L36" i="1"/>
  <c r="L35" i="1"/>
  <c r="L34" i="1"/>
  <c r="N38" i="1"/>
  <c r="N32" i="1"/>
  <c r="M38" i="1"/>
  <c r="M32" i="1"/>
  <c r="K43" i="1"/>
  <c r="K39" i="1"/>
  <c r="K40" i="1"/>
  <c r="K41" i="1"/>
  <c r="K42" i="1"/>
  <c r="K33" i="1"/>
  <c r="K34" i="1"/>
  <c r="K35" i="1"/>
  <c r="K36" i="1"/>
  <c r="K37" i="1"/>
  <c r="K38" i="1"/>
  <c r="K32" i="1"/>
  <c r="N28" i="1"/>
  <c r="N25" i="1"/>
  <c r="N24" i="1"/>
  <c r="P27" i="1"/>
  <c r="P26" i="1"/>
  <c r="P25" i="1"/>
  <c r="P24" i="1"/>
  <c r="M28" i="1"/>
  <c r="M25" i="1"/>
  <c r="N18" i="1"/>
  <c r="M21" i="1"/>
  <c r="M20" i="1"/>
  <c r="M18" i="1"/>
  <c r="M23" i="1"/>
  <c r="N23" i="1" s="1"/>
  <c r="N17" i="1"/>
  <c r="M17" i="1"/>
  <c r="L28" i="1"/>
  <c r="L27" i="1"/>
  <c r="L25" i="1"/>
  <c r="L26" i="1"/>
  <c r="L18" i="1"/>
  <c r="L21" i="1"/>
  <c r="L20" i="1"/>
  <c r="L19" i="1"/>
  <c r="K27" i="1"/>
  <c r="K28" i="1"/>
  <c r="K25" i="1"/>
  <c r="K26" i="1"/>
  <c r="K24" i="1"/>
  <c r="L24" i="1" l="1"/>
  <c r="N21" i="1"/>
  <c r="N22" i="1"/>
  <c r="M27" i="1"/>
  <c r="M26" i="1"/>
  <c r="N19" i="1"/>
  <c r="M24" i="1"/>
  <c r="L10" i="1"/>
  <c r="L11" i="1" s="1"/>
  <c r="I10" i="1"/>
  <c r="I11" i="1" s="1"/>
  <c r="K4" i="1"/>
  <c r="K5" i="1"/>
  <c r="K6" i="1"/>
  <c r="K3" i="1"/>
  <c r="K2" i="1"/>
</calcChain>
</file>

<file path=xl/sharedStrings.xml><?xml version="1.0" encoding="utf-8"?>
<sst xmlns="http://schemas.openxmlformats.org/spreadsheetml/2006/main" count="199" uniqueCount="107">
  <si>
    <t>HITS</t>
  </si>
  <si>
    <t>SVM</t>
  </si>
  <si>
    <t>SVR</t>
  </si>
  <si>
    <t>MLP</t>
  </si>
  <si>
    <t>RNN</t>
  </si>
  <si>
    <t>AE SVM</t>
  </si>
  <si>
    <t>AE SVR</t>
  </si>
  <si>
    <t>AE MLP</t>
  </si>
  <si>
    <t>AE RNN</t>
  </si>
  <si>
    <t>Fold 1</t>
  </si>
  <si>
    <t>Fold 2</t>
  </si>
  <si>
    <t>Fold 3</t>
  </si>
  <si>
    <t>Fold 4</t>
  </si>
  <si>
    <t>Fold 5</t>
  </si>
  <si>
    <t>﻿0.49464668094218417</t>
  </si>
  <si>
    <t>﻿0.5224839400428265</t>
  </si>
  <si>
    <t>﻿0.5053533190578159</t>
  </si>
  <si>
    <t>Classification</t>
  </si>
  <si>
    <t>﻿0.5139186295503212</t>
  </si>
  <si>
    <t>﻿0.5074946466809421</t>
  </si>
  <si>
    <t>MAE</t>
  </si>
  <si>
    <t>MSE</t>
  </si>
  <si>
    <t>﻿0.4860813704496788</t>
  </si>
  <si>
    <t>﻿0.4925053533190578</t>
  </si>
  <si>
    <t>﻿0.5257510729613734</t>
  </si>
  <si>
    <t>﻿0.5493562231759657</t>
  </si>
  <si>
    <t>﻿0.4871244635193133</t>
  </si>
  <si>
    <t>﻿0.4978540772532189</t>
  </si>
  <si>
    <t>﻿0.5515021459227468</t>
  </si>
  <si>
    <t>﻿0.1329901634655249</t>
  </si>
  <si>
    <t>﻿0.47109207708779444</t>
  </si>
  <si>
    <t>﻿0.4989293361884368</t>
  </si>
  <si>
    <t>﻿0.5032119914346895</t>
  </si>
  <si>
    <t>﻿0.5331905781584583</t>
  </si>
  <si>
    <t>MLP Reg</t>
  </si>
  <si>
    <t>RNN Reg</t>
  </si>
  <si>
    <t>AE MLP Reg</t>
  </si>
  <si>
    <t>AE RNN Reg</t>
  </si>
  <si>
    <t>﻿0.5150214592274678</t>
  </si>
  <si>
    <t>﻿0.5128755364806867</t>
  </si>
  <si>
    <t>﻿0.5236051502145923</t>
  </si>
  <si>
    <t>﻿0.51931330472103</t>
  </si>
  <si>
    <t>﻿0.4957081545064378</t>
  </si>
  <si>
    <t>﻿0.5010706638115632</t>
  </si>
  <si>
    <t>﻿0.48822269807280516</t>
  </si>
  <si>
    <t>﻿0.5546038543897216</t>
  </si>
  <si>
    <t>﻿0.5364806866952789</t>
  </si>
  <si>
    <t>﻿0.5021459227467812</t>
  </si>
  <si>
    <t>﻿0.4699570815450644</t>
  </si>
  <si>
    <t>﻿0.49356223175965663</t>
  </si>
  <si>
    <t>﻿0.5064377682403434</t>
  </si>
  <si>
    <t>﻿0.5267665952890792</t>
  </si>
  <si>
    <t>﻿0.5353319057815846</t>
  </si>
  <si>
    <t>﻿0.5117773019271948</t>
  </si>
  <si>
    <t>﻿0.5085836909871244</t>
  </si>
  <si>
    <t>﻿0.48068669527896996</t>
  </si>
  <si>
    <t>﻿0.5246252676659529</t>
  </si>
  <si>
    <t>﻿0.5396145610278372</t>
  </si>
  <si>
    <t>﻿0.5203426124197003</t>
  </si>
  <si>
    <t>﻿0.5460385438972163</t>
  </si>
  <si>
    <t>﻿0.5343347639484979</t>
  </si>
  <si>
    <t>﻿0.44849785407725323</t>
  </si>
  <si>
    <t>﻿0.5321888412017167</t>
  </si>
  <si>
    <t>﻿0.48497854077253216</t>
  </si>
  <si>
    <t>﻿0.5087794432548179</t>
  </si>
  <si>
    <t>﻿0.5223175965665237</t>
  </si>
  <si>
    <t>﻿0.4955032119914347</t>
  </si>
  <si>
    <t>﻿0.5098712446351932</t>
  </si>
  <si>
    <t>﻿0.5100642398286939</t>
  </si>
  <si>
    <t>﻿0.5017167381974249</t>
  </si>
  <si>
    <t>﻿0.5220556745182012</t>
  </si>
  <si>
    <t>﻿0.5171673819742489</t>
  </si>
  <si>
    <t>﻿0.528051391862955</t>
  </si>
  <si>
    <t>﻿0.5184549356223176</t>
  </si>
  <si>
    <t>﻿0.5190578158458244</t>
  </si>
  <si>
    <t>﻿0.503862660944206</t>
  </si>
  <si>
    <t>fold1 performance</t>
  </si>
  <si>
    <t>classification</t>
  </si>
  <si>
    <t>﻿0.5082084225553176</t>
  </si>
  <si>
    <t>﻿0.5089221984296931</t>
  </si>
  <si>
    <t>﻿0.5064239828693791</t>
  </si>
  <si>
    <t>fold 2</t>
  </si>
  <si>
    <t>fold 3</t>
  </si>
  <si>
    <t>fold 4</t>
  </si>
  <si>
    <t>fold 5</t>
  </si>
  <si>
    <t>﻿0.5199857244825125</t>
  </si>
  <si>
    <t>﻿0.5260528194147037</t>
  </si>
  <si>
    <t>regression</t>
  </si>
  <si>
    <t>﻿0.5289699570815452</t>
  </si>
  <si>
    <t>﻿0.5257510729613735</t>
  </si>
  <si>
    <t>﻿0.4928469241773963</t>
  </si>
  <si>
    <t>﻿0.5092989985693849</t>
  </si>
  <si>
    <t>﻿0.5042918454935622</t>
  </si>
  <si>
    <t>Best Hit Rates:</t>
  </si>
  <si>
    <t>Best MAE:</t>
  </si>
  <si>
    <t>Best MSE:</t>
  </si>
  <si>
    <t>Regression</t>
  </si>
  <si>
    <t>MAE No AE</t>
  </si>
  <si>
    <t>MAE AE</t>
  </si>
  <si>
    <t>MSE AE</t>
  </si>
  <si>
    <t>MSE No AE</t>
  </si>
  <si>
    <t>﻿0.3973456</t>
  </si>
  <si>
    <t>﻿0.5053533</t>
  </si>
  <si>
    <t>﻿0.4775161</t>
  </si>
  <si>
    <t>﻿2.3802462</t>
  </si>
  <si>
    <t>﻿0.4946467</t>
  </si>
  <si>
    <t>﻿0.4000280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</si>
</sst>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2" fontId="0" fillId="0" borderId="0" xfId="0" applyNumberFormat="1" applyFill="1" applyBorder="1"/>
    <xf numFmtId="0" fontId="0" fillId="2" borderId="1" xfId="0" applyFill="1" applyBorder="1"/>
    <xf numFmtId="49" fontId="0" fillId="0" borderId="0" xfId="0" applyNumberFormat="1"/>
    <xf numFmtId="0" fontId="0" fillId="0" borderId="0" xfId="0" applyNumberFormat="1"/>
    <xf numFmtId="0" fontId="0" fillId="0" borderId="0" xfId="0" applyFill="1" applyBorder="1"/>
    <xf numFmtId="0" fontId="0" fillId="0" borderId="1" xfId="0" applyNumberFormat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0" fontId="0" fillId="2" borderId="0" xfId="0" applyFill="1"/>
    <xf numFmtId="0" fontId="0" fillId="0" borderId="2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0" fontId="0" fillId="2" borderId="1" xfId="0" applyNumberForma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C1F31-2A08-5740-BD1E-D2B44972D570}">
  <dimension ref="A1:P47"/>
  <sheetViews>
    <sheetView tabSelected="1" topLeftCell="A8" zoomScale="90" zoomScaleNormal="90" workbookViewId="0">
      <selection activeCell="B42" sqref="B42:F42"/>
    </sheetView>
  </sheetViews>
  <sheetFormatPr baseColWidth="10" defaultRowHeight="16"/>
  <cols>
    <col min="1" max="1" width="11.33203125" bestFit="1" customWidth="1"/>
    <col min="2" max="4" width="20.1640625" bestFit="1" customWidth="1"/>
    <col min="5" max="6" width="21.1640625" bestFit="1" customWidth="1"/>
    <col min="7" max="7" width="24.33203125" customWidth="1"/>
    <col min="8" max="8" width="19" bestFit="1" customWidth="1"/>
    <col min="11" max="11" width="16.5" bestFit="1" customWidth="1"/>
  </cols>
  <sheetData>
    <row r="1" spans="1:14">
      <c r="A1" s="19" t="s">
        <v>17</v>
      </c>
      <c r="B1" s="20"/>
      <c r="C1" s="20"/>
      <c r="D1" s="20"/>
      <c r="E1" s="20"/>
      <c r="F1" s="20"/>
      <c r="H1" t="s">
        <v>77</v>
      </c>
      <c r="K1" t="s">
        <v>87</v>
      </c>
    </row>
    <row r="2" spans="1:14">
      <c r="A2" s="1" t="s">
        <v>0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 t="s">
        <v>76</v>
      </c>
      <c r="I2" t="s">
        <v>78</v>
      </c>
      <c r="K2" t="str">
        <f>H2</f>
        <v>fold1 performance</v>
      </c>
      <c r="L2" t="s">
        <v>88</v>
      </c>
    </row>
    <row r="3" spans="1:14">
      <c r="A3" t="s">
        <v>1</v>
      </c>
      <c r="B3" s="2" t="s">
        <v>14</v>
      </c>
      <c r="C3" s="2" t="s">
        <v>15</v>
      </c>
      <c r="D3" s="2" t="s">
        <v>16</v>
      </c>
      <c r="E3" s="2" t="s">
        <v>18</v>
      </c>
      <c r="F3" s="2" t="s">
        <v>19</v>
      </c>
      <c r="G3" t="s">
        <v>64</v>
      </c>
      <c r="H3" t="s">
        <v>81</v>
      </c>
      <c r="I3" t="s">
        <v>79</v>
      </c>
      <c r="K3" t="str">
        <f>H3</f>
        <v>fold 2</v>
      </c>
      <c r="L3" t="s">
        <v>89</v>
      </c>
    </row>
    <row r="4" spans="1:14">
      <c r="A4" t="s">
        <v>2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t="s">
        <v>65</v>
      </c>
      <c r="H4" t="s">
        <v>82</v>
      </c>
      <c r="I4" t="s">
        <v>80</v>
      </c>
      <c r="K4" t="str">
        <f t="shared" ref="K4:K6" si="0">H4</f>
        <v>fold 3</v>
      </c>
      <c r="L4" t="s">
        <v>90</v>
      </c>
    </row>
    <row r="5" spans="1:14">
      <c r="A5" t="s">
        <v>3</v>
      </c>
      <c r="B5" s="2" t="s">
        <v>30</v>
      </c>
      <c r="C5" s="2" t="s">
        <v>30</v>
      </c>
      <c r="D5" s="2" t="s">
        <v>31</v>
      </c>
      <c r="E5" s="2" t="s">
        <v>32</v>
      </c>
      <c r="F5" s="2" t="s">
        <v>33</v>
      </c>
      <c r="G5" t="s">
        <v>66</v>
      </c>
      <c r="H5" t="s">
        <v>83</v>
      </c>
      <c r="I5" t="s">
        <v>85</v>
      </c>
      <c r="K5" t="str">
        <f t="shared" si="0"/>
        <v>fold 4</v>
      </c>
      <c r="L5" t="s">
        <v>91</v>
      </c>
    </row>
    <row r="6" spans="1:14">
      <c r="A6" t="s">
        <v>34</v>
      </c>
      <c r="B6" s="2" t="s">
        <v>40</v>
      </c>
      <c r="C6" s="2" t="s">
        <v>40</v>
      </c>
      <c r="D6" s="2" t="s">
        <v>41</v>
      </c>
      <c r="E6" s="2" t="s">
        <v>42</v>
      </c>
      <c r="F6" s="2" t="s">
        <v>26</v>
      </c>
      <c r="G6" t="s">
        <v>67</v>
      </c>
      <c r="H6" t="s">
        <v>84</v>
      </c>
      <c r="I6" t="s">
        <v>86</v>
      </c>
      <c r="K6" t="str">
        <f t="shared" si="0"/>
        <v>fold 5</v>
      </c>
      <c r="L6" t="s">
        <v>92</v>
      </c>
    </row>
    <row r="7" spans="1:14">
      <c r="A7" t="s">
        <v>4</v>
      </c>
      <c r="B7" s="2" t="s">
        <v>43</v>
      </c>
      <c r="C7" s="2" t="s">
        <v>16</v>
      </c>
      <c r="D7" s="2" t="s">
        <v>44</v>
      </c>
      <c r="E7" s="2" t="s">
        <v>43</v>
      </c>
      <c r="F7" s="5" t="s">
        <v>45</v>
      </c>
      <c r="G7" t="s">
        <v>68</v>
      </c>
    </row>
    <row r="8" spans="1:14">
      <c r="A8" t="s">
        <v>35</v>
      </c>
      <c r="B8" s="2" t="s">
        <v>46</v>
      </c>
      <c r="C8" s="2" t="s">
        <v>47</v>
      </c>
      <c r="D8" s="2" t="s">
        <v>48</v>
      </c>
      <c r="E8" s="2" t="s">
        <v>49</v>
      </c>
      <c r="F8" s="2" t="s">
        <v>50</v>
      </c>
      <c r="G8" t="s">
        <v>69</v>
      </c>
      <c r="I8" s="6"/>
    </row>
    <row r="9" spans="1:14">
      <c r="A9" t="s">
        <v>5</v>
      </c>
      <c r="B9" s="2" t="s">
        <v>51</v>
      </c>
      <c r="C9" s="2" t="s">
        <v>32</v>
      </c>
      <c r="D9" s="2" t="s">
        <v>33</v>
      </c>
      <c r="E9" s="2" t="s">
        <v>52</v>
      </c>
      <c r="F9" s="2" t="s">
        <v>53</v>
      </c>
      <c r="G9" t="s">
        <v>70</v>
      </c>
    </row>
    <row r="10" spans="1:14">
      <c r="A10" t="s">
        <v>6</v>
      </c>
      <c r="B10" s="2" t="s">
        <v>47</v>
      </c>
      <c r="C10" s="2" t="s">
        <v>54</v>
      </c>
      <c r="D10" s="2" t="s">
        <v>46</v>
      </c>
      <c r="E10" s="2" t="s">
        <v>40</v>
      </c>
      <c r="F10" s="2" t="s">
        <v>38</v>
      </c>
      <c r="G10" t="s">
        <v>71</v>
      </c>
      <c r="H10" s="3"/>
      <c r="I10" s="7">
        <f>0.508+0.509+0.506+0.52+0.5261</f>
        <v>2.5691000000000002</v>
      </c>
      <c r="L10">
        <f>0.529+0.526+0.493+0.509+0.504</f>
        <v>2.5609999999999999</v>
      </c>
    </row>
    <row r="11" spans="1:14">
      <c r="A11" t="s">
        <v>7</v>
      </c>
      <c r="B11" s="2" t="s">
        <v>52</v>
      </c>
      <c r="C11" s="2" t="s">
        <v>16</v>
      </c>
      <c r="D11" s="2" t="s">
        <v>56</v>
      </c>
      <c r="E11" s="2" t="s">
        <v>57</v>
      </c>
      <c r="F11" s="2" t="s">
        <v>52</v>
      </c>
      <c r="G11" t="s">
        <v>72</v>
      </c>
      <c r="H11" s="3"/>
      <c r="I11">
        <f>I10/5</f>
        <v>0.51382000000000005</v>
      </c>
      <c r="L11">
        <f>L10/5</f>
        <v>0.51219999999999999</v>
      </c>
    </row>
    <row r="12" spans="1:14">
      <c r="A12" t="s">
        <v>36</v>
      </c>
      <c r="B12" s="2" t="s">
        <v>28</v>
      </c>
      <c r="C12" s="2" t="s">
        <v>28</v>
      </c>
      <c r="D12" s="2" t="s">
        <v>42</v>
      </c>
      <c r="E12" s="2" t="s">
        <v>39</v>
      </c>
      <c r="F12" s="2" t="s">
        <v>55</v>
      </c>
      <c r="G12" t="s">
        <v>73</v>
      </c>
      <c r="H12" s="3"/>
    </row>
    <row r="13" spans="1:14">
      <c r="A13" t="s">
        <v>8</v>
      </c>
      <c r="B13" s="2" t="s">
        <v>58</v>
      </c>
      <c r="C13" s="2" t="s">
        <v>59</v>
      </c>
      <c r="D13" s="2" t="s">
        <v>44</v>
      </c>
      <c r="E13" s="2" t="s">
        <v>51</v>
      </c>
      <c r="F13" s="2" t="s">
        <v>18</v>
      </c>
      <c r="G13" t="s">
        <v>74</v>
      </c>
      <c r="H13" s="3"/>
    </row>
    <row r="14" spans="1:14">
      <c r="A14" t="s">
        <v>37</v>
      </c>
      <c r="B14" s="2" t="s">
        <v>60</v>
      </c>
      <c r="C14" s="2" t="s">
        <v>41</v>
      </c>
      <c r="D14" s="2" t="s">
        <v>61</v>
      </c>
      <c r="E14" s="2" t="s">
        <v>62</v>
      </c>
      <c r="F14" s="2" t="s">
        <v>63</v>
      </c>
      <c r="G14" t="s">
        <v>75</v>
      </c>
      <c r="H14" s="3"/>
    </row>
    <row r="15" spans="1:14">
      <c r="H15" s="3"/>
    </row>
    <row r="16" spans="1:14">
      <c r="A16" s="1" t="s">
        <v>20</v>
      </c>
      <c r="B16" t="s">
        <v>9</v>
      </c>
      <c r="C16" t="s">
        <v>10</v>
      </c>
      <c r="D16" t="s">
        <v>11</v>
      </c>
      <c r="E16" t="s">
        <v>12</v>
      </c>
      <c r="F16" t="s">
        <v>13</v>
      </c>
      <c r="K16" s="12" t="s">
        <v>20</v>
      </c>
      <c r="M16" s="12" t="s">
        <v>97</v>
      </c>
      <c r="N16" s="12" t="s">
        <v>98</v>
      </c>
    </row>
    <row r="17" spans="1:16">
      <c r="A17" t="s">
        <v>1</v>
      </c>
      <c r="B17" s="9" t="s">
        <v>102</v>
      </c>
      <c r="C17" s="9" t="s">
        <v>103</v>
      </c>
      <c r="D17" s="9" t="s">
        <v>105</v>
      </c>
      <c r="E17" s="9" t="s">
        <v>22</v>
      </c>
      <c r="F17" s="13" t="s">
        <v>23</v>
      </c>
      <c r="G17" s="4"/>
      <c r="H17" s="8" t="s">
        <v>93</v>
      </c>
      <c r="K17" s="11" t="s">
        <v>17</v>
      </c>
      <c r="M17" s="10" t="str">
        <f>K17</f>
        <v>Classification</v>
      </c>
      <c r="N17" s="10" t="str">
        <f>M17</f>
        <v>Classification</v>
      </c>
    </row>
    <row r="18" spans="1:16">
      <c r="A18" t="s">
        <v>2</v>
      </c>
      <c r="B18" s="9" t="s">
        <v>101</v>
      </c>
      <c r="C18" s="9" t="s">
        <v>104</v>
      </c>
      <c r="D18" s="9" t="s">
        <v>106</v>
      </c>
      <c r="E18" s="9">
        <f>0.133773577479141</f>
        <v>0.13377357747914101</v>
      </c>
      <c r="F18" s="9" t="s">
        <v>29</v>
      </c>
      <c r="H18" t="s">
        <v>9</v>
      </c>
      <c r="I18" t="s">
        <v>36</v>
      </c>
      <c r="K18" t="s">
        <v>9</v>
      </c>
      <c r="L18">
        <f>SUM(B17,B19,B21,B25,B23,B27)/6</f>
        <v>0.41051126666666665</v>
      </c>
      <c r="M18">
        <f>SUM(B17,B19,B21)/3</f>
        <v>0.33221063333333328</v>
      </c>
      <c r="N18">
        <f>SUM(B23,B25,B27)/3</f>
        <v>0.48881189999999997</v>
      </c>
    </row>
    <row r="19" spans="1:16">
      <c r="A19" t="s">
        <v>3</v>
      </c>
      <c r="B19" s="9">
        <f>0.4998837</f>
        <v>0.49988369999999999</v>
      </c>
      <c r="C19" s="9">
        <f>0.5122232</f>
        <v>0.51222319999999999</v>
      </c>
      <c r="D19" s="9">
        <f>0.49999425</f>
        <v>0.49999424999999997</v>
      </c>
      <c r="E19" s="9">
        <f>0.49633452</f>
        <v>0.49633452</v>
      </c>
      <c r="F19" s="9">
        <f>0.49297398</f>
        <v>0.49297397999999998</v>
      </c>
      <c r="G19">
        <f>0.49297398</f>
        <v>0.49297397999999998</v>
      </c>
      <c r="H19" t="s">
        <v>10</v>
      </c>
      <c r="I19" t="s">
        <v>2</v>
      </c>
      <c r="K19" t="s">
        <v>10</v>
      </c>
      <c r="L19">
        <f>SUM(C17,C19,C21,C23,C25,C27)/6</f>
        <v>0.41667746666666666</v>
      </c>
      <c r="M19">
        <f>SUM(C17,C19,C21)/3</f>
        <v>0.33690816666666668</v>
      </c>
      <c r="N19">
        <f>SUM(C23,C25,C27)/3</f>
        <v>0.49644676666666671</v>
      </c>
    </row>
    <row r="20" spans="1:16">
      <c r="A20" t="s">
        <v>34</v>
      </c>
      <c r="B20" s="9">
        <f>0.5839373</f>
        <v>0.58393729999999999</v>
      </c>
      <c r="C20" s="9">
        <f>1.2310393</f>
        <v>1.2310392999999999</v>
      </c>
      <c r="D20" s="18">
        <f>0.0857462</f>
        <v>8.5746199999999995E-2</v>
      </c>
      <c r="E20" s="18">
        <f>0.05617182</f>
        <v>5.6171819999999997E-2</v>
      </c>
      <c r="F20" s="18">
        <f>0.02886502</f>
        <v>2.8865020000000002E-2</v>
      </c>
      <c r="H20" t="s">
        <v>11</v>
      </c>
      <c r="I20" t="s">
        <v>6</v>
      </c>
      <c r="K20" t="s">
        <v>11</v>
      </c>
      <c r="L20">
        <f>SUM(D17,D19,D21,D23,D25,D27)/6</f>
        <v>0.410175597</v>
      </c>
      <c r="M20">
        <f>SUM(D17,D19,D21)/3</f>
        <v>0.33440237333333328</v>
      </c>
      <c r="N20">
        <f>SUM(D23,D25,D27)/3</f>
        <v>0.48594882066666667</v>
      </c>
    </row>
    <row r="21" spans="1:16">
      <c r="A21" t="s">
        <v>4</v>
      </c>
      <c r="B21" s="9">
        <f>0.4967482</f>
        <v>0.49674819999999997</v>
      </c>
      <c r="C21" s="9">
        <f>0.4985013</f>
        <v>0.49850129999999998</v>
      </c>
      <c r="D21" s="9">
        <f>0.50321287</f>
        <v>0.50321287000000003</v>
      </c>
      <c r="E21" s="9">
        <f>0.5078179</f>
        <v>0.50781790000000004</v>
      </c>
      <c r="F21" s="9">
        <f>0.4868381</f>
        <v>0.4868381</v>
      </c>
      <c r="G21" s="2"/>
      <c r="H21" t="s">
        <v>12</v>
      </c>
      <c r="I21" t="s">
        <v>7</v>
      </c>
      <c r="K21" t="s">
        <v>12</v>
      </c>
      <c r="L21">
        <f>SUM(E17,E19,E21,E23,E25,E27)/6</f>
        <v>0.40966702403640248</v>
      </c>
      <c r="M21">
        <f>SUM(E17,E19,E21)/3</f>
        <v>0.33471747333333335</v>
      </c>
      <c r="N21">
        <f>SUM(E23,E25,E27)/3</f>
        <v>0.48461657473947167</v>
      </c>
    </row>
    <row r="22" spans="1:16">
      <c r="A22" t="s">
        <v>35</v>
      </c>
      <c r="B22" s="9">
        <f>0.388919</f>
        <v>0.38891900000000001</v>
      </c>
      <c r="C22" s="9">
        <f>1.5988204</f>
        <v>1.5988203999999999</v>
      </c>
      <c r="D22" s="9">
        <f>0.53422076</f>
        <v>0.53422075999999996</v>
      </c>
      <c r="E22" s="9">
        <f>0.07032181</f>
        <v>7.0321809999999998E-2</v>
      </c>
      <c r="F22" s="9">
        <f>0.09193794</f>
        <v>9.1937939999999996E-2</v>
      </c>
      <c r="G22" s="2"/>
      <c r="H22" t="s">
        <v>13</v>
      </c>
      <c r="I22" t="s">
        <v>4</v>
      </c>
      <c r="K22" t="s">
        <v>13</v>
      </c>
      <c r="L22">
        <f>SUM(F17,F19,F21,F23,F25,F27)/6</f>
        <v>0.41042537134546753</v>
      </c>
      <c r="M22">
        <f>SUM(F17,F19,F21)/3</f>
        <v>0.32660402666666666</v>
      </c>
      <c r="N22">
        <f>SUM(F23,F25,F27)/3</f>
        <v>0.49424671602426828</v>
      </c>
    </row>
    <row r="23" spans="1:16">
      <c r="A23" t="s">
        <v>5</v>
      </c>
      <c r="B23" s="9">
        <f>0.4732334</f>
        <v>0.47323340000000003</v>
      </c>
      <c r="C23" s="9">
        <f>0.496788</f>
        <v>0.49678800000000001</v>
      </c>
      <c r="D23" s="14">
        <f>0.466880942</f>
        <v>0.46688094200000002</v>
      </c>
      <c r="E23" s="9">
        <f>0.464668094218415</f>
        <v>0.46466809421841498</v>
      </c>
      <c r="F23" s="9">
        <f>0.488222698072805</f>
        <v>0.48822269807280499</v>
      </c>
      <c r="G23" s="2"/>
      <c r="K23" s="10" t="s">
        <v>96</v>
      </c>
      <c r="M23" s="10" t="str">
        <f>K23</f>
        <v>Regression</v>
      </c>
      <c r="N23" s="10" t="str">
        <f>M23</f>
        <v>Regression</v>
      </c>
    </row>
    <row r="24" spans="1:16">
      <c r="A24" t="s">
        <v>6</v>
      </c>
      <c r="B24" s="9">
        <f>0.4159817</f>
        <v>0.41598170000000001</v>
      </c>
      <c r="C24" s="9">
        <f>3.0418163</f>
        <v>3.0418162999999998</v>
      </c>
      <c r="D24" s="9">
        <f>1.10663284</f>
        <v>1.1066328400000001</v>
      </c>
      <c r="E24" s="9">
        <f>0.552469041080771</f>
        <v>0.552469041080771</v>
      </c>
      <c r="F24" s="9">
        <f>1.19202079653923</f>
        <v>1.19202079653923</v>
      </c>
      <c r="G24" s="2"/>
      <c r="H24" t="s">
        <v>94</v>
      </c>
      <c r="K24" t="str">
        <f>K18</f>
        <v>Fold 1</v>
      </c>
      <c r="L24">
        <f>SUM(B18,B20,B22,B24,B26,B28)/6</f>
        <v>0.37600050000000002</v>
      </c>
      <c r="M24">
        <f>SUM(B18,B20,B22)/3</f>
        <v>0.32428543333333332</v>
      </c>
      <c r="N24">
        <f>P27/3</f>
        <v>0.42771266666666669</v>
      </c>
      <c r="P24">
        <f>0.415982</f>
        <v>0.41598200000000002</v>
      </c>
    </row>
    <row r="25" spans="1:16">
      <c r="A25" t="s">
        <v>7</v>
      </c>
      <c r="B25" s="9">
        <f>0.4953396</f>
        <v>0.49533959999999999</v>
      </c>
      <c r="C25" s="18">
        <f>0.4956971</f>
        <v>0.4956971</v>
      </c>
      <c r="D25" s="9">
        <f>0.49009582</f>
        <v>0.49009582000000002</v>
      </c>
      <c r="E25" s="9">
        <f>0.49047193</f>
        <v>0.49047193</v>
      </c>
      <c r="F25" s="9">
        <f>0.4952373</f>
        <v>0.49523729999999999</v>
      </c>
      <c r="G25" s="2"/>
      <c r="H25" t="s">
        <v>9</v>
      </c>
      <c r="I25" t="s">
        <v>36</v>
      </c>
      <c r="K25" t="str">
        <f t="shared" ref="K25:K28" si="1">K19</f>
        <v>Fold 2</v>
      </c>
      <c r="L25">
        <f>SUM(C18,C20,C22,C24,C26,C28)/6</f>
        <v>1.9480653000000003</v>
      </c>
      <c r="M25">
        <f>SUM(C18,C20,C22)/3</f>
        <v>0.94328656666666666</v>
      </c>
      <c r="N25">
        <f>SUM(C24,C26,C28)/3</f>
        <v>2.9528440333333332</v>
      </c>
      <c r="P25">
        <f>0.325144</f>
        <v>0.32514399999999999</v>
      </c>
    </row>
    <row r="26" spans="1:16">
      <c r="A26" t="s">
        <v>36</v>
      </c>
      <c r="B26" s="18">
        <f>0.3251435</f>
        <v>0.32514349999999997</v>
      </c>
      <c r="C26" s="9">
        <f>2.9395235</f>
        <v>2.9395235</v>
      </c>
      <c r="D26" s="9">
        <f>0.700055</f>
        <v>0.70005499999999998</v>
      </c>
      <c r="E26" s="9">
        <f>0.46293378</f>
        <v>0.46293378000000002</v>
      </c>
      <c r="F26" s="9">
        <f>0.6654148</f>
        <v>0.66541479999999997</v>
      </c>
      <c r="H26" t="s">
        <v>10</v>
      </c>
      <c r="I26" t="s">
        <v>1</v>
      </c>
      <c r="K26" t="str">
        <f t="shared" si="1"/>
        <v>Fold 3</v>
      </c>
      <c r="L26">
        <f>SUM(D18,D20,D22,D24,D26,D28)/6</f>
        <v>0.53762142666666668</v>
      </c>
      <c r="M26">
        <f>SUM(D18,D20,D22)/3</f>
        <v>0.20665565333333333</v>
      </c>
      <c r="N26">
        <f>SUM(C24,C26,C28)/3</f>
        <v>2.9528440333333332</v>
      </c>
      <c r="P26">
        <f>0.542012</f>
        <v>0.54201200000000005</v>
      </c>
    </row>
    <row r="27" spans="1:16">
      <c r="A27" t="s">
        <v>8</v>
      </c>
      <c r="B27" s="9">
        <f>0.4978627</f>
        <v>0.49786269999999999</v>
      </c>
      <c r="C27" s="9">
        <f>0.4968552</f>
        <v>0.4968552</v>
      </c>
      <c r="D27" s="9">
        <f>0.5008697</f>
        <v>0.50086969999999997</v>
      </c>
      <c r="E27" s="9">
        <f>0.4987097</f>
        <v>0.49870969999999998</v>
      </c>
      <c r="F27" s="9">
        <f>0.49928015</f>
        <v>0.49928014999999998</v>
      </c>
      <c r="H27" t="s">
        <v>11</v>
      </c>
      <c r="I27" t="s">
        <v>34</v>
      </c>
      <c r="K27" t="str">
        <f>K21</f>
        <v>Fold 4</v>
      </c>
      <c r="L27">
        <f>SUM(E18,E20,E22,E24,E26,E28)/6</f>
        <v>0.27123437975998538</v>
      </c>
      <c r="M27">
        <f>SUM(E18,E20,E22)/3</f>
        <v>8.675573582638034E-2</v>
      </c>
      <c r="N27">
        <f>SUM(E24,E26,E28)/3</f>
        <v>0.45571302369359029</v>
      </c>
      <c r="P27">
        <f>SUM(P24:P26)</f>
        <v>1.2831380000000001</v>
      </c>
    </row>
    <row r="28" spans="1:16">
      <c r="A28" t="s">
        <v>37</v>
      </c>
      <c r="B28" s="9">
        <f>0.5420215</f>
        <v>0.54202150000000004</v>
      </c>
      <c r="C28" s="9">
        <f>2.8771923</f>
        <v>2.8771922999999999</v>
      </c>
      <c r="D28" s="9">
        <f>0.79907376</f>
        <v>0.79907375999999997</v>
      </c>
      <c r="E28" s="15">
        <f>0.35173625</f>
        <v>0.35173624999999997</v>
      </c>
      <c r="F28" s="9">
        <f>0.58343124</f>
        <v>0.58343124000000002</v>
      </c>
      <c r="H28" t="s">
        <v>12</v>
      </c>
      <c r="I28" t="s">
        <v>34</v>
      </c>
      <c r="K28" t="str">
        <f t="shared" si="1"/>
        <v>Fold 5</v>
      </c>
      <c r="L28">
        <f>SUM(F18,F20,F22,F24,F26,F28)/6</f>
        <v>0.42694496608987165</v>
      </c>
      <c r="M28">
        <f>SUM(F18,F20,F22)/3</f>
        <v>4.0267653333333334E-2</v>
      </c>
      <c r="N28">
        <f>SUM(F24,F26,F28)/3</f>
        <v>0.81362227884641003</v>
      </c>
    </row>
    <row r="29" spans="1:16">
      <c r="B29" s="9"/>
      <c r="D29" s="16"/>
      <c r="E29" s="17"/>
      <c r="F29" s="16"/>
      <c r="H29" t="s">
        <v>13</v>
      </c>
      <c r="I29" t="s">
        <v>34</v>
      </c>
    </row>
    <row r="30" spans="1:16">
      <c r="A30" s="1" t="s">
        <v>21</v>
      </c>
      <c r="B30" t="s">
        <v>9</v>
      </c>
      <c r="C30" t="s">
        <v>10</v>
      </c>
      <c r="D30" t="s">
        <v>11</v>
      </c>
      <c r="E30" t="s">
        <v>12</v>
      </c>
      <c r="F30" t="s">
        <v>13</v>
      </c>
    </row>
    <row r="31" spans="1:16">
      <c r="A31" t="s">
        <v>1</v>
      </c>
      <c r="B31" s="2">
        <f>0.505353319057815</f>
        <v>0.505353319057815</v>
      </c>
      <c r="C31" s="2">
        <f>0.477516059957173</f>
        <v>0.477516059957173</v>
      </c>
      <c r="D31" s="2">
        <f>0.494646680942184</f>
        <v>0.494646680942184</v>
      </c>
      <c r="E31" s="2">
        <f>0.486081370449678</f>
        <v>0.48608137044967797</v>
      </c>
      <c r="F31" s="2">
        <f>0.492505353319057</f>
        <v>0.49250535331905698</v>
      </c>
      <c r="H31" t="s">
        <v>95</v>
      </c>
      <c r="K31" s="12" t="s">
        <v>21</v>
      </c>
      <c r="M31" s="12" t="s">
        <v>100</v>
      </c>
      <c r="N31" s="12" t="s">
        <v>99</v>
      </c>
    </row>
    <row r="32" spans="1:16">
      <c r="A32" t="s">
        <v>2</v>
      </c>
      <c r="B32" s="2">
        <f>0.218232737398199</f>
        <v>0.21823273739819901</v>
      </c>
      <c r="C32" s="2">
        <f>9.22331308683836</f>
        <v>9.2233130868383597</v>
      </c>
      <c r="D32" s="2">
        <f>0.243253429516013</f>
        <v>0.243253429516013</v>
      </c>
      <c r="E32" s="2">
        <f>0.0272181990510421</f>
        <v>2.72181990510421E-2</v>
      </c>
      <c r="F32" s="2">
        <f>0.0244036183002867</f>
        <v>2.44036183002867E-2</v>
      </c>
      <c r="H32" t="s">
        <v>9</v>
      </c>
      <c r="I32" t="s">
        <v>36</v>
      </c>
      <c r="K32" s="10" t="str">
        <f>K17</f>
        <v>Classification</v>
      </c>
      <c r="M32" s="10" t="str">
        <f>M17</f>
        <v>Classification</v>
      </c>
      <c r="N32" s="10" t="str">
        <f>N17</f>
        <v>Classification</v>
      </c>
    </row>
    <row r="33" spans="1:14">
      <c r="A33" t="s">
        <v>3</v>
      </c>
      <c r="B33" s="2">
        <f>0.26779357</f>
        <v>0.26779356999999998</v>
      </c>
      <c r="C33" s="2">
        <f>0.33536112</f>
        <v>0.33536112000000001</v>
      </c>
      <c r="D33" s="2">
        <f>0.2816803</f>
        <v>0.28168029999999999</v>
      </c>
      <c r="E33" s="2">
        <f>0.25790796</f>
        <v>0.25790795999999999</v>
      </c>
      <c r="F33" s="2">
        <f>0.27341437</f>
        <v>0.27341437000000002</v>
      </c>
      <c r="H33" t="s">
        <v>10</v>
      </c>
      <c r="I33" t="s">
        <v>8</v>
      </c>
      <c r="K33" t="str">
        <f t="shared" ref="K33:K42" si="2">K18</f>
        <v>Fold 1</v>
      </c>
      <c r="L33">
        <f>SUM(B31,B33,B35,B37,B39,B41)/6</f>
        <v>0.33513586562812248</v>
      </c>
      <c r="M33">
        <f>SUM(B31,B33,B35)/3</f>
        <v>0.34147776968593835</v>
      </c>
      <c r="N33">
        <f>SUM(B37,B39,B41)/3</f>
        <v>0.32879396157030666</v>
      </c>
    </row>
    <row r="34" spans="1:14">
      <c r="A34" t="s">
        <v>34</v>
      </c>
      <c r="B34" s="2">
        <f>0.3979998</f>
        <v>0.39799980000000001</v>
      </c>
      <c r="C34" s="2">
        <f>2.67062</f>
        <v>2.67062</v>
      </c>
      <c r="D34" s="2">
        <f>0.01061037</f>
        <v>1.0610369999999999E-2</v>
      </c>
      <c r="E34" s="2">
        <f>0.00535633</f>
        <v>5.3563300000000003E-3</v>
      </c>
      <c r="F34" s="5">
        <f>0.00140317</f>
        <v>1.40317E-3</v>
      </c>
      <c r="H34" t="s">
        <v>11</v>
      </c>
      <c r="I34" t="s">
        <v>34</v>
      </c>
      <c r="K34" t="str">
        <f t="shared" si="2"/>
        <v>Fold 2</v>
      </c>
      <c r="L34">
        <f>SUM(C31,C33,C35,C37,C39,C41)/6</f>
        <v>0.36125933808708055</v>
      </c>
      <c r="M34">
        <f>SUM(C31,C33,C35)/3</f>
        <v>0.38654334331905771</v>
      </c>
      <c r="N34">
        <f>SUM(C37,C39,C41)/3</f>
        <v>0.33597533285510339</v>
      </c>
    </row>
    <row r="35" spans="1:14">
      <c r="A35" t="s">
        <v>4</v>
      </c>
      <c r="B35" s="2">
        <f>0.25128642</f>
        <v>0.25128642000000001</v>
      </c>
      <c r="C35" s="2">
        <f>0.34675285</f>
        <v>0.34675285</v>
      </c>
      <c r="D35" s="2">
        <f>0.32399637</f>
        <v>0.32399636999999998</v>
      </c>
      <c r="E35" s="2">
        <f>0.30122712</f>
        <v>0.30122712000000001</v>
      </c>
      <c r="F35" s="2">
        <f>0.25336137</f>
        <v>0.25336136999999997</v>
      </c>
      <c r="H35" t="s">
        <v>12</v>
      </c>
      <c r="I35" t="s">
        <v>34</v>
      </c>
      <c r="K35" t="str">
        <f t="shared" si="2"/>
        <v>Fold 3</v>
      </c>
      <c r="L35">
        <f>SUM(D31,D33,D35,D37,D39,D41)/6</f>
        <v>0.34697169546395418</v>
      </c>
      <c r="M35">
        <f>SUM(D31,D33,D35)/3</f>
        <v>0.36677445031406131</v>
      </c>
      <c r="N35">
        <f>SUM(D37,D39,D41)/3</f>
        <v>0.32716894061384699</v>
      </c>
    </row>
    <row r="36" spans="1:14">
      <c r="A36" t="s">
        <v>35</v>
      </c>
      <c r="B36" s="2">
        <f>0.17189465</f>
        <v>0.17189465000000001</v>
      </c>
      <c r="C36" s="2">
        <f>4.643264</f>
        <v>4.6432640000000003</v>
      </c>
      <c r="D36" s="2">
        <f>0.32230368</f>
        <v>0.32230367999999998</v>
      </c>
      <c r="E36" s="2">
        <f>0.00817965</f>
        <v>8.1796500000000001E-3</v>
      </c>
      <c r="F36" s="2">
        <f>0.01458676</f>
        <v>1.4586760000000001E-2</v>
      </c>
      <c r="H36" t="s">
        <v>13</v>
      </c>
      <c r="I36" t="s">
        <v>34</v>
      </c>
      <c r="K36" t="str">
        <f t="shared" si="2"/>
        <v>Fold 4</v>
      </c>
      <c r="L36">
        <f>SUM(E31,E33,E35,E37,E39,E41)/6</f>
        <v>0.3380344457780155</v>
      </c>
      <c r="M36">
        <f>SUM(E31,E33,E35)/3</f>
        <v>0.34840548348322598</v>
      </c>
      <c r="N36">
        <f>SUM(E37,E39,E41)/3</f>
        <v>0.32766340807280497</v>
      </c>
    </row>
    <row r="37" spans="1:14">
      <c r="A37" t="s">
        <v>5</v>
      </c>
      <c r="B37" s="2">
        <f>0.47323340471092</f>
        <v>0.47323340471092001</v>
      </c>
      <c r="C37" s="2">
        <f>0.49678800856531</f>
        <v>0.49678800856531002</v>
      </c>
      <c r="D37" s="2">
        <f>0.466809421841541</f>
        <v>0.46680942184154101</v>
      </c>
      <c r="E37" s="2">
        <f>0.464668094218415</f>
        <v>0.46466809421841498</v>
      </c>
      <c r="F37" s="2">
        <f>0.488222698072805</f>
        <v>0.48822269807280499</v>
      </c>
      <c r="K37" t="str">
        <f t="shared" si="2"/>
        <v>Fold 5</v>
      </c>
      <c r="L37">
        <f>SUM(F31,F33,F35,F37,F39,F41)/6</f>
        <v>0.3394522968986437</v>
      </c>
      <c r="M37">
        <f>SUM(F31,F33,F35)/3</f>
        <v>0.33976036443968566</v>
      </c>
      <c r="N37">
        <f>SUM(F37,F39,F41)/3</f>
        <v>0.33914422935760169</v>
      </c>
    </row>
    <row r="38" spans="1:14">
      <c r="A38" t="s">
        <v>6</v>
      </c>
      <c r="B38" s="2">
        <f>0.267383649373048</f>
        <v>0.26738364937304798</v>
      </c>
      <c r="C38" s="2">
        <f>11.5300046916481</f>
        <v>11.5300046916481</v>
      </c>
      <c r="D38" s="2">
        <f>2.46374276333654</f>
        <v>2.4637427633365401</v>
      </c>
      <c r="E38" s="2">
        <f>0.454032826187166</f>
        <v>0.45403282618716601</v>
      </c>
      <c r="F38" s="2">
        <f>1.99517097382896</f>
        <v>1.99517097382896</v>
      </c>
      <c r="K38" s="10" t="str">
        <f t="shared" si="2"/>
        <v>Regression</v>
      </c>
      <c r="M38" s="10" t="str">
        <f>M23</f>
        <v>Regression</v>
      </c>
      <c r="N38" s="10" t="str">
        <f>N23</f>
        <v>Regression</v>
      </c>
    </row>
    <row r="39" spans="1:14">
      <c r="A39" t="s">
        <v>7</v>
      </c>
      <c r="B39" s="2">
        <f>0.2626788</f>
        <v>0.26267879999999999</v>
      </c>
      <c r="C39" s="2">
        <f>0.26310447</f>
        <v>0.26310446999999998</v>
      </c>
      <c r="D39" s="2">
        <f>0.2624369</f>
        <v>0.26243689999999997</v>
      </c>
      <c r="E39" s="2">
        <f>0.26902062</f>
        <v>0.26902061999999999</v>
      </c>
      <c r="F39" s="2">
        <f>0.27926183</f>
        <v>0.27926182999999999</v>
      </c>
      <c r="K39" t="str">
        <f>K24</f>
        <v>Fold 1</v>
      </c>
    </row>
    <row r="40" spans="1:14">
      <c r="A40" t="s">
        <v>36</v>
      </c>
      <c r="B40" s="2">
        <f>0.16338402</f>
        <v>0.16338401999999999</v>
      </c>
      <c r="C40" s="2">
        <f>10.861558</f>
        <v>10.861558</v>
      </c>
      <c r="D40" s="2">
        <f>0.6763687</f>
        <v>0.67636870000000004</v>
      </c>
      <c r="E40" s="2">
        <f>0.28178778</f>
        <v>0.28178777999999999</v>
      </c>
      <c r="F40" s="2">
        <f>0.5230367</f>
        <v>0.52303670000000002</v>
      </c>
      <c r="K40" t="str">
        <f t="shared" si="2"/>
        <v>Fold 2</v>
      </c>
    </row>
    <row r="41" spans="1:14">
      <c r="A41" t="s">
        <v>8</v>
      </c>
      <c r="B41" s="2">
        <f>0.25046968</f>
        <v>0.25046967999999997</v>
      </c>
      <c r="C41" s="2">
        <f>0.24803352</f>
        <v>0.24803352000000001</v>
      </c>
      <c r="D41" s="2">
        <f>0.2522605</f>
        <v>0.2522605</v>
      </c>
      <c r="E41" s="2">
        <f>0.24930151</f>
        <v>0.24930151</v>
      </c>
      <c r="F41" s="2">
        <f>0.24994816</f>
        <v>0.24994816</v>
      </c>
      <c r="K41" t="str">
        <f t="shared" si="2"/>
        <v>Fold 3</v>
      </c>
      <c r="N41">
        <f>SUM(F37,F39,F41)</f>
        <v>1.0174326880728051</v>
      </c>
    </row>
    <row r="42" spans="1:14">
      <c r="A42" t="s">
        <v>37</v>
      </c>
      <c r="B42" s="2">
        <f>0.47966784</f>
        <v>0.47966784000000001</v>
      </c>
      <c r="C42" s="2">
        <f>10.426144</f>
        <v>10.426144000000001</v>
      </c>
      <c r="D42" s="2">
        <f>0.8275157</f>
        <v>0.82751569999999997</v>
      </c>
      <c r="E42" s="2">
        <f>0.16618541</f>
        <v>0.16618541000000001</v>
      </c>
      <c r="F42" s="2">
        <f>0.41073775</f>
        <v>0.41073775000000001</v>
      </c>
      <c r="K42" t="str">
        <f t="shared" si="2"/>
        <v>Fold 4</v>
      </c>
      <c r="N42">
        <f>F37+F39</f>
        <v>0.76748452807280498</v>
      </c>
    </row>
    <row r="43" spans="1:14">
      <c r="A43" s="3"/>
      <c r="B43" s="2"/>
      <c r="C43" s="3"/>
      <c r="D43" s="2"/>
      <c r="E43" s="3"/>
      <c r="F43" s="3"/>
      <c r="K43" t="str">
        <f>K28</f>
        <v>Fold 5</v>
      </c>
    </row>
    <row r="44" spans="1:14">
      <c r="A44" s="3"/>
      <c r="B44" s="8"/>
      <c r="C44" s="3"/>
      <c r="D44" s="3"/>
      <c r="E44" s="3"/>
      <c r="F44" s="3"/>
    </row>
    <row r="45" spans="1:14">
      <c r="A45" s="3"/>
      <c r="B45" s="3"/>
      <c r="C45" s="3"/>
      <c r="D45" s="3"/>
      <c r="E45" s="3"/>
      <c r="F45" s="3"/>
    </row>
    <row r="46" spans="1:14">
      <c r="A46" s="3"/>
      <c r="B46" s="3"/>
      <c r="C46" s="3"/>
      <c r="D46" s="3"/>
      <c r="E46" s="3"/>
      <c r="F46" s="3"/>
    </row>
    <row r="47" spans="1:14">
      <c r="A47" s="3"/>
      <c r="B47" s="3"/>
      <c r="C47" s="3"/>
      <c r="D47" s="3"/>
      <c r="E47" s="3"/>
      <c r="F47" s="3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2019-03-12T17:48:33Z</dcterms:created>
  <dcterms:modified xsi:type="dcterms:W3CDTF">2019-03-20T13:28:38Z</dcterms:modified>
</cp:coreProperties>
</file>