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20115" windowHeight="7995"/>
  </bookViews>
  <sheets>
    <sheet name="tank 1" sheetId="1" r:id="rId1"/>
    <sheet name="tank 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4" i="2"/>
  <c r="B4"/>
  <c r="B2"/>
  <c r="I41"/>
  <c r="F41"/>
  <c r="D41"/>
  <c r="G41" s="1"/>
  <c r="J41" s="1"/>
  <c r="L41" s="1"/>
  <c r="E23" s="1"/>
  <c r="F23" s="1"/>
  <c r="I40"/>
  <c r="F40"/>
  <c r="D40"/>
  <c r="G40" s="1"/>
  <c r="J40" s="1"/>
  <c r="L40" s="1"/>
  <c r="E22" s="1"/>
  <c r="F22" s="1"/>
  <c r="I39"/>
  <c r="F39"/>
  <c r="D39"/>
  <c r="G39" s="1"/>
  <c r="J39" s="1"/>
  <c r="L39" s="1"/>
  <c r="E21" s="1"/>
  <c r="F21" s="1"/>
  <c r="I38"/>
  <c r="F38"/>
  <c r="D38"/>
  <c r="G38" s="1"/>
  <c r="J38" s="1"/>
  <c r="L38" s="1"/>
  <c r="E20" s="1"/>
  <c r="F20" s="1"/>
  <c r="I37"/>
  <c r="F37"/>
  <c r="D37"/>
  <c r="G37" s="1"/>
  <c r="J37" s="1"/>
  <c r="L37" s="1"/>
  <c r="E19" s="1"/>
  <c r="F19" s="1"/>
  <c r="I36"/>
  <c r="F36"/>
  <c r="D36"/>
  <c r="G36" s="1"/>
  <c r="J36" s="1"/>
  <c r="L36" s="1"/>
  <c r="E18" s="1"/>
  <c r="F18" s="1"/>
  <c r="I35"/>
  <c r="F35"/>
  <c r="D35"/>
  <c r="G35" s="1"/>
  <c r="J35" s="1"/>
  <c r="L35" s="1"/>
  <c r="E17" s="1"/>
  <c r="F17" s="1"/>
  <c r="I34"/>
  <c r="F34"/>
  <c r="D34"/>
  <c r="G34" s="1"/>
  <c r="J34" s="1"/>
  <c r="L34" s="1"/>
  <c r="E16" s="1"/>
  <c r="F16" s="1"/>
  <c r="I33"/>
  <c r="F33"/>
  <c r="D33"/>
  <c r="G33" s="1"/>
  <c r="J33" s="1"/>
  <c r="L33" s="1"/>
  <c r="E15" s="1"/>
  <c r="F15" s="1"/>
  <c r="I32"/>
  <c r="F32"/>
  <c r="D32"/>
  <c r="G32" s="1"/>
  <c r="J32" s="1"/>
  <c r="L32" s="1"/>
  <c r="E14" s="1"/>
  <c r="F14" s="1"/>
  <c r="I31"/>
  <c r="F31"/>
  <c r="D31"/>
  <c r="G31" s="1"/>
  <c r="J31" s="1"/>
  <c r="L31" s="1"/>
  <c r="E13" s="1"/>
  <c r="F13" s="1"/>
  <c r="I30"/>
  <c r="F30"/>
  <c r="D30"/>
  <c r="G30" s="1"/>
  <c r="J30" s="1"/>
  <c r="L30" s="1"/>
  <c r="E12" s="1"/>
  <c r="F12" s="1"/>
  <c r="G23"/>
  <c r="J23" s="1"/>
  <c r="C23"/>
  <c r="D23" s="1"/>
  <c r="J22"/>
  <c r="G22"/>
  <c r="I22" s="1"/>
  <c r="G21"/>
  <c r="J21" s="1"/>
  <c r="C21"/>
  <c r="D21" s="1"/>
  <c r="J20"/>
  <c r="G20"/>
  <c r="I20" s="1"/>
  <c r="G19"/>
  <c r="J19" s="1"/>
  <c r="C19"/>
  <c r="D19" s="1"/>
  <c r="J18"/>
  <c r="G18"/>
  <c r="I18" s="1"/>
  <c r="G17"/>
  <c r="J17" s="1"/>
  <c r="C17"/>
  <c r="D17" s="1"/>
  <c r="J16"/>
  <c r="G16"/>
  <c r="I16" s="1"/>
  <c r="G15"/>
  <c r="J15" s="1"/>
  <c r="C15"/>
  <c r="D15" s="1"/>
  <c r="J14"/>
  <c r="G14"/>
  <c r="I14" s="1"/>
  <c r="G13"/>
  <c r="J13" s="1"/>
  <c r="C13"/>
  <c r="D13" s="1"/>
  <c r="J12"/>
  <c r="G12"/>
  <c r="I12" s="1"/>
  <c r="L22"/>
  <c r="C22"/>
  <c r="D22" s="1"/>
  <c r="L13" i="1"/>
  <c r="L14"/>
  <c r="L15"/>
  <c r="L16"/>
  <c r="L17"/>
  <c r="L18"/>
  <c r="L19"/>
  <c r="L20"/>
  <c r="L21"/>
  <c r="L22"/>
  <c r="L23"/>
  <c r="L12"/>
  <c r="H13"/>
  <c r="H14"/>
  <c r="H15"/>
  <c r="H16"/>
  <c r="H17"/>
  <c r="H18"/>
  <c r="H19"/>
  <c r="H20"/>
  <c r="H21"/>
  <c r="H22"/>
  <c r="H23"/>
  <c r="H12"/>
  <c r="B4"/>
  <c r="F13"/>
  <c r="F14"/>
  <c r="F15"/>
  <c r="F16"/>
  <c r="F17"/>
  <c r="F18"/>
  <c r="F19"/>
  <c r="F20"/>
  <c r="F21"/>
  <c r="F22"/>
  <c r="F23"/>
  <c r="F12"/>
  <c r="I13"/>
  <c r="I14"/>
  <c r="I15"/>
  <c r="I16"/>
  <c r="I17"/>
  <c r="I18"/>
  <c r="I19"/>
  <c r="I20"/>
  <c r="I21"/>
  <c r="I22"/>
  <c r="I23"/>
  <c r="I12"/>
  <c r="G21"/>
  <c r="G22"/>
  <c r="G23"/>
  <c r="G20"/>
  <c r="G17"/>
  <c r="G18"/>
  <c r="J18" s="1"/>
  <c r="G19"/>
  <c r="G16"/>
  <c r="J16" s="1"/>
  <c r="G13"/>
  <c r="G14"/>
  <c r="G15"/>
  <c r="G12"/>
  <c r="J13"/>
  <c r="J14"/>
  <c r="J15"/>
  <c r="J17"/>
  <c r="J19"/>
  <c r="J20"/>
  <c r="J21"/>
  <c r="J22"/>
  <c r="J23"/>
  <c r="E13"/>
  <c r="E14"/>
  <c r="E15"/>
  <c r="E16"/>
  <c r="E17"/>
  <c r="E18"/>
  <c r="E19"/>
  <c r="E20"/>
  <c r="E21"/>
  <c r="E22"/>
  <c r="E23"/>
  <c r="E12"/>
  <c r="L31"/>
  <c r="L32"/>
  <c r="L33"/>
  <c r="L34"/>
  <c r="L35"/>
  <c r="L36"/>
  <c r="L37"/>
  <c r="L38"/>
  <c r="L39"/>
  <c r="L40"/>
  <c r="L41"/>
  <c r="L30"/>
  <c r="J31"/>
  <c r="J32"/>
  <c r="J33"/>
  <c r="J34"/>
  <c r="J35"/>
  <c r="J36"/>
  <c r="J37"/>
  <c r="J38"/>
  <c r="J39"/>
  <c r="J40"/>
  <c r="J41"/>
  <c r="J30"/>
  <c r="G31"/>
  <c r="G32"/>
  <c r="G33"/>
  <c r="G34"/>
  <c r="G35"/>
  <c r="G36"/>
  <c r="G37"/>
  <c r="G38"/>
  <c r="G39"/>
  <c r="G40"/>
  <c r="G41"/>
  <c r="G30"/>
  <c r="F31"/>
  <c r="F32"/>
  <c r="F33"/>
  <c r="F34"/>
  <c r="F35"/>
  <c r="F36"/>
  <c r="F37"/>
  <c r="F38"/>
  <c r="F39"/>
  <c r="F40"/>
  <c r="F41"/>
  <c r="F30"/>
  <c r="D31"/>
  <c r="D32"/>
  <c r="D33"/>
  <c r="D34"/>
  <c r="D35"/>
  <c r="D36"/>
  <c r="D37"/>
  <c r="D38"/>
  <c r="D39"/>
  <c r="D40"/>
  <c r="D41"/>
  <c r="D30"/>
  <c r="I31"/>
  <c r="I32"/>
  <c r="I33"/>
  <c r="I34"/>
  <c r="I35"/>
  <c r="I36"/>
  <c r="I37"/>
  <c r="I38"/>
  <c r="I39"/>
  <c r="I40"/>
  <c r="I41"/>
  <c r="I30"/>
  <c r="D13"/>
  <c r="D14"/>
  <c r="D15"/>
  <c r="D16"/>
  <c r="D17"/>
  <c r="D18"/>
  <c r="D19"/>
  <c r="D20"/>
  <c r="D21"/>
  <c r="D22"/>
  <c r="D23"/>
  <c r="D12"/>
  <c r="C23"/>
  <c r="C13"/>
  <c r="C14"/>
  <c r="C15"/>
  <c r="C16"/>
  <c r="C17"/>
  <c r="C18"/>
  <c r="C19"/>
  <c r="C20"/>
  <c r="C21"/>
  <c r="C22"/>
  <c r="C12"/>
  <c r="B2"/>
  <c r="H12" i="2" l="1"/>
  <c r="I13"/>
  <c r="L13"/>
  <c r="H14"/>
  <c r="I15"/>
  <c r="L15"/>
  <c r="H16"/>
  <c r="I17"/>
  <c r="L17"/>
  <c r="H18"/>
  <c r="I19"/>
  <c r="L19"/>
  <c r="H20"/>
  <c r="I21"/>
  <c r="L21"/>
  <c r="H22"/>
  <c r="I23"/>
  <c r="L23"/>
  <c r="C12"/>
  <c r="D12" s="1"/>
  <c r="L12"/>
  <c r="H13"/>
  <c r="C14"/>
  <c r="D14" s="1"/>
  <c r="L14"/>
  <c r="H15"/>
  <c r="C16"/>
  <c r="D16" s="1"/>
  <c r="L16"/>
  <c r="H17"/>
  <c r="C18"/>
  <c r="D18" s="1"/>
  <c r="L18"/>
  <c r="H19"/>
  <c r="C20"/>
  <c r="D20" s="1"/>
  <c r="L20"/>
  <c r="H21"/>
  <c r="H23"/>
  <c r="J12" i="1"/>
</calcChain>
</file>

<file path=xl/sharedStrings.xml><?xml version="1.0" encoding="utf-8"?>
<sst xmlns="http://schemas.openxmlformats.org/spreadsheetml/2006/main" count="154" uniqueCount="65">
  <si>
    <t>Selected lake</t>
  </si>
  <si>
    <t>Month</t>
  </si>
  <si>
    <t>Rainfall to catchment (m3)</t>
  </si>
  <si>
    <t>Rainfall data</t>
  </si>
  <si>
    <t>January</t>
  </si>
  <si>
    <t>Feburary</t>
  </si>
  <si>
    <t>March</t>
  </si>
  <si>
    <t>April</t>
  </si>
  <si>
    <t>May</t>
  </si>
  <si>
    <t>June</t>
  </si>
  <si>
    <t>July</t>
  </si>
  <si>
    <t>September</t>
  </si>
  <si>
    <t>October</t>
  </si>
  <si>
    <t>November</t>
  </si>
  <si>
    <t>December</t>
  </si>
  <si>
    <t>Catchment area (m2)</t>
  </si>
  <si>
    <t>Rainfall (mm = l/m2)</t>
  </si>
  <si>
    <t>Meyer's evaporation (mm = l/m2)</t>
  </si>
  <si>
    <t>Evaporation data</t>
  </si>
  <si>
    <t>Evapotranspiration (mm)</t>
  </si>
  <si>
    <t>Evaporation from tank (m3)</t>
  </si>
  <si>
    <t>Lake surface area (m2)</t>
  </si>
  <si>
    <t>(Obtained from calculation)</t>
  </si>
  <si>
    <t>(Multiply value E by tank area)</t>
  </si>
  <si>
    <t>(Data from publication)</t>
  </si>
  <si>
    <t>(Multiply value G with paddy cultivated area)</t>
  </si>
  <si>
    <t>Evapotranspiration from catchment forest</t>
  </si>
  <si>
    <t>(Multiply value G with cathment area)</t>
  </si>
  <si>
    <t>(Obtain in a similar way)</t>
  </si>
  <si>
    <t>Evapotranspiration data</t>
  </si>
  <si>
    <t>(Obtained from literature)</t>
  </si>
  <si>
    <t>August</t>
  </si>
  <si>
    <t>(product of B and C)</t>
  </si>
  <si>
    <t>Selected Cascade data</t>
  </si>
  <si>
    <t>Tank name</t>
  </si>
  <si>
    <t>Catchment Area (Km2)</t>
  </si>
  <si>
    <t>Storage capacity (HM/10000m3)</t>
  </si>
  <si>
    <t>Nawakkulama</t>
  </si>
  <si>
    <t>Kadiragama</t>
  </si>
  <si>
    <t>Panikillagama</t>
  </si>
  <si>
    <t>Catchment area (km2)</t>
  </si>
  <si>
    <t>February</t>
  </si>
  <si>
    <t>Km</t>
  </si>
  <si>
    <t>ew</t>
  </si>
  <si>
    <t>ea</t>
  </si>
  <si>
    <t>Relative humidity</t>
  </si>
  <si>
    <t>E(lake evaporation in mm/day</t>
  </si>
  <si>
    <t>number of days</t>
  </si>
  <si>
    <t>lake evaporation per month (mm)</t>
  </si>
  <si>
    <t>Temperature (Celcius)</t>
  </si>
  <si>
    <t>u (ms-1)</t>
  </si>
  <si>
    <t>ew-ea</t>
  </si>
  <si>
    <t>u(km/hr)</t>
  </si>
  <si>
    <t>Interceptor area (km2)</t>
  </si>
  <si>
    <t>Evapotranspiration from interceptor (m3)</t>
  </si>
  <si>
    <t>Evapotranpiration from paddy fields (m3)</t>
  </si>
  <si>
    <t>Water usage (m3)</t>
  </si>
  <si>
    <t>Water usage for paddy cultivation (cm)</t>
  </si>
  <si>
    <t>Water usage for paddy cultivation</t>
  </si>
  <si>
    <t>Yala season: May to August</t>
  </si>
  <si>
    <t>Around 115 to 120 days are needed for the paddy cultivation</t>
  </si>
  <si>
    <t>Maha season:  November to february</t>
  </si>
  <si>
    <t>September to march</t>
  </si>
  <si>
    <t>Irrigable Area (ha)</t>
  </si>
  <si>
    <t>Cultivated area (m2)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</si>
</sst>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/>
    <xf numFmtId="0" fontId="0" fillId="9" borderId="1" xfId="0" applyFill="1" applyBorder="1"/>
    <xf numFmtId="0" fontId="0" fillId="9" borderId="1" xfId="0" applyFill="1" applyBorder="1" applyAlignment="1">
      <alignment horizontal="right"/>
    </xf>
    <xf numFmtId="0" fontId="0" fillId="10" borderId="1" xfId="0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2" borderId="1" xfId="0" applyFill="1" applyBorder="1" applyAlignment="1">
      <alignment horizontal="center"/>
    </xf>
    <xf numFmtId="2" fontId="0" fillId="3" borderId="1" xfId="0" applyNumberFormat="1" applyFill="1" applyBorder="1"/>
    <xf numFmtId="0" fontId="0" fillId="0" borderId="0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4" borderId="1" xfId="0" applyNumberFormat="1" applyFill="1" applyBorder="1"/>
    <xf numFmtId="0" fontId="0" fillId="5" borderId="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153688</xdr:colOff>
      <xdr:row>44</xdr:row>
      <xdr:rowOff>16398</xdr:rowOff>
    </xdr:from>
    <xdr:to>
      <xdr:col>5</xdr:col>
      <xdr:colOff>362856</xdr:colOff>
      <xdr:row>95</xdr:row>
      <xdr:rowOff>87191</xdr:rowOff>
    </xdr:to>
    <xdr:pic>
      <xdr:nvPicPr>
        <xdr:cNvPr id="2" name="Picture 1" descr="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211536" y="10073193"/>
          <a:ext cx="9901953" cy="67519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153688</xdr:colOff>
      <xdr:row>44</xdr:row>
      <xdr:rowOff>16398</xdr:rowOff>
    </xdr:from>
    <xdr:to>
      <xdr:col>3</xdr:col>
      <xdr:colOff>19956</xdr:colOff>
      <xdr:row>95</xdr:row>
      <xdr:rowOff>87191</xdr:rowOff>
    </xdr:to>
    <xdr:pic>
      <xdr:nvPicPr>
        <xdr:cNvPr id="2" name="Picture 1" descr="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270500" y="9919886"/>
          <a:ext cx="9786293" cy="6743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1"/>
  <sheetViews>
    <sheetView tabSelected="1" topLeftCell="A2" zoomScale="84" zoomScaleNormal="84" zoomScalePageLayoutView="80" workbookViewId="0">
      <selection activeCell="B27" sqref="B27"/>
    </sheetView>
  </sheetViews>
  <sheetFormatPr defaultRowHeight="15"/>
  <cols>
    <col min="1" max="1" width="24.5703125" customWidth="1"/>
    <col min="2" max="2" width="19.85546875" customWidth="1"/>
    <col min="3" max="3" width="21.85546875" customWidth="1"/>
    <col min="4" max="4" width="25" customWidth="1"/>
    <col min="5" max="5" width="31.28515625" customWidth="1"/>
    <col min="6" max="6" width="36.140625" customWidth="1"/>
    <col min="7" max="7" width="33.7109375" customWidth="1"/>
    <col min="8" max="8" width="44" customWidth="1"/>
    <col min="9" max="9" width="40.140625" customWidth="1"/>
    <col min="10" max="10" width="44" customWidth="1"/>
    <col min="11" max="11" width="41.140625" customWidth="1"/>
    <col min="12" max="12" width="34.42578125" customWidth="1"/>
  </cols>
  <sheetData>
    <row r="1" spans="1:12">
      <c r="A1" s="10" t="s">
        <v>0</v>
      </c>
      <c r="B1" s="11" t="s">
        <v>37</v>
      </c>
      <c r="E1" s="21" t="s">
        <v>33</v>
      </c>
      <c r="F1" s="21"/>
      <c r="G1" s="21"/>
      <c r="H1" s="21"/>
    </row>
    <row r="2" spans="1:12">
      <c r="A2" s="10" t="s">
        <v>40</v>
      </c>
      <c r="B2" s="10">
        <f>F3</f>
        <v>0.49</v>
      </c>
      <c r="E2" s="1" t="s">
        <v>34</v>
      </c>
      <c r="F2" s="5" t="s">
        <v>35</v>
      </c>
      <c r="G2" s="5" t="s">
        <v>36</v>
      </c>
      <c r="H2" s="15" t="s">
        <v>63</v>
      </c>
      <c r="K2" s="13" t="s">
        <v>59</v>
      </c>
    </row>
    <row r="3" spans="1:12">
      <c r="A3" s="10" t="s">
        <v>21</v>
      </c>
      <c r="B3" s="10">
        <v>75000</v>
      </c>
      <c r="E3" s="1" t="s">
        <v>37</v>
      </c>
      <c r="F3" s="6">
        <v>0.49</v>
      </c>
      <c r="G3" s="6">
        <v>7.4</v>
      </c>
      <c r="H3" s="6">
        <v>3.84</v>
      </c>
      <c r="K3" t="s">
        <v>61</v>
      </c>
      <c r="L3" t="s">
        <v>62</v>
      </c>
    </row>
    <row r="4" spans="1:12">
      <c r="A4" s="10" t="s">
        <v>64</v>
      </c>
      <c r="B4" s="10">
        <f>H3*10000</f>
        <v>38400</v>
      </c>
      <c r="E4" s="1" t="s">
        <v>38</v>
      </c>
      <c r="F4" s="6">
        <v>1.78</v>
      </c>
      <c r="G4" s="6">
        <v>24.69</v>
      </c>
      <c r="H4" s="6">
        <v>14.71</v>
      </c>
      <c r="K4" t="s">
        <v>60</v>
      </c>
    </row>
    <row r="5" spans="1:12">
      <c r="A5" s="10" t="s">
        <v>53</v>
      </c>
      <c r="B5" s="10">
        <v>2.3400000000000001E-2</v>
      </c>
      <c r="E5" s="1" t="s">
        <v>39</v>
      </c>
      <c r="F5" s="6">
        <v>2.5099999999999998</v>
      </c>
      <c r="G5" s="6">
        <v>7.4</v>
      </c>
      <c r="H5" s="6">
        <v>9.51</v>
      </c>
    </row>
    <row r="9" spans="1:12">
      <c r="B9" s="26" t="s">
        <v>3</v>
      </c>
      <c r="C9" s="26"/>
      <c r="D9" s="26"/>
      <c r="E9" s="27" t="s">
        <v>18</v>
      </c>
      <c r="F9" s="27"/>
      <c r="G9" s="28" t="s">
        <v>29</v>
      </c>
      <c r="H9" s="28"/>
      <c r="I9" s="28"/>
      <c r="J9" s="28"/>
      <c r="K9" s="23" t="s">
        <v>58</v>
      </c>
      <c r="L9" s="24"/>
    </row>
    <row r="10" spans="1:12">
      <c r="A10" s="12" t="s">
        <v>1</v>
      </c>
      <c r="B10" s="1" t="s">
        <v>16</v>
      </c>
      <c r="C10" s="1" t="s">
        <v>15</v>
      </c>
      <c r="D10" s="1" t="s">
        <v>2</v>
      </c>
      <c r="E10" s="3" t="s">
        <v>17</v>
      </c>
      <c r="F10" s="3" t="s">
        <v>20</v>
      </c>
      <c r="G10" s="4" t="s">
        <v>19</v>
      </c>
      <c r="H10" s="4" t="s">
        <v>55</v>
      </c>
      <c r="I10" s="4" t="s">
        <v>26</v>
      </c>
      <c r="J10" s="4" t="s">
        <v>54</v>
      </c>
      <c r="K10" s="1" t="s">
        <v>57</v>
      </c>
      <c r="L10" s="1" t="s">
        <v>56</v>
      </c>
    </row>
    <row r="11" spans="1:12">
      <c r="A11" s="10"/>
      <c r="B11" s="1"/>
      <c r="C11" s="1"/>
      <c r="D11" s="1" t="s">
        <v>32</v>
      </c>
      <c r="E11" s="3" t="s">
        <v>22</v>
      </c>
      <c r="F11" s="3" t="s">
        <v>23</v>
      </c>
      <c r="G11" s="4" t="s">
        <v>24</v>
      </c>
      <c r="H11" s="4" t="s">
        <v>25</v>
      </c>
      <c r="I11" s="4" t="s">
        <v>27</v>
      </c>
      <c r="J11" s="4" t="s">
        <v>28</v>
      </c>
      <c r="K11" s="1" t="s">
        <v>30</v>
      </c>
      <c r="L11" s="1"/>
    </row>
    <row r="12" spans="1:12">
      <c r="A12" s="10" t="s">
        <v>4</v>
      </c>
      <c r="B12" s="1">
        <v>31</v>
      </c>
      <c r="C12" s="1">
        <f>$B$2*(10^6)</f>
        <v>490000</v>
      </c>
      <c r="D12" s="1">
        <f>(B12*C12)/1000</f>
        <v>15190</v>
      </c>
      <c r="E12" s="7">
        <f>L30</f>
        <v>54.071635084192138</v>
      </c>
      <c r="F12" s="16">
        <f>(E12*$B$3)/1000</f>
        <v>4055.3726313144102</v>
      </c>
      <c r="G12" s="4">
        <f>2.29*4</f>
        <v>9.16</v>
      </c>
      <c r="H12" s="20">
        <f>(G12*$B$4)/1000</f>
        <v>351.74400000000003</v>
      </c>
      <c r="I12" s="4">
        <f>(G12*$B$2*(10^6))/1000</f>
        <v>4488.3999999999996</v>
      </c>
      <c r="J12" s="4">
        <f>(G12*($B$5*(10^6)))/1000</f>
        <v>214.34399999999999</v>
      </c>
      <c r="K12" s="1">
        <v>6.5</v>
      </c>
      <c r="L12" s="1">
        <f>K12*(10^(-2))*$B$4</f>
        <v>2496</v>
      </c>
    </row>
    <row r="13" spans="1:12">
      <c r="A13" s="10" t="s">
        <v>5</v>
      </c>
      <c r="B13" s="1">
        <v>34</v>
      </c>
      <c r="C13" s="1">
        <f t="shared" ref="C13:C22" si="0">$B$2*(10^6)</f>
        <v>490000</v>
      </c>
      <c r="D13" s="1">
        <f t="shared" ref="D13:D23" si="1">(B13*C13)/1000</f>
        <v>16660</v>
      </c>
      <c r="E13" s="7">
        <f t="shared" ref="E13:E23" si="2">L31</f>
        <v>62.632896381230537</v>
      </c>
      <c r="F13" s="16">
        <f t="shared" ref="F13:F23" si="3">(E13*$B$3)/1000</f>
        <v>4697.4672285922907</v>
      </c>
      <c r="G13" s="4">
        <f t="shared" ref="G13:G15" si="4">2.29*4</f>
        <v>9.16</v>
      </c>
      <c r="H13" s="20">
        <f t="shared" ref="H13:H23" si="5">(G13*$B$4)/1000</f>
        <v>351.74400000000003</v>
      </c>
      <c r="I13" s="4">
        <f t="shared" ref="I13:I23" si="6">(G13*$B$2*(10^6))/1000</f>
        <v>4488.3999999999996</v>
      </c>
      <c r="J13" s="4">
        <f t="shared" ref="J13:J23" si="7">(G13*($B$5*(10^6)))/1000</f>
        <v>214.34399999999999</v>
      </c>
      <c r="K13" s="1">
        <v>3.75</v>
      </c>
      <c r="L13" s="1">
        <f t="shared" ref="L13:L23" si="8">K13*(10^(-2))*$B$4</f>
        <v>1440</v>
      </c>
    </row>
    <row r="14" spans="1:12">
      <c r="A14" s="10" t="s">
        <v>6</v>
      </c>
      <c r="B14" s="1">
        <v>43</v>
      </c>
      <c r="C14" s="1">
        <f t="shared" si="0"/>
        <v>490000</v>
      </c>
      <c r="D14" s="1">
        <f t="shared" si="1"/>
        <v>21070</v>
      </c>
      <c r="E14" s="7">
        <f t="shared" si="2"/>
        <v>92.52653763471568</v>
      </c>
      <c r="F14" s="16">
        <f t="shared" si="3"/>
        <v>6939.4903226036768</v>
      </c>
      <c r="G14" s="4">
        <f t="shared" si="4"/>
        <v>9.16</v>
      </c>
      <c r="H14" s="20">
        <f t="shared" si="5"/>
        <v>351.74400000000003</v>
      </c>
      <c r="I14" s="4">
        <f t="shared" si="6"/>
        <v>4488.3999999999996</v>
      </c>
      <c r="J14" s="4">
        <f t="shared" si="7"/>
        <v>214.34399999999999</v>
      </c>
      <c r="K14" s="1">
        <v>0</v>
      </c>
      <c r="L14" s="1">
        <f t="shared" si="8"/>
        <v>0</v>
      </c>
    </row>
    <row r="15" spans="1:12">
      <c r="A15" s="10" t="s">
        <v>7</v>
      </c>
      <c r="B15" s="1">
        <v>104</v>
      </c>
      <c r="C15" s="1">
        <f t="shared" si="0"/>
        <v>490000</v>
      </c>
      <c r="D15" s="1">
        <f t="shared" si="1"/>
        <v>50960</v>
      </c>
      <c r="E15" s="7">
        <f t="shared" si="2"/>
        <v>85.20746131746462</v>
      </c>
      <c r="F15" s="16">
        <f t="shared" si="3"/>
        <v>6390.5595988098466</v>
      </c>
      <c r="G15" s="4">
        <f t="shared" si="4"/>
        <v>9.16</v>
      </c>
      <c r="H15" s="20">
        <f t="shared" si="5"/>
        <v>351.74400000000003</v>
      </c>
      <c r="I15" s="4">
        <f t="shared" si="6"/>
        <v>4488.3999999999996</v>
      </c>
      <c r="J15" s="4">
        <f t="shared" si="7"/>
        <v>214.34399999999999</v>
      </c>
      <c r="K15" s="1">
        <v>0</v>
      </c>
      <c r="L15" s="1">
        <f t="shared" si="8"/>
        <v>0</v>
      </c>
    </row>
    <row r="16" spans="1:12">
      <c r="A16" s="10" t="s">
        <v>8</v>
      </c>
      <c r="B16" s="1">
        <v>74</v>
      </c>
      <c r="C16" s="1">
        <f t="shared" si="0"/>
        <v>490000</v>
      </c>
      <c r="D16" s="1">
        <f t="shared" si="1"/>
        <v>36260</v>
      </c>
      <c r="E16" s="7">
        <f t="shared" si="2"/>
        <v>85.203211886588434</v>
      </c>
      <c r="F16" s="16">
        <f t="shared" si="3"/>
        <v>6390.2408914941325</v>
      </c>
      <c r="G16" s="4">
        <f>3.62*4</f>
        <v>14.48</v>
      </c>
      <c r="H16" s="20">
        <f t="shared" si="5"/>
        <v>556.03200000000004</v>
      </c>
      <c r="I16" s="4">
        <f t="shared" si="6"/>
        <v>7095.2</v>
      </c>
      <c r="J16" s="4">
        <f t="shared" si="7"/>
        <v>338.83199999999999</v>
      </c>
      <c r="K16" s="1">
        <v>4</v>
      </c>
      <c r="L16" s="1">
        <f t="shared" si="8"/>
        <v>1536</v>
      </c>
    </row>
    <row r="17" spans="1:12">
      <c r="A17" s="10" t="s">
        <v>9</v>
      </c>
      <c r="B17" s="1">
        <v>20</v>
      </c>
      <c r="C17" s="1">
        <f t="shared" si="0"/>
        <v>490000</v>
      </c>
      <c r="D17" s="1">
        <f t="shared" si="1"/>
        <v>9800</v>
      </c>
      <c r="E17" s="7">
        <f t="shared" si="2"/>
        <v>99.371998958541099</v>
      </c>
      <c r="F17" s="16">
        <f t="shared" si="3"/>
        <v>7452.8999218905819</v>
      </c>
      <c r="G17" s="4">
        <f t="shared" ref="G17:G19" si="9">3.62*4</f>
        <v>14.48</v>
      </c>
      <c r="H17" s="20">
        <f t="shared" si="5"/>
        <v>556.03200000000004</v>
      </c>
      <c r="I17" s="4">
        <f t="shared" si="6"/>
        <v>7095.2</v>
      </c>
      <c r="J17" s="4">
        <f t="shared" si="7"/>
        <v>338.83199999999999</v>
      </c>
      <c r="K17" s="1">
        <v>6.5</v>
      </c>
      <c r="L17" s="1">
        <f t="shared" si="8"/>
        <v>2496</v>
      </c>
    </row>
    <row r="18" spans="1:12">
      <c r="A18" s="10" t="s">
        <v>10</v>
      </c>
      <c r="B18" s="1">
        <v>25</v>
      </c>
      <c r="C18" s="1">
        <f t="shared" si="0"/>
        <v>490000</v>
      </c>
      <c r="D18" s="1">
        <f t="shared" si="1"/>
        <v>12250</v>
      </c>
      <c r="E18" s="7">
        <f t="shared" si="2"/>
        <v>104.35100538559162</v>
      </c>
      <c r="F18" s="16">
        <f t="shared" si="3"/>
        <v>7826.3254039193716</v>
      </c>
      <c r="G18" s="4">
        <f t="shared" si="9"/>
        <v>14.48</v>
      </c>
      <c r="H18" s="20">
        <f t="shared" si="5"/>
        <v>556.03200000000004</v>
      </c>
      <c r="I18" s="4">
        <f t="shared" si="6"/>
        <v>7095.2</v>
      </c>
      <c r="J18" s="4">
        <f t="shared" si="7"/>
        <v>338.83199999999999</v>
      </c>
      <c r="K18" s="1">
        <v>6.5</v>
      </c>
      <c r="L18" s="1">
        <f t="shared" si="8"/>
        <v>2496</v>
      </c>
    </row>
    <row r="19" spans="1:12">
      <c r="A19" s="10" t="s">
        <v>31</v>
      </c>
      <c r="B19" s="1">
        <v>31</v>
      </c>
      <c r="C19" s="1">
        <f t="shared" si="0"/>
        <v>490000</v>
      </c>
      <c r="D19" s="1">
        <f t="shared" si="1"/>
        <v>15190</v>
      </c>
      <c r="E19" s="7">
        <f t="shared" si="2"/>
        <v>103.74970688539865</v>
      </c>
      <c r="F19" s="16">
        <f t="shared" si="3"/>
        <v>7781.2280164048989</v>
      </c>
      <c r="G19" s="4">
        <f t="shared" si="9"/>
        <v>14.48</v>
      </c>
      <c r="H19" s="20">
        <f t="shared" si="5"/>
        <v>556.03200000000004</v>
      </c>
      <c r="I19" s="4">
        <f t="shared" si="6"/>
        <v>7095.2</v>
      </c>
      <c r="J19" s="4">
        <f t="shared" si="7"/>
        <v>338.83199999999999</v>
      </c>
      <c r="K19" s="1">
        <v>3.75</v>
      </c>
      <c r="L19" s="1">
        <f t="shared" si="8"/>
        <v>1440</v>
      </c>
    </row>
    <row r="20" spans="1:12">
      <c r="A20" s="10" t="s">
        <v>11</v>
      </c>
      <c r="B20" s="1">
        <v>57</v>
      </c>
      <c r="C20" s="1">
        <f t="shared" si="0"/>
        <v>490000</v>
      </c>
      <c r="D20" s="1">
        <f t="shared" si="1"/>
        <v>27930</v>
      </c>
      <c r="E20" s="7">
        <f t="shared" si="2"/>
        <v>97.354425277162136</v>
      </c>
      <c r="F20" s="16">
        <f t="shared" si="3"/>
        <v>7301.5818957871597</v>
      </c>
      <c r="G20" s="4">
        <f>2.29*4</f>
        <v>9.16</v>
      </c>
      <c r="H20" s="20">
        <f t="shared" si="5"/>
        <v>351.74400000000003</v>
      </c>
      <c r="I20" s="4">
        <f t="shared" si="6"/>
        <v>4488.3999999999996</v>
      </c>
      <c r="J20" s="4">
        <f t="shared" si="7"/>
        <v>214.34399999999999</v>
      </c>
      <c r="K20" s="1">
        <v>0</v>
      </c>
      <c r="L20" s="1">
        <f t="shared" si="8"/>
        <v>0</v>
      </c>
    </row>
    <row r="21" spans="1:12">
      <c r="A21" s="10" t="s">
        <v>12</v>
      </c>
      <c r="B21" s="1">
        <v>205</v>
      </c>
      <c r="C21" s="1">
        <f t="shared" si="0"/>
        <v>490000</v>
      </c>
      <c r="D21" s="1">
        <f t="shared" si="1"/>
        <v>100450</v>
      </c>
      <c r="E21" s="7">
        <f t="shared" si="2"/>
        <v>75.941003675607448</v>
      </c>
      <c r="F21" s="16">
        <f t="shared" si="3"/>
        <v>5695.5752756705579</v>
      </c>
      <c r="G21" s="4">
        <f t="shared" ref="G21:G23" si="10">2.29*4</f>
        <v>9.16</v>
      </c>
      <c r="H21" s="20">
        <f t="shared" si="5"/>
        <v>351.74400000000003</v>
      </c>
      <c r="I21" s="4">
        <f t="shared" si="6"/>
        <v>4488.3999999999996</v>
      </c>
      <c r="J21" s="4">
        <f t="shared" si="7"/>
        <v>214.34399999999999</v>
      </c>
      <c r="K21" s="1">
        <v>0</v>
      </c>
      <c r="L21" s="1">
        <f t="shared" si="8"/>
        <v>0</v>
      </c>
    </row>
    <row r="22" spans="1:12">
      <c r="A22" s="10" t="s">
        <v>13</v>
      </c>
      <c r="B22" s="1">
        <v>162</v>
      </c>
      <c r="C22" s="1">
        <f t="shared" si="0"/>
        <v>490000</v>
      </c>
      <c r="D22" s="1">
        <f t="shared" si="1"/>
        <v>79380</v>
      </c>
      <c r="E22" s="7">
        <f t="shared" si="2"/>
        <v>49.893878986633183</v>
      </c>
      <c r="F22" s="16">
        <f t="shared" si="3"/>
        <v>3742.0409239974888</v>
      </c>
      <c r="G22" s="4">
        <f t="shared" si="10"/>
        <v>9.16</v>
      </c>
      <c r="H22" s="20">
        <f t="shared" si="5"/>
        <v>351.74400000000003</v>
      </c>
      <c r="I22" s="4">
        <f t="shared" si="6"/>
        <v>4488.3999999999996</v>
      </c>
      <c r="J22" s="4">
        <f t="shared" si="7"/>
        <v>214.34399999999999</v>
      </c>
      <c r="K22" s="1">
        <v>4</v>
      </c>
      <c r="L22" s="1">
        <f t="shared" si="8"/>
        <v>1536</v>
      </c>
    </row>
    <row r="23" spans="1:12">
      <c r="A23" s="10" t="s">
        <v>14</v>
      </c>
      <c r="B23" s="1">
        <v>107</v>
      </c>
      <c r="C23" s="1">
        <f>$B$2*(10^6)</f>
        <v>490000</v>
      </c>
      <c r="D23" s="1">
        <f t="shared" si="1"/>
        <v>52430</v>
      </c>
      <c r="E23" s="7">
        <f t="shared" si="2"/>
        <v>47.046638378347744</v>
      </c>
      <c r="F23" s="16">
        <f t="shared" si="3"/>
        <v>3528.4978783760807</v>
      </c>
      <c r="G23" s="4">
        <f t="shared" si="10"/>
        <v>9.16</v>
      </c>
      <c r="H23" s="20">
        <f t="shared" si="5"/>
        <v>351.74400000000003</v>
      </c>
      <c r="I23" s="4">
        <f t="shared" si="6"/>
        <v>4488.3999999999996</v>
      </c>
      <c r="J23" s="4">
        <f t="shared" si="7"/>
        <v>214.34399999999999</v>
      </c>
      <c r="K23" s="1">
        <v>6.5</v>
      </c>
      <c r="L23" s="1">
        <f t="shared" si="8"/>
        <v>2496</v>
      </c>
    </row>
    <row r="25" spans="1:12">
      <c r="A25" s="22"/>
      <c r="B25" s="22"/>
      <c r="C25" s="22"/>
      <c r="D25" s="14"/>
    </row>
    <row r="26" spans="1:12">
      <c r="A26" s="25"/>
      <c r="B26" s="25"/>
      <c r="C26" s="25"/>
    </row>
    <row r="29" spans="1:12">
      <c r="B29" s="8" t="s">
        <v>42</v>
      </c>
      <c r="C29" s="8" t="s">
        <v>49</v>
      </c>
      <c r="D29" s="8" t="s">
        <v>43</v>
      </c>
      <c r="E29" s="8" t="s">
        <v>45</v>
      </c>
      <c r="F29" s="8" t="s">
        <v>44</v>
      </c>
      <c r="G29" s="8" t="s">
        <v>51</v>
      </c>
      <c r="H29" s="8" t="s">
        <v>50</v>
      </c>
      <c r="I29" s="8" t="s">
        <v>52</v>
      </c>
      <c r="J29" s="8" t="s">
        <v>46</v>
      </c>
      <c r="K29" s="8" t="s">
        <v>47</v>
      </c>
      <c r="L29" s="8" t="s">
        <v>48</v>
      </c>
    </row>
    <row r="30" spans="1:12">
      <c r="A30" s="9" t="s">
        <v>4</v>
      </c>
      <c r="B30" s="2">
        <v>0.36</v>
      </c>
      <c r="C30" s="2">
        <v>25.05</v>
      </c>
      <c r="D30" s="7">
        <f>4.584*EXP((17.27*C30)/(237.3+C30))</f>
        <v>23.844788694989163</v>
      </c>
      <c r="E30" s="2">
        <v>0.81</v>
      </c>
      <c r="F30" s="7">
        <f>D30*E30</f>
        <v>19.314278842941224</v>
      </c>
      <c r="G30" s="7">
        <f>D30-F30</f>
        <v>4.5305098520479383</v>
      </c>
      <c r="H30" s="2">
        <v>4</v>
      </c>
      <c r="I30" s="7">
        <f>H30*(1000/3600)</f>
        <v>1.1111111111111112</v>
      </c>
      <c r="J30" s="7">
        <f>B30*G30*(1+(I30/16))</f>
        <v>1.7442462930384561</v>
      </c>
      <c r="K30" s="2">
        <v>31</v>
      </c>
      <c r="L30" s="7">
        <f>J30*K30</f>
        <v>54.071635084192138</v>
      </c>
    </row>
    <row r="31" spans="1:12">
      <c r="A31" s="9" t="s">
        <v>41</v>
      </c>
      <c r="B31" s="2">
        <v>0.36</v>
      </c>
      <c r="C31" s="2">
        <v>26.3</v>
      </c>
      <c r="D31" s="7">
        <f t="shared" ref="D31:D41" si="11">4.584*EXP((17.27*C31)/(237.3+C31))</f>
        <v>25.678165090802345</v>
      </c>
      <c r="E31" s="2">
        <v>0.77</v>
      </c>
      <c r="F31" s="7">
        <f t="shared" ref="F31:F41" si="12">D31*E31</f>
        <v>19.772187119917806</v>
      </c>
      <c r="G31" s="7">
        <f t="shared" ref="G31:G41" si="13">D31-F31</f>
        <v>5.905977970884539</v>
      </c>
      <c r="H31" s="2">
        <v>3</v>
      </c>
      <c r="I31" s="7">
        <f t="shared" ref="I31:I41" si="14">H31*(1000/3600)</f>
        <v>0.83333333333333337</v>
      </c>
      <c r="J31" s="7">
        <f t="shared" ref="J31:J41" si="15">B31*G31*(1+(I31/16))</f>
        <v>2.2368891564725191</v>
      </c>
      <c r="K31" s="2">
        <v>28</v>
      </c>
      <c r="L31" s="7">
        <f t="shared" ref="L31:L41" si="16">J31*K31</f>
        <v>62.632896381230537</v>
      </c>
    </row>
    <row r="32" spans="1:12">
      <c r="A32" s="9" t="s">
        <v>6</v>
      </c>
      <c r="B32" s="2">
        <v>0.36</v>
      </c>
      <c r="C32" s="2">
        <v>28.15</v>
      </c>
      <c r="D32" s="7">
        <f t="shared" si="11"/>
        <v>28.616749956612644</v>
      </c>
      <c r="E32" s="2">
        <v>0.72</v>
      </c>
      <c r="F32" s="7">
        <f t="shared" si="12"/>
        <v>20.604059968761103</v>
      </c>
      <c r="G32" s="7">
        <f t="shared" si="13"/>
        <v>8.012689987851541</v>
      </c>
      <c r="H32" s="2">
        <v>2</v>
      </c>
      <c r="I32" s="7">
        <f t="shared" si="14"/>
        <v>0.55555555555555558</v>
      </c>
      <c r="J32" s="7">
        <f t="shared" si="15"/>
        <v>2.9847270204746992</v>
      </c>
      <c r="K32" s="2">
        <v>31</v>
      </c>
      <c r="L32" s="7">
        <f t="shared" si="16"/>
        <v>92.52653763471568</v>
      </c>
    </row>
    <row r="33" spans="1:12">
      <c r="A33" s="9" t="s">
        <v>7</v>
      </c>
      <c r="B33" s="2">
        <v>0.36</v>
      </c>
      <c r="C33" s="2">
        <v>29.25</v>
      </c>
      <c r="D33" s="7">
        <f t="shared" si="11"/>
        <v>30.499315012962725</v>
      </c>
      <c r="E33" s="2">
        <v>0.75</v>
      </c>
      <c r="F33" s="7">
        <f t="shared" si="12"/>
        <v>22.874486259722044</v>
      </c>
      <c r="G33" s="7">
        <f t="shared" si="13"/>
        <v>7.6248287532406813</v>
      </c>
      <c r="H33" s="2">
        <v>2</v>
      </c>
      <c r="I33" s="7">
        <f t="shared" si="14"/>
        <v>0.55555555555555558</v>
      </c>
      <c r="J33" s="7">
        <f t="shared" si="15"/>
        <v>2.8402487105821539</v>
      </c>
      <c r="K33" s="2">
        <v>30</v>
      </c>
      <c r="L33" s="7">
        <f t="shared" si="16"/>
        <v>85.20746131746462</v>
      </c>
    </row>
    <row r="34" spans="1:12">
      <c r="A34" s="9" t="s">
        <v>8</v>
      </c>
      <c r="B34" s="2">
        <v>0.36</v>
      </c>
      <c r="C34" s="2">
        <v>29.1</v>
      </c>
      <c r="D34" s="7">
        <f t="shared" si="11"/>
        <v>30.236421408349642</v>
      </c>
      <c r="E34" s="2">
        <v>0.76</v>
      </c>
      <c r="F34" s="7">
        <f t="shared" si="12"/>
        <v>22.979680270345728</v>
      </c>
      <c r="G34" s="7">
        <f t="shared" si="13"/>
        <v>7.256741138003914</v>
      </c>
      <c r="H34" s="2">
        <v>3</v>
      </c>
      <c r="I34" s="7">
        <f t="shared" si="14"/>
        <v>0.83333333333333337</v>
      </c>
      <c r="J34" s="7">
        <f t="shared" si="15"/>
        <v>2.7484907060189818</v>
      </c>
      <c r="K34" s="2">
        <v>31</v>
      </c>
      <c r="L34" s="7">
        <f t="shared" si="16"/>
        <v>85.203211886588434</v>
      </c>
    </row>
    <row r="35" spans="1:12">
      <c r="A35" s="9" t="s">
        <v>9</v>
      </c>
      <c r="B35" s="2">
        <v>0.36</v>
      </c>
      <c r="C35" s="2">
        <v>29.1</v>
      </c>
      <c r="D35" s="7">
        <f t="shared" si="11"/>
        <v>30.236421408349642</v>
      </c>
      <c r="E35" s="2">
        <v>0.72</v>
      </c>
      <c r="F35" s="7">
        <f t="shared" si="12"/>
        <v>21.770223414011742</v>
      </c>
      <c r="G35" s="7">
        <f t="shared" si="13"/>
        <v>8.4661979943379002</v>
      </c>
      <c r="H35" s="2">
        <v>5</v>
      </c>
      <c r="I35" s="7">
        <f t="shared" si="14"/>
        <v>1.3888888888888888</v>
      </c>
      <c r="J35" s="7">
        <f t="shared" si="15"/>
        <v>3.3123999652847034</v>
      </c>
      <c r="K35" s="2">
        <v>30</v>
      </c>
      <c r="L35" s="7">
        <f t="shared" si="16"/>
        <v>99.371998958541099</v>
      </c>
    </row>
    <row r="36" spans="1:12">
      <c r="A36" s="9" t="s">
        <v>10</v>
      </c>
      <c r="B36" s="2">
        <v>0.36</v>
      </c>
      <c r="C36" s="2">
        <v>29.05</v>
      </c>
      <c r="D36" s="7">
        <f t="shared" si="11"/>
        <v>30.149229413805131</v>
      </c>
      <c r="E36" s="2">
        <v>0.71</v>
      </c>
      <c r="F36" s="7">
        <f t="shared" si="12"/>
        <v>21.405952883801643</v>
      </c>
      <c r="G36" s="7">
        <f t="shared" si="13"/>
        <v>8.743276530003488</v>
      </c>
      <c r="H36" s="2">
        <v>4</v>
      </c>
      <c r="I36" s="7">
        <f t="shared" si="14"/>
        <v>1.1111111111111112</v>
      </c>
      <c r="J36" s="7">
        <f t="shared" si="15"/>
        <v>3.3661614640513426</v>
      </c>
      <c r="K36" s="2">
        <v>31</v>
      </c>
      <c r="L36" s="7">
        <f t="shared" si="16"/>
        <v>104.35100538559162</v>
      </c>
    </row>
    <row r="37" spans="1:12">
      <c r="A37" s="9" t="s">
        <v>31</v>
      </c>
      <c r="B37" s="2">
        <v>0.36</v>
      </c>
      <c r="C37" s="2">
        <v>28.95</v>
      </c>
      <c r="D37" s="7">
        <f t="shared" si="11"/>
        <v>29.975501462057018</v>
      </c>
      <c r="E37" s="2">
        <v>0.71</v>
      </c>
      <c r="F37" s="7">
        <f t="shared" si="12"/>
        <v>21.282606038060482</v>
      </c>
      <c r="G37" s="7">
        <f t="shared" si="13"/>
        <v>8.6928954239965357</v>
      </c>
      <c r="H37" s="2">
        <v>4</v>
      </c>
      <c r="I37" s="7">
        <f t="shared" si="14"/>
        <v>1.1111111111111112</v>
      </c>
      <c r="J37" s="7">
        <f t="shared" si="15"/>
        <v>3.346764738238666</v>
      </c>
      <c r="K37" s="2">
        <v>31</v>
      </c>
      <c r="L37" s="7">
        <f t="shared" si="16"/>
        <v>103.74970688539865</v>
      </c>
    </row>
    <row r="38" spans="1:12">
      <c r="A38" s="9" t="s">
        <v>11</v>
      </c>
      <c r="B38" s="2">
        <v>0.36</v>
      </c>
      <c r="C38" s="2">
        <v>28.7</v>
      </c>
      <c r="D38" s="7">
        <f t="shared" si="11"/>
        <v>29.544986996597135</v>
      </c>
      <c r="E38" s="2">
        <v>0.71</v>
      </c>
      <c r="F38" s="7">
        <f t="shared" si="12"/>
        <v>20.976940767583965</v>
      </c>
      <c r="G38" s="7">
        <f t="shared" si="13"/>
        <v>8.56804622901317</v>
      </c>
      <c r="H38" s="2">
        <v>3</v>
      </c>
      <c r="I38" s="7">
        <f t="shared" si="14"/>
        <v>0.83333333333333337</v>
      </c>
      <c r="J38" s="7">
        <f t="shared" si="15"/>
        <v>3.2451475092387376</v>
      </c>
      <c r="K38" s="2">
        <v>30</v>
      </c>
      <c r="L38" s="7">
        <f t="shared" si="16"/>
        <v>97.354425277162136</v>
      </c>
    </row>
    <row r="39" spans="1:12">
      <c r="A39" s="9" t="s">
        <v>12</v>
      </c>
      <c r="B39" s="2">
        <v>0.36</v>
      </c>
      <c r="C39" s="2">
        <v>27.85</v>
      </c>
      <c r="D39" s="7">
        <f t="shared" si="11"/>
        <v>28.121220215093555</v>
      </c>
      <c r="E39" s="2">
        <v>0.77</v>
      </c>
      <c r="F39" s="7">
        <f t="shared" si="12"/>
        <v>21.653339565622037</v>
      </c>
      <c r="G39" s="7">
        <f t="shared" si="13"/>
        <v>6.4678806494715175</v>
      </c>
      <c r="H39" s="2">
        <v>3</v>
      </c>
      <c r="I39" s="7">
        <f t="shared" si="14"/>
        <v>0.83333333333333337</v>
      </c>
      <c r="J39" s="7">
        <f t="shared" si="15"/>
        <v>2.4497097959873368</v>
      </c>
      <c r="K39" s="2">
        <v>31</v>
      </c>
      <c r="L39" s="7">
        <f t="shared" si="16"/>
        <v>75.941003675607448</v>
      </c>
    </row>
    <row r="40" spans="1:12">
      <c r="A40" s="9" t="s">
        <v>13</v>
      </c>
      <c r="B40" s="2">
        <v>0.36</v>
      </c>
      <c r="C40" s="2">
        <v>26.4</v>
      </c>
      <c r="D40" s="7">
        <f t="shared" si="11"/>
        <v>25.830002710998862</v>
      </c>
      <c r="E40" s="2">
        <v>0.83</v>
      </c>
      <c r="F40" s="7">
        <f t="shared" si="12"/>
        <v>21.438902250129054</v>
      </c>
      <c r="G40" s="7">
        <f t="shared" si="13"/>
        <v>4.3911004608698079</v>
      </c>
      <c r="H40" s="2">
        <v>3</v>
      </c>
      <c r="I40" s="7">
        <f t="shared" si="14"/>
        <v>0.83333333333333337</v>
      </c>
      <c r="J40" s="7">
        <f t="shared" si="15"/>
        <v>1.6631292995544396</v>
      </c>
      <c r="K40" s="2">
        <v>30</v>
      </c>
      <c r="L40" s="7">
        <f t="shared" si="16"/>
        <v>49.893878986633183</v>
      </c>
    </row>
    <row r="41" spans="1:12">
      <c r="A41" s="9" t="s">
        <v>14</v>
      </c>
      <c r="B41" s="2">
        <v>0.36</v>
      </c>
      <c r="C41" s="2">
        <v>25.6</v>
      </c>
      <c r="D41" s="7">
        <f t="shared" si="11"/>
        <v>24.63690740382685</v>
      </c>
      <c r="E41" s="2">
        <v>0.84</v>
      </c>
      <c r="F41" s="7">
        <f t="shared" si="12"/>
        <v>20.695002219214555</v>
      </c>
      <c r="G41" s="7">
        <f t="shared" si="13"/>
        <v>3.9419051846122954</v>
      </c>
      <c r="H41" s="2">
        <v>4</v>
      </c>
      <c r="I41" s="7">
        <f t="shared" si="14"/>
        <v>1.1111111111111112</v>
      </c>
      <c r="J41" s="7">
        <f t="shared" si="15"/>
        <v>1.5176334960757336</v>
      </c>
      <c r="K41" s="2">
        <v>31</v>
      </c>
      <c r="L41" s="7">
        <f t="shared" si="16"/>
        <v>47.046638378347744</v>
      </c>
    </row>
  </sheetData>
  <mergeCells count="7">
    <mergeCell ref="E1:H1"/>
    <mergeCell ref="A25:C25"/>
    <mergeCell ref="K9:L9"/>
    <mergeCell ref="A26:C26"/>
    <mergeCell ref="B9:D9"/>
    <mergeCell ref="E9:F9"/>
    <mergeCell ref="G9:J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1"/>
  <sheetViews>
    <sheetView workbookViewId="0">
      <selection activeCell="A25" sqref="A25:C25"/>
    </sheetView>
  </sheetViews>
  <sheetFormatPr defaultRowHeight="15"/>
  <cols>
    <col min="1" max="1" width="24.5703125" customWidth="1"/>
    <col min="2" max="2" width="19.85546875" customWidth="1"/>
    <col min="3" max="3" width="21.85546875" customWidth="1"/>
    <col min="4" max="4" width="25" customWidth="1"/>
    <col min="5" max="5" width="31.28515625" customWidth="1"/>
    <col min="6" max="6" width="36.140625" customWidth="1"/>
    <col min="7" max="7" width="33.7109375" customWidth="1"/>
    <col min="8" max="8" width="44" customWidth="1"/>
    <col min="9" max="9" width="40.140625" customWidth="1"/>
    <col min="10" max="10" width="44" customWidth="1"/>
    <col min="11" max="11" width="41.140625" customWidth="1"/>
    <col min="12" max="12" width="34.42578125" customWidth="1"/>
  </cols>
  <sheetData>
    <row r="1" spans="1:12">
      <c r="A1" s="10" t="s">
        <v>0</v>
      </c>
      <c r="B1" s="11" t="s">
        <v>38</v>
      </c>
      <c r="E1" s="21" t="s">
        <v>33</v>
      </c>
      <c r="F1" s="21"/>
      <c r="G1" s="21"/>
      <c r="H1" s="21"/>
    </row>
    <row r="2" spans="1:12">
      <c r="A2" s="10" t="s">
        <v>40</v>
      </c>
      <c r="B2" s="10">
        <f>F4</f>
        <v>1.78</v>
      </c>
      <c r="E2" s="1" t="s">
        <v>34</v>
      </c>
      <c r="F2" s="18" t="s">
        <v>35</v>
      </c>
      <c r="G2" s="18" t="s">
        <v>36</v>
      </c>
      <c r="H2" s="18" t="s">
        <v>63</v>
      </c>
      <c r="K2" s="17" t="s">
        <v>59</v>
      </c>
    </row>
    <row r="3" spans="1:12">
      <c r="A3" s="10" t="s">
        <v>21</v>
      </c>
      <c r="B3" s="10">
        <v>75000</v>
      </c>
      <c r="E3" s="1" t="s">
        <v>37</v>
      </c>
      <c r="F3" s="6">
        <v>0.49</v>
      </c>
      <c r="G3" s="6">
        <v>7.4</v>
      </c>
      <c r="H3" s="6">
        <v>3.84</v>
      </c>
      <c r="K3" t="s">
        <v>61</v>
      </c>
      <c r="L3" t="s">
        <v>62</v>
      </c>
    </row>
    <row r="4" spans="1:12">
      <c r="A4" s="10" t="s">
        <v>64</v>
      </c>
      <c r="B4" s="10">
        <f>H4*10000</f>
        <v>147100</v>
      </c>
      <c r="E4" s="1" t="s">
        <v>38</v>
      </c>
      <c r="F4" s="6">
        <v>1.78</v>
      </c>
      <c r="G4" s="6">
        <v>24.69</v>
      </c>
      <c r="H4" s="6">
        <v>14.71</v>
      </c>
      <c r="K4" t="s">
        <v>60</v>
      </c>
    </row>
    <row r="5" spans="1:12">
      <c r="A5" s="10" t="s">
        <v>53</v>
      </c>
      <c r="B5" s="10">
        <v>2.3400000000000001E-2</v>
      </c>
      <c r="E5" s="1" t="s">
        <v>39</v>
      </c>
      <c r="F5" s="6">
        <v>2.5099999999999998</v>
      </c>
      <c r="G5" s="6">
        <v>7.4</v>
      </c>
      <c r="H5" s="6">
        <v>9.51</v>
      </c>
    </row>
    <row r="9" spans="1:12">
      <c r="B9" s="26" t="s">
        <v>3</v>
      </c>
      <c r="C9" s="26"/>
      <c r="D9" s="26"/>
      <c r="E9" s="27" t="s">
        <v>18</v>
      </c>
      <c r="F9" s="27"/>
      <c r="G9" s="28" t="s">
        <v>29</v>
      </c>
      <c r="H9" s="28"/>
      <c r="I9" s="28"/>
      <c r="J9" s="28"/>
      <c r="K9" s="23" t="s">
        <v>58</v>
      </c>
      <c r="L9" s="24"/>
    </row>
    <row r="10" spans="1:12">
      <c r="A10" s="12" t="s">
        <v>1</v>
      </c>
      <c r="B10" s="1" t="s">
        <v>16</v>
      </c>
      <c r="C10" s="1" t="s">
        <v>15</v>
      </c>
      <c r="D10" s="1" t="s">
        <v>2</v>
      </c>
      <c r="E10" s="3" t="s">
        <v>17</v>
      </c>
      <c r="F10" s="3" t="s">
        <v>20</v>
      </c>
      <c r="G10" s="4" t="s">
        <v>19</v>
      </c>
      <c r="H10" s="4" t="s">
        <v>55</v>
      </c>
      <c r="I10" s="4" t="s">
        <v>26</v>
      </c>
      <c r="J10" s="4" t="s">
        <v>54</v>
      </c>
      <c r="K10" s="1" t="s">
        <v>57</v>
      </c>
      <c r="L10" s="1" t="s">
        <v>56</v>
      </c>
    </row>
    <row r="11" spans="1:12">
      <c r="A11" s="10"/>
      <c r="B11" s="1"/>
      <c r="C11" s="1"/>
      <c r="D11" s="1" t="s">
        <v>32</v>
      </c>
      <c r="E11" s="3" t="s">
        <v>22</v>
      </c>
      <c r="F11" s="3" t="s">
        <v>23</v>
      </c>
      <c r="G11" s="4" t="s">
        <v>24</v>
      </c>
      <c r="H11" s="4" t="s">
        <v>25</v>
      </c>
      <c r="I11" s="4" t="s">
        <v>27</v>
      </c>
      <c r="J11" s="4" t="s">
        <v>28</v>
      </c>
      <c r="K11" s="1" t="s">
        <v>30</v>
      </c>
      <c r="L11" s="1"/>
    </row>
    <row r="12" spans="1:12">
      <c r="A12" s="10" t="s">
        <v>4</v>
      </c>
      <c r="B12" s="1">
        <v>31</v>
      </c>
      <c r="C12" s="1">
        <f>$B$2*(10^6)</f>
        <v>1780000</v>
      </c>
      <c r="D12" s="1">
        <f>(B12*C12)/1000</f>
        <v>55180</v>
      </c>
      <c r="E12" s="7">
        <f>L30</f>
        <v>54.071635084192138</v>
      </c>
      <c r="F12" s="16">
        <f>(E12*$B$3)/1000</f>
        <v>4055.3726313144102</v>
      </c>
      <c r="G12" s="4">
        <f>2.29*4</f>
        <v>9.16</v>
      </c>
      <c r="H12" s="20">
        <f>(G12*$B$4)/1000</f>
        <v>1347.4359999999999</v>
      </c>
      <c r="I12" s="4">
        <f>(G12*$B$2*(10^6))/1000</f>
        <v>16304.8</v>
      </c>
      <c r="J12" s="4">
        <f>(G12*($B$5*(10^6)))/1000</f>
        <v>214.34399999999999</v>
      </c>
      <c r="K12" s="1">
        <v>6.5</v>
      </c>
      <c r="L12" s="1">
        <f>K12*(10^(-2))*$B$4</f>
        <v>9561.5</v>
      </c>
    </row>
    <row r="13" spans="1:12">
      <c r="A13" s="10" t="s">
        <v>5</v>
      </c>
      <c r="B13" s="1">
        <v>34</v>
      </c>
      <c r="C13" s="1">
        <f t="shared" ref="C13:C22" si="0">$B$2*(10^6)</f>
        <v>1780000</v>
      </c>
      <c r="D13" s="1">
        <f t="shared" ref="D13:D23" si="1">(B13*C13)/1000</f>
        <v>60520</v>
      </c>
      <c r="E13" s="7">
        <f t="shared" ref="E13:E23" si="2">L31</f>
        <v>62.632896381230537</v>
      </c>
      <c r="F13" s="16">
        <f t="shared" ref="F13:F23" si="3">(E13*$B$3)/1000</f>
        <v>4697.4672285922907</v>
      </c>
      <c r="G13" s="4">
        <f t="shared" ref="G13:G15" si="4">2.29*4</f>
        <v>9.16</v>
      </c>
      <c r="H13" s="20">
        <f t="shared" ref="H13:H23" si="5">(G13*$B$4)/1000</f>
        <v>1347.4359999999999</v>
      </c>
      <c r="I13" s="4">
        <f t="shared" ref="I13:I23" si="6">(G13*$B$2*(10^6))/1000</f>
        <v>16304.8</v>
      </c>
      <c r="J13" s="4">
        <f t="shared" ref="J13:J23" si="7">(G13*($B$5*(10^6)))/1000</f>
        <v>214.34399999999999</v>
      </c>
      <c r="K13" s="1">
        <v>3.75</v>
      </c>
      <c r="L13" s="1">
        <f t="shared" ref="L13:L23" si="8">K13*(10^(-2))*$B$4</f>
        <v>5516.25</v>
      </c>
    </row>
    <row r="14" spans="1:12">
      <c r="A14" s="10" t="s">
        <v>6</v>
      </c>
      <c r="B14" s="1">
        <v>43</v>
      </c>
      <c r="C14" s="1">
        <f t="shared" si="0"/>
        <v>1780000</v>
      </c>
      <c r="D14" s="1">
        <f t="shared" si="1"/>
        <v>76540</v>
      </c>
      <c r="E14" s="7">
        <f t="shared" si="2"/>
        <v>92.52653763471568</v>
      </c>
      <c r="F14" s="16">
        <f t="shared" si="3"/>
        <v>6939.4903226036768</v>
      </c>
      <c r="G14" s="4">
        <f t="shared" si="4"/>
        <v>9.16</v>
      </c>
      <c r="H14" s="20">
        <f t="shared" si="5"/>
        <v>1347.4359999999999</v>
      </c>
      <c r="I14" s="4">
        <f t="shared" si="6"/>
        <v>16304.8</v>
      </c>
      <c r="J14" s="4">
        <f t="shared" si="7"/>
        <v>214.34399999999999</v>
      </c>
      <c r="K14" s="1">
        <v>0</v>
      </c>
      <c r="L14" s="1">
        <f t="shared" si="8"/>
        <v>0</v>
      </c>
    </row>
    <row r="15" spans="1:12">
      <c r="A15" s="10" t="s">
        <v>7</v>
      </c>
      <c r="B15" s="1">
        <v>104</v>
      </c>
      <c r="C15" s="1">
        <f t="shared" si="0"/>
        <v>1780000</v>
      </c>
      <c r="D15" s="1">
        <f t="shared" si="1"/>
        <v>185120</v>
      </c>
      <c r="E15" s="7">
        <f t="shared" si="2"/>
        <v>85.20746131746462</v>
      </c>
      <c r="F15" s="16">
        <f t="shared" si="3"/>
        <v>6390.5595988098466</v>
      </c>
      <c r="G15" s="4">
        <f t="shared" si="4"/>
        <v>9.16</v>
      </c>
      <c r="H15" s="20">
        <f t="shared" si="5"/>
        <v>1347.4359999999999</v>
      </c>
      <c r="I15" s="4">
        <f t="shared" si="6"/>
        <v>16304.8</v>
      </c>
      <c r="J15" s="4">
        <f t="shared" si="7"/>
        <v>214.34399999999999</v>
      </c>
      <c r="K15" s="1">
        <v>0</v>
      </c>
      <c r="L15" s="1">
        <f t="shared" si="8"/>
        <v>0</v>
      </c>
    </row>
    <row r="16" spans="1:12">
      <c r="A16" s="10" t="s">
        <v>8</v>
      </c>
      <c r="B16" s="1">
        <v>74</v>
      </c>
      <c r="C16" s="1">
        <f t="shared" si="0"/>
        <v>1780000</v>
      </c>
      <c r="D16" s="1">
        <f t="shared" si="1"/>
        <v>131720</v>
      </c>
      <c r="E16" s="7">
        <f t="shared" si="2"/>
        <v>85.203211886588434</v>
      </c>
      <c r="F16" s="16">
        <f t="shared" si="3"/>
        <v>6390.2408914941325</v>
      </c>
      <c r="G16" s="4">
        <f>3.62*4</f>
        <v>14.48</v>
      </c>
      <c r="H16" s="20">
        <f t="shared" si="5"/>
        <v>2130.0079999999998</v>
      </c>
      <c r="I16" s="4">
        <f t="shared" si="6"/>
        <v>25774.400000000001</v>
      </c>
      <c r="J16" s="4">
        <f t="shared" si="7"/>
        <v>338.83199999999999</v>
      </c>
      <c r="K16" s="1">
        <v>4</v>
      </c>
      <c r="L16" s="1">
        <f t="shared" si="8"/>
        <v>5884</v>
      </c>
    </row>
    <row r="17" spans="1:12">
      <c r="A17" s="10" t="s">
        <v>9</v>
      </c>
      <c r="B17" s="1">
        <v>20</v>
      </c>
      <c r="C17" s="1">
        <f t="shared" si="0"/>
        <v>1780000</v>
      </c>
      <c r="D17" s="1">
        <f t="shared" si="1"/>
        <v>35600</v>
      </c>
      <c r="E17" s="7">
        <f t="shared" si="2"/>
        <v>99.371998958541099</v>
      </c>
      <c r="F17" s="16">
        <f t="shared" si="3"/>
        <v>7452.8999218905819</v>
      </c>
      <c r="G17" s="4">
        <f t="shared" ref="G17:G19" si="9">3.62*4</f>
        <v>14.48</v>
      </c>
      <c r="H17" s="20">
        <f t="shared" si="5"/>
        <v>2130.0079999999998</v>
      </c>
      <c r="I17" s="4">
        <f t="shared" si="6"/>
        <v>25774.400000000001</v>
      </c>
      <c r="J17" s="4">
        <f t="shared" si="7"/>
        <v>338.83199999999999</v>
      </c>
      <c r="K17" s="1">
        <v>6.5</v>
      </c>
      <c r="L17" s="1">
        <f t="shared" si="8"/>
        <v>9561.5</v>
      </c>
    </row>
    <row r="18" spans="1:12">
      <c r="A18" s="10" t="s">
        <v>10</v>
      </c>
      <c r="B18" s="1">
        <v>25</v>
      </c>
      <c r="C18" s="1">
        <f t="shared" si="0"/>
        <v>1780000</v>
      </c>
      <c r="D18" s="1">
        <f t="shared" si="1"/>
        <v>44500</v>
      </c>
      <c r="E18" s="7">
        <f t="shared" si="2"/>
        <v>104.35100538559162</v>
      </c>
      <c r="F18" s="16">
        <f t="shared" si="3"/>
        <v>7826.3254039193716</v>
      </c>
      <c r="G18" s="4">
        <f t="shared" si="9"/>
        <v>14.48</v>
      </c>
      <c r="H18" s="20">
        <f t="shared" si="5"/>
        <v>2130.0079999999998</v>
      </c>
      <c r="I18" s="4">
        <f t="shared" si="6"/>
        <v>25774.400000000001</v>
      </c>
      <c r="J18" s="4">
        <f t="shared" si="7"/>
        <v>338.83199999999999</v>
      </c>
      <c r="K18" s="1">
        <v>6.5</v>
      </c>
      <c r="L18" s="1">
        <f t="shared" si="8"/>
        <v>9561.5</v>
      </c>
    </row>
    <row r="19" spans="1:12">
      <c r="A19" s="10" t="s">
        <v>31</v>
      </c>
      <c r="B19" s="1">
        <v>31</v>
      </c>
      <c r="C19" s="1">
        <f t="shared" si="0"/>
        <v>1780000</v>
      </c>
      <c r="D19" s="1">
        <f t="shared" si="1"/>
        <v>55180</v>
      </c>
      <c r="E19" s="7">
        <f t="shared" si="2"/>
        <v>103.74970688539865</v>
      </c>
      <c r="F19" s="16">
        <f t="shared" si="3"/>
        <v>7781.2280164048989</v>
      </c>
      <c r="G19" s="4">
        <f t="shared" si="9"/>
        <v>14.48</v>
      </c>
      <c r="H19" s="20">
        <f t="shared" si="5"/>
        <v>2130.0079999999998</v>
      </c>
      <c r="I19" s="4">
        <f t="shared" si="6"/>
        <v>25774.400000000001</v>
      </c>
      <c r="J19" s="4">
        <f t="shared" si="7"/>
        <v>338.83199999999999</v>
      </c>
      <c r="K19" s="1">
        <v>3.75</v>
      </c>
      <c r="L19" s="1">
        <f t="shared" si="8"/>
        <v>5516.25</v>
      </c>
    </row>
    <row r="20" spans="1:12">
      <c r="A20" s="10" t="s">
        <v>11</v>
      </c>
      <c r="B20" s="1">
        <v>57</v>
      </c>
      <c r="C20" s="1">
        <f t="shared" si="0"/>
        <v>1780000</v>
      </c>
      <c r="D20" s="1">
        <f t="shared" si="1"/>
        <v>101460</v>
      </c>
      <c r="E20" s="7">
        <f t="shared" si="2"/>
        <v>97.354425277162136</v>
      </c>
      <c r="F20" s="16">
        <f t="shared" si="3"/>
        <v>7301.5818957871597</v>
      </c>
      <c r="G20" s="4">
        <f>2.29*4</f>
        <v>9.16</v>
      </c>
      <c r="H20" s="20">
        <f t="shared" si="5"/>
        <v>1347.4359999999999</v>
      </c>
      <c r="I20" s="4">
        <f t="shared" si="6"/>
        <v>16304.8</v>
      </c>
      <c r="J20" s="4">
        <f t="shared" si="7"/>
        <v>214.34399999999999</v>
      </c>
      <c r="K20" s="1">
        <v>0</v>
      </c>
      <c r="L20" s="1">
        <f t="shared" si="8"/>
        <v>0</v>
      </c>
    </row>
    <row r="21" spans="1:12">
      <c r="A21" s="10" t="s">
        <v>12</v>
      </c>
      <c r="B21" s="1">
        <v>205</v>
      </c>
      <c r="C21" s="1">
        <f t="shared" si="0"/>
        <v>1780000</v>
      </c>
      <c r="D21" s="1">
        <f t="shared" si="1"/>
        <v>364900</v>
      </c>
      <c r="E21" s="7">
        <f t="shared" si="2"/>
        <v>75.941003675607448</v>
      </c>
      <c r="F21" s="16">
        <f t="shared" si="3"/>
        <v>5695.5752756705579</v>
      </c>
      <c r="G21" s="4">
        <f t="shared" ref="G21:G23" si="10">2.29*4</f>
        <v>9.16</v>
      </c>
      <c r="H21" s="20">
        <f t="shared" si="5"/>
        <v>1347.4359999999999</v>
      </c>
      <c r="I21" s="4">
        <f t="shared" si="6"/>
        <v>16304.8</v>
      </c>
      <c r="J21" s="4">
        <f t="shared" si="7"/>
        <v>214.34399999999999</v>
      </c>
      <c r="K21" s="1">
        <v>0</v>
      </c>
      <c r="L21" s="1">
        <f t="shared" si="8"/>
        <v>0</v>
      </c>
    </row>
    <row r="22" spans="1:12">
      <c r="A22" s="10" t="s">
        <v>13</v>
      </c>
      <c r="B22" s="1">
        <v>162</v>
      </c>
      <c r="C22" s="1">
        <f t="shared" si="0"/>
        <v>1780000</v>
      </c>
      <c r="D22" s="1">
        <f t="shared" si="1"/>
        <v>288360</v>
      </c>
      <c r="E22" s="7">
        <f t="shared" si="2"/>
        <v>49.893878986633183</v>
      </c>
      <c r="F22" s="16">
        <f t="shared" si="3"/>
        <v>3742.0409239974888</v>
      </c>
      <c r="G22" s="4">
        <f t="shared" si="10"/>
        <v>9.16</v>
      </c>
      <c r="H22" s="20">
        <f t="shared" si="5"/>
        <v>1347.4359999999999</v>
      </c>
      <c r="I22" s="4">
        <f t="shared" si="6"/>
        <v>16304.8</v>
      </c>
      <c r="J22" s="4">
        <f t="shared" si="7"/>
        <v>214.34399999999999</v>
      </c>
      <c r="K22" s="1">
        <v>4</v>
      </c>
      <c r="L22" s="1">
        <f t="shared" si="8"/>
        <v>5884</v>
      </c>
    </row>
    <row r="23" spans="1:12">
      <c r="A23" s="10" t="s">
        <v>14</v>
      </c>
      <c r="B23" s="1">
        <v>107</v>
      </c>
      <c r="C23" s="1">
        <f>$B$2*(10^6)</f>
        <v>1780000</v>
      </c>
      <c r="D23" s="1">
        <f t="shared" si="1"/>
        <v>190460</v>
      </c>
      <c r="E23" s="7">
        <f t="shared" si="2"/>
        <v>47.046638378347744</v>
      </c>
      <c r="F23" s="16">
        <f t="shared" si="3"/>
        <v>3528.4978783760807</v>
      </c>
      <c r="G23" s="4">
        <f t="shared" si="10"/>
        <v>9.16</v>
      </c>
      <c r="H23" s="20">
        <f t="shared" si="5"/>
        <v>1347.4359999999999</v>
      </c>
      <c r="I23" s="4">
        <f t="shared" si="6"/>
        <v>16304.8</v>
      </c>
      <c r="J23" s="4">
        <f t="shared" si="7"/>
        <v>214.34399999999999</v>
      </c>
      <c r="K23" s="1">
        <v>6.5</v>
      </c>
      <c r="L23" s="1">
        <f t="shared" si="8"/>
        <v>9561.5</v>
      </c>
    </row>
    <row r="24" spans="1:12">
      <c r="B24">
        <f>SUM(B12:B23)</f>
        <v>893</v>
      </c>
    </row>
    <row r="25" spans="1:12">
      <c r="A25" s="22"/>
      <c r="B25" s="22"/>
      <c r="C25" s="22"/>
      <c r="D25" s="14"/>
    </row>
    <row r="26" spans="1:12">
      <c r="A26" s="25"/>
      <c r="B26" s="25"/>
      <c r="C26" s="25"/>
    </row>
    <row r="29" spans="1:12">
      <c r="B29" s="8" t="s">
        <v>42</v>
      </c>
      <c r="C29" s="8" t="s">
        <v>49</v>
      </c>
      <c r="D29" s="8" t="s">
        <v>43</v>
      </c>
      <c r="E29" s="8" t="s">
        <v>45</v>
      </c>
      <c r="F29" s="8" t="s">
        <v>44</v>
      </c>
      <c r="G29" s="8" t="s">
        <v>51</v>
      </c>
      <c r="H29" s="8" t="s">
        <v>50</v>
      </c>
      <c r="I29" s="8" t="s">
        <v>52</v>
      </c>
      <c r="J29" s="8" t="s">
        <v>46</v>
      </c>
      <c r="K29" s="8" t="s">
        <v>47</v>
      </c>
      <c r="L29" s="8" t="s">
        <v>48</v>
      </c>
    </row>
    <row r="30" spans="1:12">
      <c r="A30" s="9" t="s">
        <v>4</v>
      </c>
      <c r="B30" s="19">
        <v>0.36</v>
      </c>
      <c r="C30" s="19">
        <v>25.05</v>
      </c>
      <c r="D30" s="7">
        <f>4.584*EXP((17.27*C30)/(237.3+C30))</f>
        <v>23.844788694989163</v>
      </c>
      <c r="E30" s="19">
        <v>0.81</v>
      </c>
      <c r="F30" s="7">
        <f>D30*E30</f>
        <v>19.314278842941224</v>
      </c>
      <c r="G30" s="7">
        <f>D30-F30</f>
        <v>4.5305098520479383</v>
      </c>
      <c r="H30" s="19">
        <v>4</v>
      </c>
      <c r="I30" s="7">
        <f>H30*(1000/3600)</f>
        <v>1.1111111111111112</v>
      </c>
      <c r="J30" s="7">
        <f>B30*G30*(1+(I30/16))</f>
        <v>1.7442462930384561</v>
      </c>
      <c r="K30" s="19">
        <v>31</v>
      </c>
      <c r="L30" s="7">
        <f>J30*K30</f>
        <v>54.071635084192138</v>
      </c>
    </row>
    <row r="31" spans="1:12">
      <c r="A31" s="9" t="s">
        <v>41</v>
      </c>
      <c r="B31" s="19">
        <v>0.36</v>
      </c>
      <c r="C31" s="19">
        <v>26.3</v>
      </c>
      <c r="D31" s="7">
        <f t="shared" ref="D31:D41" si="11">4.584*EXP((17.27*C31)/(237.3+C31))</f>
        <v>25.678165090802345</v>
      </c>
      <c r="E31" s="19">
        <v>0.77</v>
      </c>
      <c r="F31" s="7">
        <f t="shared" ref="F31:F41" si="12">D31*E31</f>
        <v>19.772187119917806</v>
      </c>
      <c r="G31" s="7">
        <f t="shared" ref="G31:G41" si="13">D31-F31</f>
        <v>5.905977970884539</v>
      </c>
      <c r="H31" s="19">
        <v>3</v>
      </c>
      <c r="I31" s="7">
        <f t="shared" ref="I31:I41" si="14">H31*(1000/3600)</f>
        <v>0.83333333333333337</v>
      </c>
      <c r="J31" s="7">
        <f t="shared" ref="J31:J41" si="15">B31*G31*(1+(I31/16))</f>
        <v>2.2368891564725191</v>
      </c>
      <c r="K31" s="19">
        <v>28</v>
      </c>
      <c r="L31" s="7">
        <f t="shared" ref="L31:L41" si="16">J31*K31</f>
        <v>62.632896381230537</v>
      </c>
    </row>
    <row r="32" spans="1:12">
      <c r="A32" s="9" t="s">
        <v>6</v>
      </c>
      <c r="B32" s="19">
        <v>0.36</v>
      </c>
      <c r="C32" s="19">
        <v>28.15</v>
      </c>
      <c r="D32" s="7">
        <f t="shared" si="11"/>
        <v>28.616749956612644</v>
      </c>
      <c r="E32" s="19">
        <v>0.72</v>
      </c>
      <c r="F32" s="7">
        <f t="shared" si="12"/>
        <v>20.604059968761103</v>
      </c>
      <c r="G32" s="7">
        <f t="shared" si="13"/>
        <v>8.012689987851541</v>
      </c>
      <c r="H32" s="19">
        <v>2</v>
      </c>
      <c r="I32" s="7">
        <f t="shared" si="14"/>
        <v>0.55555555555555558</v>
      </c>
      <c r="J32" s="7">
        <f t="shared" si="15"/>
        <v>2.9847270204746992</v>
      </c>
      <c r="K32" s="19">
        <v>31</v>
      </c>
      <c r="L32" s="7">
        <f t="shared" si="16"/>
        <v>92.52653763471568</v>
      </c>
    </row>
    <row r="33" spans="1:12">
      <c r="A33" s="9" t="s">
        <v>7</v>
      </c>
      <c r="B33" s="19">
        <v>0.36</v>
      </c>
      <c r="C33" s="19">
        <v>29.25</v>
      </c>
      <c r="D33" s="7">
        <f t="shared" si="11"/>
        <v>30.499315012962725</v>
      </c>
      <c r="E33" s="19">
        <v>0.75</v>
      </c>
      <c r="F33" s="7">
        <f t="shared" si="12"/>
        <v>22.874486259722044</v>
      </c>
      <c r="G33" s="7">
        <f t="shared" si="13"/>
        <v>7.6248287532406813</v>
      </c>
      <c r="H33" s="19">
        <v>2</v>
      </c>
      <c r="I33" s="7">
        <f t="shared" si="14"/>
        <v>0.55555555555555558</v>
      </c>
      <c r="J33" s="7">
        <f t="shared" si="15"/>
        <v>2.8402487105821539</v>
      </c>
      <c r="K33" s="19">
        <v>30</v>
      </c>
      <c r="L33" s="7">
        <f t="shared" si="16"/>
        <v>85.20746131746462</v>
      </c>
    </row>
    <row r="34" spans="1:12">
      <c r="A34" s="9" t="s">
        <v>8</v>
      </c>
      <c r="B34" s="19">
        <v>0.36</v>
      </c>
      <c r="C34" s="19">
        <v>29.1</v>
      </c>
      <c r="D34" s="7">
        <f t="shared" si="11"/>
        <v>30.236421408349642</v>
      </c>
      <c r="E34" s="19">
        <v>0.76</v>
      </c>
      <c r="F34" s="7">
        <f t="shared" si="12"/>
        <v>22.979680270345728</v>
      </c>
      <c r="G34" s="7">
        <f t="shared" si="13"/>
        <v>7.256741138003914</v>
      </c>
      <c r="H34" s="19">
        <v>3</v>
      </c>
      <c r="I34" s="7">
        <f t="shared" si="14"/>
        <v>0.83333333333333337</v>
      </c>
      <c r="J34" s="7">
        <f t="shared" si="15"/>
        <v>2.7484907060189818</v>
      </c>
      <c r="K34" s="19">
        <v>31</v>
      </c>
      <c r="L34" s="7">
        <f t="shared" si="16"/>
        <v>85.203211886588434</v>
      </c>
    </row>
    <row r="35" spans="1:12">
      <c r="A35" s="9" t="s">
        <v>9</v>
      </c>
      <c r="B35" s="19">
        <v>0.36</v>
      </c>
      <c r="C35" s="19">
        <v>29.1</v>
      </c>
      <c r="D35" s="7">
        <f t="shared" si="11"/>
        <v>30.236421408349642</v>
      </c>
      <c r="E35" s="19">
        <v>0.72</v>
      </c>
      <c r="F35" s="7">
        <f t="shared" si="12"/>
        <v>21.770223414011742</v>
      </c>
      <c r="G35" s="7">
        <f t="shared" si="13"/>
        <v>8.4661979943379002</v>
      </c>
      <c r="H35" s="19">
        <v>5</v>
      </c>
      <c r="I35" s="7">
        <f t="shared" si="14"/>
        <v>1.3888888888888888</v>
      </c>
      <c r="J35" s="7">
        <f t="shared" si="15"/>
        <v>3.3123999652847034</v>
      </c>
      <c r="K35" s="19">
        <v>30</v>
      </c>
      <c r="L35" s="7">
        <f t="shared" si="16"/>
        <v>99.371998958541099</v>
      </c>
    </row>
    <row r="36" spans="1:12">
      <c r="A36" s="9" t="s">
        <v>10</v>
      </c>
      <c r="B36" s="19">
        <v>0.36</v>
      </c>
      <c r="C36" s="19">
        <v>29.05</v>
      </c>
      <c r="D36" s="7">
        <f t="shared" si="11"/>
        <v>30.149229413805131</v>
      </c>
      <c r="E36" s="19">
        <v>0.71</v>
      </c>
      <c r="F36" s="7">
        <f t="shared" si="12"/>
        <v>21.405952883801643</v>
      </c>
      <c r="G36" s="7">
        <f t="shared" si="13"/>
        <v>8.743276530003488</v>
      </c>
      <c r="H36" s="19">
        <v>4</v>
      </c>
      <c r="I36" s="7">
        <f t="shared" si="14"/>
        <v>1.1111111111111112</v>
      </c>
      <c r="J36" s="7">
        <f t="shared" si="15"/>
        <v>3.3661614640513426</v>
      </c>
      <c r="K36" s="19">
        <v>31</v>
      </c>
      <c r="L36" s="7">
        <f t="shared" si="16"/>
        <v>104.35100538559162</v>
      </c>
    </row>
    <row r="37" spans="1:12">
      <c r="A37" s="9" t="s">
        <v>31</v>
      </c>
      <c r="B37" s="19">
        <v>0.36</v>
      </c>
      <c r="C37" s="19">
        <v>28.95</v>
      </c>
      <c r="D37" s="7">
        <f t="shared" si="11"/>
        <v>29.975501462057018</v>
      </c>
      <c r="E37" s="19">
        <v>0.71</v>
      </c>
      <c r="F37" s="7">
        <f t="shared" si="12"/>
        <v>21.282606038060482</v>
      </c>
      <c r="G37" s="7">
        <f t="shared" si="13"/>
        <v>8.6928954239965357</v>
      </c>
      <c r="H37" s="19">
        <v>4</v>
      </c>
      <c r="I37" s="7">
        <f t="shared" si="14"/>
        <v>1.1111111111111112</v>
      </c>
      <c r="J37" s="7">
        <f t="shared" si="15"/>
        <v>3.346764738238666</v>
      </c>
      <c r="K37" s="19">
        <v>31</v>
      </c>
      <c r="L37" s="7">
        <f t="shared" si="16"/>
        <v>103.74970688539865</v>
      </c>
    </row>
    <row r="38" spans="1:12">
      <c r="A38" s="9" t="s">
        <v>11</v>
      </c>
      <c r="B38" s="19">
        <v>0.36</v>
      </c>
      <c r="C38" s="19">
        <v>28.7</v>
      </c>
      <c r="D38" s="7">
        <f t="shared" si="11"/>
        <v>29.544986996597135</v>
      </c>
      <c r="E38" s="19">
        <v>0.71</v>
      </c>
      <c r="F38" s="7">
        <f t="shared" si="12"/>
        <v>20.976940767583965</v>
      </c>
      <c r="G38" s="7">
        <f t="shared" si="13"/>
        <v>8.56804622901317</v>
      </c>
      <c r="H38" s="19">
        <v>3</v>
      </c>
      <c r="I38" s="7">
        <f t="shared" si="14"/>
        <v>0.83333333333333337</v>
      </c>
      <c r="J38" s="7">
        <f t="shared" si="15"/>
        <v>3.2451475092387376</v>
      </c>
      <c r="K38" s="19">
        <v>30</v>
      </c>
      <c r="L38" s="7">
        <f t="shared" si="16"/>
        <v>97.354425277162136</v>
      </c>
    </row>
    <row r="39" spans="1:12">
      <c r="A39" s="9" t="s">
        <v>12</v>
      </c>
      <c r="B39" s="19">
        <v>0.36</v>
      </c>
      <c r="C39" s="19">
        <v>27.85</v>
      </c>
      <c r="D39" s="7">
        <f t="shared" si="11"/>
        <v>28.121220215093555</v>
      </c>
      <c r="E39" s="19">
        <v>0.77</v>
      </c>
      <c r="F39" s="7">
        <f t="shared" si="12"/>
        <v>21.653339565622037</v>
      </c>
      <c r="G39" s="7">
        <f t="shared" si="13"/>
        <v>6.4678806494715175</v>
      </c>
      <c r="H39" s="19">
        <v>3</v>
      </c>
      <c r="I39" s="7">
        <f t="shared" si="14"/>
        <v>0.83333333333333337</v>
      </c>
      <c r="J39" s="7">
        <f t="shared" si="15"/>
        <v>2.4497097959873368</v>
      </c>
      <c r="K39" s="19">
        <v>31</v>
      </c>
      <c r="L39" s="7">
        <f t="shared" si="16"/>
        <v>75.941003675607448</v>
      </c>
    </row>
    <row r="40" spans="1:12">
      <c r="A40" s="9" t="s">
        <v>13</v>
      </c>
      <c r="B40" s="19">
        <v>0.36</v>
      </c>
      <c r="C40" s="19">
        <v>26.4</v>
      </c>
      <c r="D40" s="7">
        <f t="shared" si="11"/>
        <v>25.830002710998862</v>
      </c>
      <c r="E40" s="19">
        <v>0.83</v>
      </c>
      <c r="F40" s="7">
        <f t="shared" si="12"/>
        <v>21.438902250129054</v>
      </c>
      <c r="G40" s="7">
        <f t="shared" si="13"/>
        <v>4.3911004608698079</v>
      </c>
      <c r="H40" s="19">
        <v>3</v>
      </c>
      <c r="I40" s="7">
        <f t="shared" si="14"/>
        <v>0.83333333333333337</v>
      </c>
      <c r="J40" s="7">
        <f t="shared" si="15"/>
        <v>1.6631292995544396</v>
      </c>
      <c r="K40" s="19">
        <v>30</v>
      </c>
      <c r="L40" s="7">
        <f t="shared" si="16"/>
        <v>49.893878986633183</v>
      </c>
    </row>
    <row r="41" spans="1:12">
      <c r="A41" s="9" t="s">
        <v>14</v>
      </c>
      <c r="B41" s="19">
        <v>0.36</v>
      </c>
      <c r="C41" s="19">
        <v>25.6</v>
      </c>
      <c r="D41" s="7">
        <f t="shared" si="11"/>
        <v>24.63690740382685</v>
      </c>
      <c r="E41" s="19">
        <v>0.84</v>
      </c>
      <c r="F41" s="7">
        <f t="shared" si="12"/>
        <v>20.695002219214555</v>
      </c>
      <c r="G41" s="7">
        <f t="shared" si="13"/>
        <v>3.9419051846122954</v>
      </c>
      <c r="H41" s="19">
        <v>4</v>
      </c>
      <c r="I41" s="7">
        <f t="shared" si="14"/>
        <v>1.1111111111111112</v>
      </c>
      <c r="J41" s="7">
        <f t="shared" si="15"/>
        <v>1.5176334960757336</v>
      </c>
      <c r="K41" s="19">
        <v>31</v>
      </c>
      <c r="L41" s="7">
        <f t="shared" si="16"/>
        <v>47.046638378347744</v>
      </c>
    </row>
  </sheetData>
  <mergeCells count="7">
    <mergeCell ref="A26:C26"/>
    <mergeCell ref="E1:H1"/>
    <mergeCell ref="B9:D9"/>
    <mergeCell ref="E9:F9"/>
    <mergeCell ref="G9:J9"/>
    <mergeCell ref="K9:L9"/>
    <mergeCell ref="A25:C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tank 1</vt:lpstr>
      <vt:lpstr>tank 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 I S C O</cp:lastModifiedBy>
  <dcterms:created xsi:type="dcterms:W3CDTF">2021-02-26T11:26:28Z</dcterms:created>
  <dcterms:modified xsi:type="dcterms:W3CDTF">2021-01-09T17:37:48Z</dcterms:modified>
</cp:coreProperties>
</file>