
<file path=[Content_Types].xml><?xml version="1.0" encoding="utf-8"?>
<Types xmlns="http://schemas.openxmlformats.org/package/2006/content-types"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trlProps/ctrlProp1.xml" ContentType="application/vnd.ms-excel.controlproperties+xml"/>
  <Override PartName="/xl/ctrlProps/ctrlProp2.xml" ContentType="application/vnd.ms-excel.controlpropertie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showInkAnnotation="0" autoCompressPictures="0"/>
  <bookViews>
    <workbookView xWindow="0" yWindow="0" windowWidth="26880" windowHeight="15240" tabRatio="500"/>
  </bookViews>
  <sheets>
    <sheet name="1.Header" sheetId="1" r:id="rId1"/>
    <sheet name="2.Milestones" sheetId="3" r:id="rId2"/>
    <sheet name="3.Issues" sheetId="4" r:id="rId3"/>
    <sheet name="4.Risks" sheetId="5" r:id="rId4"/>
    <sheet name="5.Changes" sheetId="6" r:id="rId5"/>
    <sheet name="6.Dependencies" sheetId="7" r:id="rId6"/>
    <sheet name="7.Measures" sheetId="8" r:id="rId7"/>
    <sheet name="8.Communications" sheetId="9" r:id="rId8"/>
    <sheet name="9.Finance" sheetId="10" r:id="rId9"/>
    <sheet name="Legend" sheetId="11" r:id="rId10"/>
    <sheet name="Data- TO BE HIDDEN" sheetId="2" r:id="rId11"/>
  </sheets>
  <definedNames>
    <definedName name="AssetMeasures">'7.Measures'!$H$20:$L$33</definedName>
    <definedName name="avediffpilot">'1.Header'!#REF!</definedName>
    <definedName name="avediffprod">'1.Header'!#REF!</definedName>
    <definedName name="CHANGELIGHT">'5.Changes'!$M$28</definedName>
    <definedName name="CHANGESTART">'5.Changes'!$B$19</definedName>
    <definedName name="Check1Status">'1.Header'!$T$38</definedName>
    <definedName name="Check2Status">'1.Header'!$T$40</definedName>
    <definedName name="COINVESTMENTLIGHT">'9.Finance'!$O$24</definedName>
    <definedName name="CommsType">'Data- TO BE HIDDEN'!$C$2:$C$8</definedName>
    <definedName name="COMMUNICATIONLIGHT">'8.Communications'!$H$43</definedName>
    <definedName name="COMMUNICATIONSTART">'8.Communications'!$B$18</definedName>
    <definedName name="dateclosed">'1.Header'!#REF!</definedName>
    <definedName name="dateopened">'1.Header'!#REF!</definedName>
    <definedName name="DEPENDENCY">'6.Dependencies'!$B$28</definedName>
    <definedName name="DEPENDENCYLIGHT">'6.Dependencies'!$G$24</definedName>
    <definedName name="DEPENDENCYSTART">'6.Dependencies'!$B$19</definedName>
    <definedName name="EIFLIGHT">'9.Finance'!$M$24</definedName>
    <definedName name="expecteddateclosed">'1.Header'!#REF!</definedName>
    <definedName name="FINANCELIGHT">'9.Finance'!$P$24</definedName>
    <definedName name="FINANCESTART">'9.Finance'!$G$21</definedName>
    <definedName name="ISSUELIGHT">'3.Issues'!$K$28</definedName>
    <definedName name="ISSUESTART">'3.Issues'!$B$19</definedName>
    <definedName name="LastDateReport">'1.Header'!$G$16</definedName>
    <definedName name="MEASURELIGHT">'7.Measures'!$Q$46</definedName>
    <definedName name="MeasuresNumber">'7.Measures'!$C$21</definedName>
    <definedName name="MEASURESTART">'7.Measures'!$H$20</definedName>
    <definedName name="MILESTONELIGHT">'2.Milestones'!$P$37</definedName>
    <definedName name="MILESTONESTART">'2.Milestones'!$G$19</definedName>
    <definedName name="numissues">'1.Header'!#REF!</definedName>
    <definedName name="numissuesclosed">'1.Header'!#REF!</definedName>
    <definedName name="OLE_LINK6" localSheetId="1">'2.Milestones'!$D$26</definedName>
    <definedName name="Org">'1.Header'!$G$19</definedName>
    <definedName name="OVERALLLIGHT">'1.Header'!$AE$32</definedName>
    <definedName name="PercentageListItems">'Data- TO BE HIDDEN'!$B$2:$B$6</definedName>
    <definedName name="_xlnm.Print_Area" localSheetId="0">'1.Header'!$B$11:$N$42</definedName>
    <definedName name="_xlnm.Print_Area" localSheetId="1">'2.Milestones'!$B$11:$M$38</definedName>
    <definedName name="_xlnm.Print_Area" localSheetId="2">'3.Issues'!$B$11:$F$29</definedName>
    <definedName name="_xlnm.Print_Area" localSheetId="3">'4.Risks'!$B$11:$E$23</definedName>
    <definedName name="_xlnm.Print_Area" localSheetId="4">'5.Changes'!$B$11:$I$29</definedName>
    <definedName name="_xlnm.Print_Area" localSheetId="5">'6.Dependencies'!$B$11:$F$28</definedName>
    <definedName name="_xlnm.Print_Area" localSheetId="6">'7.Measures'!$B$11:$R$35</definedName>
    <definedName name="_xlnm.Print_Area" localSheetId="7">'8.Communications'!$B$11:$E$38</definedName>
    <definedName name="_xlnm.Print_Area" localSheetId="8">'9.Finance'!$B$11:$I$28</definedName>
    <definedName name="_xlnm.Print_Area" localSheetId="9">Legend!$C$10:$F$22</definedName>
    <definedName name="ProjManager">'1.Header'!$G$18</definedName>
    <definedName name="ProjName">'1.Header'!$G$14</definedName>
    <definedName name="ProjNo">'1.Header'!$D$14</definedName>
    <definedName name="ReportFrom">'1.Header'!$G$15</definedName>
    <definedName name="ReportNo">'1.Header'!$D$15</definedName>
    <definedName name="RISKLIGHT">'4.Risks'!$G$25</definedName>
    <definedName name="RiskRating">'Data- TO BE HIDDEN'!$D$2:$D$4</definedName>
    <definedName name="RISKSTART">'4.Risks'!$B$19</definedName>
    <definedName name="statuslistitems">'Data- TO BE HIDDEN'!$A$2:$A$3</definedName>
    <definedName name="YesNo">'Data- TO BE HIDDEN'!$E$2:$E$3</definedName>
  </definedName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2" i="1"/>
  <c r="Q19" i="3" l="1"/>
  <c r="O21"/>
  <c r="I22"/>
  <c r="O22"/>
  <c r="P22" s="1"/>
  <c r="H23"/>
  <c r="I23" s="1"/>
  <c r="O23"/>
  <c r="P23" s="1"/>
  <c r="H24"/>
  <c r="O24"/>
  <c r="N24" s="1"/>
  <c r="H25"/>
  <c r="O25"/>
  <c r="N25" s="1"/>
  <c r="H26"/>
  <c r="O26"/>
  <c r="N26"/>
  <c r="H27"/>
  <c r="O27"/>
  <c r="N27"/>
  <c r="H28"/>
  <c r="O28"/>
  <c r="N28" s="1"/>
  <c r="H29"/>
  <c r="O29"/>
  <c r="N29" s="1"/>
  <c r="H30"/>
  <c r="O30"/>
  <c r="N30"/>
  <c r="H31"/>
  <c r="O31"/>
  <c r="N31"/>
  <c r="H32"/>
  <c r="O32"/>
  <c r="N32" s="1"/>
  <c r="H33"/>
  <c r="O33"/>
  <c r="N33" s="1"/>
  <c r="H34"/>
  <c r="O34"/>
  <c r="N34"/>
  <c r="H35"/>
  <c r="O35"/>
  <c r="N35"/>
  <c r="H36"/>
  <c r="O36"/>
  <c r="N36" s="1"/>
  <c r="O20"/>
  <c r="N20"/>
  <c r="O19"/>
  <c r="N19" s="1"/>
  <c r="I20"/>
  <c r="I21"/>
  <c r="I24"/>
  <c r="I25"/>
  <c r="I26"/>
  <c r="I27"/>
  <c r="I28"/>
  <c r="I29"/>
  <c r="I30"/>
  <c r="I31"/>
  <c r="I32"/>
  <c r="I33"/>
  <c r="I34"/>
  <c r="I35"/>
  <c r="I36"/>
  <c r="I19"/>
  <c r="B43" i="1"/>
  <c r="T41"/>
  <c r="E24" i="10"/>
  <c r="I24"/>
  <c r="H24"/>
  <c r="F24"/>
  <c r="G20" i="6"/>
  <c r="G21"/>
  <c r="G22"/>
  <c r="G23"/>
  <c r="G24"/>
  <c r="G25"/>
  <c r="G26"/>
  <c r="G27"/>
  <c r="G19"/>
  <c r="D24" i="10"/>
  <c r="G24"/>
  <c r="L24" s="1"/>
  <c r="G18" i="9"/>
  <c r="G19"/>
  <c r="G41"/>
  <c r="G29"/>
  <c r="G42"/>
  <c r="Q46" i="8"/>
  <c r="B7" i="11"/>
  <c r="G24" i="7"/>
  <c r="B6" i="11"/>
  <c r="H19" i="6"/>
  <c r="L19"/>
  <c r="M19"/>
  <c r="L20"/>
  <c r="M20" s="1"/>
  <c r="L21"/>
  <c r="M21"/>
  <c r="L22"/>
  <c r="M22" s="1"/>
  <c r="L23"/>
  <c r="M23"/>
  <c r="L24"/>
  <c r="M24" s="1"/>
  <c r="L25"/>
  <c r="M25"/>
  <c r="L26"/>
  <c r="M26" s="1"/>
  <c r="L27"/>
  <c r="M27"/>
  <c r="J19" i="4"/>
  <c r="K19"/>
  <c r="J20"/>
  <c r="K20" s="1"/>
  <c r="J21"/>
  <c r="K21"/>
  <c r="J22"/>
  <c r="K22" s="1"/>
  <c r="J23"/>
  <c r="K23"/>
  <c r="J24"/>
  <c r="K24" s="1"/>
  <c r="J25"/>
  <c r="K25"/>
  <c r="J26"/>
  <c r="K26" s="1"/>
  <c r="P19" i="3"/>
  <c r="P20"/>
  <c r="P24"/>
  <c r="P26"/>
  <c r="P27"/>
  <c r="P28"/>
  <c r="P30"/>
  <c r="P31"/>
  <c r="P32"/>
  <c r="P34"/>
  <c r="P35"/>
  <c r="P36"/>
  <c r="B7" i="1"/>
  <c r="B6"/>
  <c r="C13" i="10"/>
  <c r="C12"/>
  <c r="C11"/>
  <c r="B11"/>
  <c r="C13" i="9"/>
  <c r="C12"/>
  <c r="C11"/>
  <c r="B11"/>
  <c r="C13" i="8"/>
  <c r="C12"/>
  <c r="C11"/>
  <c r="B11"/>
  <c r="C13" i="7"/>
  <c r="C12"/>
  <c r="C11"/>
  <c r="B11"/>
  <c r="D13" i="6"/>
  <c r="D12"/>
  <c r="D11"/>
  <c r="B11"/>
  <c r="C13" i="5"/>
  <c r="C12"/>
  <c r="C11"/>
  <c r="B11"/>
  <c r="C13" i="4"/>
  <c r="C12"/>
  <c r="C11"/>
  <c r="B11"/>
  <c r="D13" i="3"/>
  <c r="D12"/>
  <c r="D11"/>
  <c r="B11"/>
  <c r="G25" i="7"/>
  <c r="G26"/>
  <c r="G27"/>
  <c r="G28"/>
  <c r="K27" i="4"/>
  <c r="I20"/>
  <c r="I21"/>
  <c r="I22"/>
  <c r="I23"/>
  <c r="I24"/>
  <c r="I25"/>
  <c r="I26"/>
  <c r="H20"/>
  <c r="H21"/>
  <c r="H22"/>
  <c r="H23"/>
  <c r="H24"/>
  <c r="H25"/>
  <c r="H26"/>
  <c r="G30" i="9"/>
  <c r="G31"/>
  <c r="G32"/>
  <c r="G33"/>
  <c r="G34"/>
  <c r="G35"/>
  <c r="G36"/>
  <c r="G37"/>
  <c r="G38"/>
  <c r="G20"/>
  <c r="G21"/>
  <c r="G22"/>
  <c r="G23"/>
  <c r="G24"/>
  <c r="G25"/>
  <c r="G26"/>
  <c r="G27"/>
  <c r="B7" i="10"/>
  <c r="B6"/>
  <c r="G19" i="5"/>
  <c r="G20"/>
  <c r="G21"/>
  <c r="G22"/>
  <c r="G23"/>
  <c r="G25"/>
  <c r="B4" i="1" s="1"/>
  <c r="B7" i="9"/>
  <c r="B6"/>
  <c r="B7" i="8"/>
  <c r="B6"/>
  <c r="B7" i="7"/>
  <c r="B6"/>
  <c r="B7" i="6"/>
  <c r="B6"/>
  <c r="B7" i="5"/>
  <c r="B6"/>
  <c r="B7" i="4"/>
  <c r="B6"/>
  <c r="B7" i="3"/>
  <c r="B6"/>
  <c r="I28" i="1"/>
  <c r="I19" i="4"/>
  <c r="C29"/>
  <c r="H20" i="6"/>
  <c r="H21"/>
  <c r="H22"/>
  <c r="H23"/>
  <c r="H24"/>
  <c r="H25"/>
  <c r="H26"/>
  <c r="H27"/>
  <c r="I27" i="1"/>
  <c r="B29" i="4"/>
  <c r="H19"/>
  <c r="F29"/>
  <c r="D29"/>
  <c r="K19" i="6"/>
  <c r="K20"/>
  <c r="K21"/>
  <c r="K22"/>
  <c r="K23"/>
  <c r="K24"/>
  <c r="K25"/>
  <c r="K26"/>
  <c r="K27"/>
  <c r="K29"/>
  <c r="G29"/>
  <c r="B29"/>
  <c r="N17"/>
  <c r="N16"/>
  <c r="N15"/>
  <c r="K28" i="4" l="1"/>
  <c r="M28" i="6"/>
  <c r="P33" i="3"/>
  <c r="P29"/>
  <c r="P25"/>
  <c r="N24" i="10"/>
  <c r="O24" s="1"/>
  <c r="N30" i="1" s="1"/>
  <c r="M24" i="10"/>
  <c r="Q24"/>
  <c r="H43" i="9"/>
  <c r="B8" i="11" s="1"/>
  <c r="B8" i="1"/>
  <c r="B8" i="7"/>
  <c r="B8" i="4"/>
  <c r="B4" i="11"/>
  <c r="B4" i="6"/>
  <c r="B4" i="10"/>
  <c r="I25" i="1"/>
  <c r="B4" i="7"/>
  <c r="E15" i="5"/>
  <c r="B4"/>
  <c r="B4" i="9"/>
  <c r="B4" i="3"/>
  <c r="B4" i="4"/>
  <c r="B4" i="8"/>
  <c r="N23" i="3"/>
  <c r="I38"/>
  <c r="N22"/>
  <c r="N21"/>
  <c r="P21"/>
  <c r="P37" s="1"/>
  <c r="F15" i="4" l="1"/>
  <c r="B3" i="11"/>
  <c r="B3" i="9"/>
  <c r="B3" i="7"/>
  <c r="B3" i="5"/>
  <c r="B3" i="3"/>
  <c r="I24" i="1"/>
  <c r="B3" i="10"/>
  <c r="B3" i="8"/>
  <c r="B3" i="6"/>
  <c r="B3" i="4"/>
  <c r="B3" i="1"/>
  <c r="B5" i="11"/>
  <c r="B5" i="9"/>
  <c r="B5" i="8"/>
  <c r="B5" i="7"/>
  <c r="B5" i="6"/>
  <c r="B5" i="5"/>
  <c r="B5" i="4"/>
  <c r="B5" i="3"/>
  <c r="I26" i="1"/>
  <c r="B5"/>
  <c r="B5" i="10"/>
  <c r="I15" i="6"/>
  <c r="R24" i="10"/>
  <c r="P24"/>
  <c r="K30" i="1"/>
  <c r="B8" i="6"/>
  <c r="E15" i="9"/>
  <c r="I29" i="1"/>
  <c r="B8" i="5"/>
  <c r="B8" i="3"/>
  <c r="B8" i="10"/>
  <c r="B8" i="8"/>
  <c r="B8" i="9"/>
  <c r="I23" i="1"/>
  <c r="B2" i="8"/>
  <c r="B2" i="4"/>
  <c r="J15" i="3"/>
  <c r="B2" i="1"/>
  <c r="B2" i="6"/>
  <c r="B2" i="9"/>
  <c r="B2" i="5"/>
  <c r="B2" i="10"/>
  <c r="B2" i="11"/>
  <c r="B2" i="7"/>
  <c r="B2" i="3"/>
  <c r="B9" i="11" l="1"/>
  <c r="I30" i="1"/>
  <c r="B9"/>
  <c r="B9" i="9"/>
  <c r="B9" i="5"/>
  <c r="H15" i="10"/>
  <c r="B9" i="6"/>
  <c r="B9" i="4"/>
  <c r="B9" i="7"/>
  <c r="B9" i="3"/>
  <c r="B9" i="10"/>
  <c r="B9" i="8"/>
  <c r="V33" i="1"/>
  <c r="U33"/>
  <c r="W33"/>
  <c r="W34" l="1"/>
  <c r="W35" s="1"/>
  <c r="V34"/>
  <c r="V35" s="1"/>
  <c r="U34"/>
  <c r="U35" s="1"/>
  <c r="AE32" s="1"/>
  <c r="B1" i="9" s="1"/>
  <c r="B1" i="11" l="1"/>
  <c r="I31" i="1"/>
  <c r="B1" i="8"/>
  <c r="B1" i="6"/>
  <c r="B1" i="1"/>
  <c r="M12"/>
  <c r="B1" i="3"/>
  <c r="B1" i="5"/>
  <c r="I22" i="1"/>
  <c r="B1" i="10"/>
  <c r="B1" i="4"/>
  <c r="B1" i="7"/>
</calcChain>
</file>

<file path=xl/sharedStrings.xml><?xml version="1.0" encoding="utf-8"?>
<sst xmlns="http://schemas.openxmlformats.org/spreadsheetml/2006/main" count="468" uniqueCount="251">
  <si>
    <t>Proj No.</t>
  </si>
  <si>
    <t>Proj. Name.</t>
  </si>
  <si>
    <t>Report No.</t>
  </si>
  <si>
    <t>Report Period To:</t>
  </si>
  <si>
    <t>Report Period From:</t>
  </si>
  <si>
    <t>Proj Manager:</t>
  </si>
  <si>
    <t>Contracting Org:</t>
  </si>
  <si>
    <t>Issues</t>
  </si>
  <si>
    <t>Issue</t>
  </si>
  <si>
    <t>Date closed</t>
  </si>
  <si>
    <t>Changes</t>
  </si>
  <si>
    <t>All open changes. Show closed changes for one report and then remove.</t>
  </si>
  <si>
    <t>No.</t>
  </si>
  <si>
    <t>No. (in Nectar register)</t>
  </si>
  <si>
    <t>Date requested</t>
  </si>
  <si>
    <t>Status</t>
  </si>
  <si>
    <t>Date approved</t>
  </si>
  <si>
    <t>External party</t>
  </si>
  <si>
    <t>Capability required</t>
  </si>
  <si>
    <t>Date required</t>
  </si>
  <si>
    <t>Milestone dependent on that capability</t>
  </si>
  <si>
    <t>From production infrastructure</t>
  </si>
  <si>
    <t>High impact issues only. Show closed issues for one report and then remove.</t>
  </si>
  <si>
    <t>From proposal section 7.2</t>
  </si>
  <si>
    <t>Title</t>
  </si>
  <si>
    <t>Nectar Project Report</t>
  </si>
  <si>
    <t>Signoff</t>
  </si>
  <si>
    <t>Optional Comment</t>
  </si>
  <si>
    <t>Date:</t>
  </si>
  <si>
    <t>Communications</t>
  </si>
  <si>
    <t>Activities this period</t>
  </si>
  <si>
    <t>Type</t>
  </si>
  <si>
    <t>URL</t>
  </si>
  <si>
    <t>Activities upcoming</t>
  </si>
  <si>
    <t>open</t>
  </si>
  <si>
    <t>closed</t>
  </si>
  <si>
    <t>Number of open changes:</t>
  </si>
  <si>
    <t>Average days to approve:</t>
  </si>
  <si>
    <t>Number of changes:</t>
  </si>
  <si>
    <t>No. of days to approve</t>
  </si>
  <si>
    <t>Time impact
 (+/- days)</t>
  </si>
  <si>
    <t>Cost impact 
(+/- $)</t>
  </si>
  <si>
    <t>Total</t>
  </si>
  <si>
    <t>Total Open</t>
  </si>
  <si>
    <t>Average</t>
  </si>
  <si>
    <t>% Complete</t>
  </si>
  <si>
    <t>Total Closed</t>
  </si>
  <si>
    <t>Expected date closed</t>
  </si>
  <si>
    <t>Date 
opened</t>
  </si>
  <si>
    <t>Av days b/n exp close and close</t>
  </si>
  <si>
    <t>ID from your issues log</t>
  </si>
  <si>
    <t>Finance</t>
  </si>
  <si>
    <t>Equipment</t>
  </si>
  <si>
    <t>Personnel</t>
  </si>
  <si>
    <t>Other</t>
  </si>
  <si>
    <t>EIF</t>
  </si>
  <si>
    <t>Planned</t>
  </si>
  <si>
    <t>Actual</t>
  </si>
  <si>
    <t>In-kind</t>
  </si>
  <si>
    <t>Totals for this reporting period</t>
  </si>
  <si>
    <t>Risks</t>
  </si>
  <si>
    <t>Top five risks.</t>
  </si>
  <si>
    <t>ID from your risk log</t>
  </si>
  <si>
    <t>Brief description of risk</t>
  </si>
  <si>
    <t>Mitigation</t>
  </si>
  <si>
    <t>Residual risk rating</t>
  </si>
  <si>
    <t>Deliverable</t>
  </si>
  <si>
    <t>GREEN</t>
  </si>
  <si>
    <t>OVERALL</t>
  </si>
  <si>
    <t>RED</t>
  </si>
  <si>
    <t>Date Submitted:</t>
  </si>
  <si>
    <t>1. Header</t>
  </si>
  <si>
    <t>3.Issues</t>
  </si>
  <si>
    <t>6.Dependencies</t>
  </si>
  <si>
    <t>7.Measures</t>
  </si>
  <si>
    <t>8.Communications</t>
  </si>
  <si>
    <t>9.Finance</t>
  </si>
  <si>
    <t>1.Header</t>
  </si>
  <si>
    <t>4.Risks</t>
  </si>
  <si>
    <t>5.Changes</t>
  </si>
  <si>
    <t>Scroll up
 for navigation</t>
  </si>
  <si>
    <t xml:space="preserve">                  </t>
  </si>
  <si>
    <t>No. Days
 between open and closed</t>
  </si>
  <si>
    <t>No. Days 
between expected close and close</t>
  </si>
  <si>
    <t>EIFdiff</t>
  </si>
  <si>
    <t>EIF VALUE</t>
  </si>
  <si>
    <t>Co-investDiff</t>
  </si>
  <si>
    <t>Co-inv value</t>
  </si>
  <si>
    <t>% Diff EIF</t>
  </si>
  <si>
    <t>% Diff Co</t>
  </si>
  <si>
    <t>OVERALLFIN</t>
  </si>
  <si>
    <t>Co-investment</t>
  </si>
  <si>
    <t>New dependency?</t>
  </si>
  <si>
    <t>OVERALL STATUS</t>
  </si>
  <si>
    <t>Fin</t>
  </si>
  <si>
    <t>AMBER</t>
  </si>
  <si>
    <t>STATUS</t>
  </si>
  <si>
    <t>Percentage</t>
  </si>
  <si>
    <t>COMMENT and Remedial action for delayed milestones</t>
  </si>
  <si>
    <t>CommsType</t>
  </si>
  <si>
    <t>e-news</t>
  </si>
  <si>
    <t>press release</t>
  </si>
  <si>
    <t>article</t>
  </si>
  <si>
    <t>television item</t>
  </si>
  <si>
    <t>radio item</t>
  </si>
  <si>
    <t>event</t>
  </si>
  <si>
    <t>social media</t>
  </si>
  <si>
    <t>Activity</t>
  </si>
  <si>
    <t>STATUS FOR REPORTING PERIOD</t>
  </si>
  <si>
    <t>As needed</t>
  </si>
  <si>
    <t>Once operational</t>
  </si>
  <si>
    <t>From</t>
  </si>
  <si>
    <t>To</t>
  </si>
  <si>
    <t>Complete the white boxes in each tab 2-9 noting that tabs 5 and 6 are as needed and tab 7 is when operational. The Status Lights will change in response to your data. 
Final signoff is on this tab.</t>
  </si>
  <si>
    <t>Green</t>
  </si>
  <si>
    <t>Amber</t>
  </si>
  <si>
    <t>Red</t>
  </si>
  <si>
    <t>&lt;10% over or underspend (total)</t>
  </si>
  <si>
    <t>&gt;10% &lt;20% under or overspend (total)</t>
  </si>
  <si>
    <t>&gt;20% under or overspend (total)</t>
  </si>
  <si>
    <t>&gt;0 activity in each period</t>
  </si>
  <si>
    <t>&lt;1 activity planned</t>
  </si>
  <si>
    <t>&lt;1 activity this period</t>
  </si>
  <si>
    <t>N/A</t>
  </si>
  <si>
    <t>&gt;28 days late</t>
  </si>
  <si>
    <t>&gt;1 &lt;28 days late</t>
  </si>
  <si>
    <t>&lt;5 identified</t>
  </si>
  <si>
    <t>&gt;0 sections (except comms) red</t>
  </si>
  <si>
    <t>&lt;2 days late</t>
  </si>
  <si>
    <t>5 identified</t>
  </si>
  <si>
    <t>LEGEND</t>
  </si>
  <si>
    <t>Expected Production Date</t>
  </si>
  <si>
    <t>Expected Pilot Date</t>
  </si>
  <si>
    <t>Last period</t>
  </si>
  <si>
    <t>This period</t>
  </si>
  <si>
    <t>No. of registered users *</t>
  </si>
  <si>
    <t>Average frequency of use *</t>
  </si>
  <si>
    <t>Number of data sets uploaded *</t>
  </si>
  <si>
    <t>* Not all measures will be relevant for a particular asset. Only complete details for the appropriate measures.</t>
  </si>
  <si>
    <t>Anticipated Close (+28days)</t>
  </si>
  <si>
    <t>0 sections RED (excluding comms) AND &lt; 2 sections AMBER (excluding comms) AND Finance=GREEN AND Deliverables=GREEN</t>
  </si>
  <si>
    <t>Displays OVERALL Status</t>
  </si>
  <si>
    <t>Number of Service Levels in Exception</t>
  </si>
  <si>
    <t>RiskRating</t>
  </si>
  <si>
    <t>Actual Date of completion of milestone</t>
  </si>
  <si>
    <t>Target date of completion of milestone</t>
  </si>
  <si>
    <t>Delay
(No. Days Lag)</t>
  </si>
  <si>
    <t>Av lag</t>
  </si>
  <si>
    <t>Measure 4 
(To be agreed)</t>
  </si>
  <si>
    <t>Measure 5 
(To be agreed)</t>
  </si>
  <si>
    <t>Measure 6 
(To be agreed)</t>
  </si>
  <si>
    <t>Cash</t>
  </si>
  <si>
    <t>See Legend</t>
  </si>
  <si>
    <t>Name of authorised officer:</t>
  </si>
  <si>
    <t>Checked?</t>
  </si>
  <si>
    <t>Funding Milestone?</t>
  </si>
  <si>
    <t xml:space="preserve">Asset?
 </t>
  </si>
  <si>
    <t>Change Title</t>
  </si>
  <si>
    <t>Measures of uptake</t>
  </si>
  <si>
    <t>Deliverables</t>
  </si>
  <si>
    <t>Service</t>
  </si>
  <si>
    <t>Has Occurred?</t>
  </si>
  <si>
    <t>Yes</t>
  </si>
  <si>
    <t>No</t>
  </si>
  <si>
    <t>YesNo</t>
  </si>
  <si>
    <t>Completion Status</t>
  </si>
  <si>
    <t>Milestone</t>
  </si>
  <si>
    <t>2.Deliverables</t>
  </si>
  <si>
    <t>External Dependencies</t>
  </si>
  <si>
    <t>&gt;2 sections (except comms) amber; OR Finance or deliverables are AMBER; AND 0 sections (except comms) red</t>
  </si>
  <si>
    <t>RT029</t>
  </si>
  <si>
    <t>University of Western Australia</t>
  </si>
  <si>
    <t>Cloud Based Bioinformatics Tools</t>
  </si>
  <si>
    <t>Paul White</t>
  </si>
  <si>
    <t>Sub-contract</t>
  </si>
  <si>
    <t>Integrated existing application with AAF Authentication Services</t>
  </si>
  <si>
    <t>Sub-contract signed (Linked to Funding Milestone 1)</t>
  </si>
  <si>
    <t>Funding Milestone 1</t>
  </si>
  <si>
    <t>Linked to Milestone 1</t>
  </si>
  <si>
    <t>Established Support Tools &amp; Processes (Linked to Funding Milestone 2)</t>
  </si>
  <si>
    <t>Support Tools &amp; Processes</t>
  </si>
  <si>
    <t>Project Initiation complete (Linked to Funding Milestone 2)</t>
  </si>
  <si>
    <t>Communications plan prepared and sent to NeCTAR (Signed contract + two months).</t>
  </si>
  <si>
    <t>Integrated existing application with AAF Authentication Services (Linked to Funding Milestone 2)</t>
  </si>
  <si>
    <t>Integrate existing application with AAF Authentication Services</t>
  </si>
  <si>
    <t>Funding Milestone 2</t>
  </si>
  <si>
    <t>Linked to Milestone 3, 4 and 5</t>
  </si>
  <si>
    <t>Integrated Invoicing &amp; Billing Complete (Linked to Funding Milestone 3)</t>
  </si>
  <si>
    <t>Integrated Invoicing &amp; Billing Module</t>
  </si>
  <si>
    <t>Initial Production Research Cloud Deployed (Linked to Funding Milestone 3)</t>
  </si>
  <si>
    <t>Initial Production Research Cloud Deployment</t>
  </si>
  <si>
    <t>Funding Milestone 3</t>
  </si>
  <si>
    <t>Linked to Milestone 7 and 8</t>
  </si>
  <si>
    <t>Implemented Data Extraction for Analysis Module (Linked to Funding Milestone 4)</t>
  </si>
  <si>
    <t>Data Extraction for Analysis Module</t>
  </si>
  <si>
    <t>Implemented Pedigree Storage &amp; Visualisation Module (Linked to Funding Milestone 4)</t>
  </si>
  <si>
    <t>Pedigree Storage &amp; Visualisation Module</t>
  </si>
  <si>
    <t>Funding Milestone 4</t>
  </si>
  <si>
    <t>Linked to Milestone 10 and 11</t>
  </si>
  <si>
    <t>Enhanced Data Linkage &amp; Reporting Module Complete (Linked to Funding Milestone 5)</t>
  </si>
  <si>
    <t>Enhanced Data Linkage &amp; Reporting Module</t>
  </si>
  <si>
    <t>Implemented Registry Management Module (Linked to Funding Milestone 5)</t>
  </si>
  <si>
    <t>Registry Management Module</t>
  </si>
  <si>
    <t>Integrated Genotypic Data Management Capability (Linked to Funding Milestone 5)</t>
  </si>
  <si>
    <t>Integrate Genotypic Data Management Capability</t>
  </si>
  <si>
    <t>Funding Milestone 5</t>
  </si>
  <si>
    <t>Operations to June 2014</t>
  </si>
  <si>
    <t>Service Levels met and reported to NeCTAR as defined.</t>
  </si>
  <si>
    <t>Post-implementation Review (PIR) conducted and sent to NeCTAR.Practical Completion Certificate accepted by NeCTAR.</t>
  </si>
  <si>
    <t>Linked to Milestone 13, 14 and 15
Note that all development should be completed by 30 Jan 2013</t>
  </si>
  <si>
    <t>Final Admin Closure
(Funding Milestone 6)</t>
  </si>
  <si>
    <t>Milestone No</t>
  </si>
  <si>
    <t>Service No</t>
  </si>
  <si>
    <t>AAF</t>
  </si>
  <si>
    <t>ARCS Access Service</t>
  </si>
  <si>
    <t>RDSI</t>
  </si>
  <si>
    <t>Research Data Service Infrastructure</t>
  </si>
  <si>
    <t>Integrated Genotypic Data Management Capability</t>
  </si>
  <si>
    <t>The Research Cloud</t>
  </si>
  <si>
    <t>Application and database hosting</t>
  </si>
  <si>
    <t>IVEC</t>
  </si>
  <si>
    <t>HPC Infrastructure &amp; Services</t>
  </si>
  <si>
    <t xml:space="preserve">Genomics Virtual Laboratory Project </t>
  </si>
  <si>
    <t>Interface Definitions</t>
  </si>
  <si>
    <t>List of External Dependencies. As new rows as required.</t>
  </si>
  <si>
    <t>N1009</t>
  </si>
  <si>
    <t>RT029 Milestone Changes</t>
  </si>
  <si>
    <t>y</t>
  </si>
  <si>
    <t>Functionality completed, system tested and deployed from Development to Test. Demonstration to Nik Zeps, Steering Committee member, scheduled for 14 June 2012 for signoff.</t>
  </si>
  <si>
    <t>Ark-628</t>
  </si>
  <si>
    <t>The impact of the reduced $ and delay of the GVL project on genomics storage is unknown</t>
  </si>
  <si>
    <t xml:space="preserve">Availability of appropriately skilled development resources. </t>
  </si>
  <si>
    <t>Second part time developer has been hired in Melbourne.</t>
  </si>
  <si>
    <t>Ongoing availability of partner organisation resources.</t>
  </si>
  <si>
    <t>Resourcing is not currently an issue.</t>
  </si>
  <si>
    <t>Availability RDSI, AAF and the Research Cloud.</t>
  </si>
  <si>
    <t>Utilising NSP until RC can offer backup facilities.  AAF progressing well, RDSI dependency not imminent.</t>
  </si>
  <si>
    <t>Commenced investigating alternatives for storing genomic data efficiently as part of our toolset.</t>
  </si>
  <si>
    <t>Integration Complete</t>
  </si>
  <si>
    <t>We already have access to National Server Program servers so this is not a critical requirement</t>
  </si>
  <si>
    <t>This project has a delayed start so we are investigating the option of building some of this functionality ourselves in more detail</t>
  </si>
  <si>
    <t>Daily</t>
  </si>
  <si>
    <t>NeCTAR project signing announcement, Project Launch</t>
  </si>
  <si>
    <t>Presentations to Westmead Hospital and CCIA</t>
  </si>
  <si>
    <t>Updated The-Ark.org.au website</t>
  </si>
  <si>
    <t>www.the-ark.org.au</t>
  </si>
  <si>
    <t>Conduct 1st Steering Committee Meeting</t>
  </si>
  <si>
    <t>Drafted UWA press release (Nik Zeps)</t>
  </si>
  <si>
    <t>Update OBiBa website</t>
  </si>
  <si>
    <t>http://nectar.org.au/news/nectar-signs-first-e-research-tool-contract-uwa</t>
  </si>
  <si>
    <t xml:space="preserve">Cash component to be contributed for travel - awaiting completion of the funds transfer from UWA Matching Research funds account.  Centre funds to be transferred when UWA funds received. Funds expected imminently. </t>
  </si>
</sst>
</file>

<file path=xl/styles.xml><?xml version="1.0" encoding="utf-8"?>
<styleSheet xmlns="http://schemas.openxmlformats.org/spreadsheetml/2006/main">
  <numFmts count="4">
    <numFmt numFmtId="164" formatCode="[$-C09]dd\-mmm\-yy;@"/>
    <numFmt numFmtId="165" formatCode="[$-C09]dd\-mmmm\-yyyy;@"/>
    <numFmt numFmtId="166" formatCode="&quot;$&quot;#,##0.00"/>
    <numFmt numFmtId="167" formatCode="[$-C09]d\ mmmm\ yyyy;@"/>
  </numFmts>
  <fonts count="35">
    <font>
      <sz val="10"/>
      <color theme="1"/>
      <name val="Calibri"/>
      <scheme val="minor"/>
    </font>
    <font>
      <sz val="12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u/>
      <sz val="10"/>
      <color theme="10"/>
      <name val="Calibri"/>
      <family val="2"/>
      <scheme val="minor"/>
    </font>
    <font>
      <u/>
      <sz val="10"/>
      <color theme="11"/>
      <name val="Calibri"/>
      <family val="2"/>
      <scheme val="minor"/>
    </font>
    <font>
      <b/>
      <sz val="9"/>
      <color theme="3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u/>
      <sz val="10"/>
      <color theme="10"/>
      <name val="Calibri"/>
      <family val="2"/>
      <scheme val="minor"/>
    </font>
    <font>
      <b/>
      <sz val="10"/>
      <color theme="0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65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6100"/>
      <name val="Calibri"/>
      <family val="2"/>
      <scheme val="minor"/>
    </font>
    <font>
      <b/>
      <sz val="12"/>
      <color rgb="FF9C6500"/>
      <name val="Calibri"/>
      <family val="2"/>
      <scheme val="minor"/>
    </font>
    <font>
      <b/>
      <sz val="12"/>
      <color rgb="FF9C000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sz val="10"/>
      <color theme="0"/>
      <name val="Calibri"/>
      <family val="2"/>
      <scheme val="minor"/>
    </font>
    <font>
      <sz val="24"/>
      <color theme="1"/>
      <name val="Calibri"/>
      <family val="2"/>
      <scheme val="minor"/>
    </font>
    <font>
      <sz val="10"/>
      <color rgb="FF000000"/>
      <name val="Geneva"/>
      <family val="2"/>
    </font>
    <font>
      <sz val="10"/>
      <color indexed="8"/>
      <name val="Calibri"/>
      <family val="2"/>
    </font>
    <font>
      <u/>
      <sz val="14"/>
      <color theme="1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0" tint="-4.9989318521683403E-2"/>
        <bgColor indexed="65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  <bgColor rgb="FF000000"/>
      </patternFill>
    </fill>
  </fills>
  <borders count="6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medium">
        <color theme="4" tint="0.39997558519241921"/>
      </top>
      <bottom/>
      <diagonal/>
    </border>
    <border>
      <left/>
      <right/>
      <top style="medium">
        <color theme="4" tint="0.3999755851924192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theme="4" tint="0.499984740745262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theme="4" tint="0.499984740745262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0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0" applyNumberFormat="0" applyBorder="0" applyAlignment="0" applyProtection="0"/>
    <xf numFmtId="0" fontId="10" fillId="4" borderId="4" applyNumberFormat="0" applyAlignment="0" applyProtection="0"/>
    <xf numFmtId="0" fontId="6" fillId="2" borderId="0" applyNumberFormat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3" borderId="11" applyNumberFormat="0">
      <alignment horizontal="left" wrapText="1"/>
    </xf>
    <xf numFmtId="0" fontId="11" fillId="4" borderId="10" applyNumberFormat="0" applyBorder="0" applyAlignment="0">
      <alignment horizontal="center"/>
    </xf>
    <xf numFmtId="0" fontId="5" fillId="0" borderId="3" applyNumberFormat="0" applyFill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0" fillId="0" borderId="5" applyNumberFormat="0" applyAlignment="0">
      <protection locked="0"/>
    </xf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0" fillId="5" borderId="37" applyNumberFormat="0" applyFont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22" fillId="7" borderId="0" applyNumberFormat="0" applyBorder="0" applyAlignment="0" applyProtection="0"/>
    <xf numFmtId="0" fontId="23" fillId="8" borderId="0" applyNumberFormat="0" applyBorder="0" applyAlignment="0" applyProtection="0"/>
    <xf numFmtId="0" fontId="24" fillId="9" borderId="0" applyNumberFormat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29" fillId="10" borderId="46" applyNumberFormat="0" applyAlignment="0" applyProtection="0"/>
    <xf numFmtId="0" fontId="15" fillId="11" borderId="54" applyNumberFormat="0" applyAlignment="0" applyProtection="0"/>
  </cellStyleXfs>
  <cellXfs count="333">
    <xf numFmtId="0" fontId="0" fillId="0" borderId="0" xfId="0"/>
    <xf numFmtId="0" fontId="11" fillId="4" borderId="0" xfId="20" applyBorder="1" applyAlignment="1"/>
    <xf numFmtId="0" fontId="0" fillId="0" borderId="0" xfId="0" applyAlignment="1">
      <alignment wrapText="1"/>
    </xf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0" xfId="6" applyFill="1" applyBorder="1"/>
    <xf numFmtId="0" fontId="15" fillId="0" borderId="0" xfId="6" applyFont="1" applyFill="1" applyBorder="1"/>
    <xf numFmtId="0" fontId="0" fillId="0" borderId="0" xfId="0" applyBorder="1" applyAlignment="1"/>
    <xf numFmtId="0" fontId="0" fillId="0" borderId="0" xfId="0" applyFill="1"/>
    <xf numFmtId="0" fontId="4" fillId="0" borderId="0" xfId="3" applyFill="1" applyBorder="1" applyAlignment="1">
      <alignment horizontal="center"/>
    </xf>
    <xf numFmtId="0" fontId="3" fillId="0" borderId="0" xfId="2" applyFill="1" applyBorder="1" applyAlignment="1">
      <alignment horizontal="left"/>
    </xf>
    <xf numFmtId="0" fontId="16" fillId="0" borderId="0" xfId="0" applyFont="1" applyBorder="1" applyAlignment="1"/>
    <xf numFmtId="0" fontId="16" fillId="0" borderId="0" xfId="0" applyFont="1" applyBorder="1"/>
    <xf numFmtId="0" fontId="0" fillId="0" borderId="0" xfId="0" applyFill="1" applyBorder="1"/>
    <xf numFmtId="0" fontId="2" fillId="0" borderId="0" xfId="1" applyBorder="1"/>
    <xf numFmtId="0" fontId="17" fillId="0" borderId="0" xfId="0" applyFont="1"/>
    <xf numFmtId="0" fontId="12" fillId="0" borderId="0" xfId="73"/>
    <xf numFmtId="0" fontId="0" fillId="0" borderId="0" xfId="0" applyFont="1"/>
    <xf numFmtId="0" fontId="16" fillId="0" borderId="0" xfId="0" applyFont="1" applyBorder="1" applyAlignment="1">
      <alignment horizontal="left"/>
    </xf>
    <xf numFmtId="0" fontId="18" fillId="0" borderId="0" xfId="73" applyFont="1"/>
    <xf numFmtId="0" fontId="0" fillId="0" borderId="0" xfId="0" applyFont="1" applyAlignment="1">
      <alignment horizontal="center" vertical="top" wrapText="1"/>
    </xf>
    <xf numFmtId="0" fontId="10" fillId="0" borderId="5" xfId="24" applyBorder="1" applyAlignment="1">
      <alignment horizontal="center"/>
      <protection locked="0"/>
    </xf>
    <xf numFmtId="0" fontId="4" fillId="0" borderId="0" xfId="3" applyBorder="1" applyAlignment="1"/>
    <xf numFmtId="0" fontId="4" fillId="0" borderId="0" xfId="3" applyFill="1" applyBorder="1" applyAlignment="1"/>
    <xf numFmtId="0" fontId="0" fillId="0" borderId="0" xfId="0" applyFill="1" applyBorder="1" applyAlignment="1"/>
    <xf numFmtId="0" fontId="5" fillId="3" borderId="5" xfId="4" applyBorder="1" applyAlignment="1">
      <alignment wrapText="1"/>
    </xf>
    <xf numFmtId="0" fontId="10" fillId="3" borderId="5" xfId="19" applyBorder="1" applyProtection="1">
      <alignment horizontal="left" wrapText="1"/>
    </xf>
    <xf numFmtId="0" fontId="11" fillId="4" borderId="5" xfId="20" applyBorder="1" applyAlignment="1" applyProtection="1">
      <alignment horizontal="center"/>
      <protection hidden="1"/>
    </xf>
    <xf numFmtId="164" fontId="0" fillId="4" borderId="0" xfId="5" applyNumberFormat="1" applyFont="1" applyBorder="1" applyAlignment="1" applyProtection="1">
      <protection hidden="1"/>
    </xf>
    <xf numFmtId="0" fontId="10" fillId="4" borderId="0" xfId="5" applyNumberFormat="1" applyBorder="1" applyAlignment="1" applyProtection="1">
      <protection hidden="1"/>
    </xf>
    <xf numFmtId="0" fontId="4" fillId="0" borderId="0" xfId="3" applyBorder="1"/>
    <xf numFmtId="0" fontId="10" fillId="0" borderId="0" xfId="5" applyFill="1" applyBorder="1" applyAlignment="1">
      <alignment horizontal="center"/>
    </xf>
    <xf numFmtId="0" fontId="3" fillId="0" borderId="0" xfId="2" applyFill="1" applyBorder="1"/>
    <xf numFmtId="0" fontId="11" fillId="4" borderId="5" xfId="20" applyBorder="1" applyAlignment="1"/>
    <xf numFmtId="0" fontId="0" fillId="0" borderId="21" xfId="0" applyBorder="1"/>
    <xf numFmtId="0" fontId="0" fillId="0" borderId="0" xfId="0" applyBorder="1" applyAlignment="1">
      <alignment horizontal="center"/>
    </xf>
    <xf numFmtId="0" fontId="11" fillId="4" borderId="0" xfId="20" applyBorder="1" applyAlignment="1">
      <alignment horizontal="center"/>
    </xf>
    <xf numFmtId="0" fontId="0" fillId="0" borderId="0" xfId="0" applyBorder="1" applyAlignment="1">
      <alignment horizontal="right"/>
    </xf>
    <xf numFmtId="0" fontId="10" fillId="4" borderId="0" xfId="5" applyBorder="1" applyAlignment="1">
      <alignment horizontal="center"/>
    </xf>
    <xf numFmtId="14" fontId="11" fillId="4" borderId="5" xfId="20" applyNumberFormat="1" applyBorder="1" applyAlignment="1">
      <alignment horizontal="center"/>
    </xf>
    <xf numFmtId="0" fontId="16" fillId="0" borderId="31" xfId="0" applyFont="1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3" xfId="0" applyBorder="1" applyAlignment="1">
      <alignment horizontal="center"/>
    </xf>
    <xf numFmtId="0" fontId="4" fillId="0" borderId="0" xfId="3" applyFill="1" applyBorder="1"/>
    <xf numFmtId="0" fontId="14" fillId="3" borderId="35" xfId="4" applyNumberFormat="1" applyFont="1" applyBorder="1" applyAlignment="1">
      <alignment horizontal="center" wrapText="1"/>
    </xf>
    <xf numFmtId="0" fontId="5" fillId="3" borderId="23" xfId="4" applyNumberFormat="1" applyBorder="1" applyAlignment="1">
      <alignment horizontal="center" wrapText="1"/>
    </xf>
    <xf numFmtId="0" fontId="5" fillId="3" borderId="24" xfId="4" applyNumberFormat="1" applyBorder="1" applyAlignment="1">
      <alignment horizontal="center" wrapText="1"/>
    </xf>
    <xf numFmtId="0" fontId="10" fillId="0" borderId="25" xfId="24" applyNumberFormat="1" applyBorder="1" applyAlignment="1">
      <alignment horizontal="left" wrapText="1"/>
      <protection locked="0"/>
    </xf>
    <xf numFmtId="0" fontId="4" fillId="0" borderId="0" xfId="3" applyBorder="1"/>
    <xf numFmtId="0" fontId="3" fillId="0" borderId="1" xfId="2" applyFill="1" applyAlignment="1">
      <alignment horizontal="left"/>
    </xf>
    <xf numFmtId="0" fontId="11" fillId="4" borderId="0" xfId="20" applyBorder="1" applyAlignment="1" applyProtection="1">
      <protection hidden="1"/>
    </xf>
    <xf numFmtId="0" fontId="10" fillId="0" borderId="36" xfId="24" applyNumberFormat="1" applyBorder="1" applyAlignment="1">
      <alignment horizontal="center" wrapText="1"/>
      <protection locked="0"/>
    </xf>
    <xf numFmtId="0" fontId="0" fillId="0" borderId="25" xfId="24" applyNumberFormat="1" applyFont="1" applyBorder="1" applyAlignment="1">
      <alignment horizontal="left" wrapText="1"/>
      <protection locked="0"/>
    </xf>
    <xf numFmtId="164" fontId="10" fillId="0" borderId="5" xfId="24" applyNumberFormat="1" applyBorder="1" applyAlignment="1">
      <alignment horizontal="center"/>
      <protection locked="0"/>
    </xf>
    <xf numFmtId="0" fontId="5" fillId="3" borderId="35" xfId="4" applyBorder="1" applyAlignment="1">
      <alignment horizontal="center" wrapText="1"/>
    </xf>
    <xf numFmtId="0" fontId="5" fillId="3" borderId="23" xfId="4" applyBorder="1" applyAlignment="1">
      <alignment horizontal="center" wrapText="1"/>
    </xf>
    <xf numFmtId="0" fontId="5" fillId="3" borderId="24" xfId="4" applyBorder="1" applyAlignment="1">
      <alignment horizontal="center" wrapText="1"/>
    </xf>
    <xf numFmtId="0" fontId="0" fillId="0" borderId="19" xfId="24" applyFont="1" applyBorder="1" applyAlignment="1">
      <alignment horizontal="center"/>
      <protection locked="0"/>
    </xf>
    <xf numFmtId="164" fontId="10" fillId="0" borderId="13" xfId="24" applyNumberFormat="1" applyBorder="1" applyAlignment="1">
      <alignment horizontal="center"/>
      <protection locked="0"/>
    </xf>
    <xf numFmtId="0" fontId="10" fillId="0" borderId="19" xfId="24" applyBorder="1" applyAlignment="1">
      <alignment horizontal="center"/>
      <protection locked="0"/>
    </xf>
    <xf numFmtId="0" fontId="10" fillId="0" borderId="36" xfId="24" applyBorder="1" applyAlignment="1">
      <alignment horizontal="center"/>
      <protection locked="0"/>
    </xf>
    <xf numFmtId="0" fontId="10" fillId="0" borderId="25" xfId="24" applyBorder="1" applyAlignment="1">
      <alignment horizontal="center"/>
      <protection locked="0"/>
    </xf>
    <xf numFmtId="164" fontId="10" fillId="0" borderId="25" xfId="24" applyNumberFormat="1" applyBorder="1" applyAlignment="1">
      <alignment horizontal="center"/>
      <protection locked="0"/>
    </xf>
    <xf numFmtId="14" fontId="11" fillId="4" borderId="25" xfId="20" applyNumberFormat="1" applyBorder="1" applyAlignment="1">
      <alignment horizontal="center"/>
    </xf>
    <xf numFmtId="164" fontId="10" fillId="0" borderId="26" xfId="24" applyNumberFormat="1" applyBorder="1" applyAlignment="1">
      <alignment horizontal="center"/>
      <protection locked="0"/>
    </xf>
    <xf numFmtId="0" fontId="5" fillId="3" borderId="35" xfId="4" applyBorder="1" applyAlignment="1"/>
    <xf numFmtId="0" fontId="5" fillId="3" borderId="23" xfId="4" applyBorder="1" applyAlignment="1"/>
    <xf numFmtId="0" fontId="5" fillId="3" borderId="24" xfId="4" applyBorder="1" applyAlignment="1"/>
    <xf numFmtId="0" fontId="5" fillId="3" borderId="28" xfId="4" applyBorder="1" applyAlignment="1"/>
    <xf numFmtId="0" fontId="11" fillId="4" borderId="29" xfId="20" applyBorder="1" applyAlignment="1"/>
    <xf numFmtId="0" fontId="0" fillId="0" borderId="29" xfId="0" applyBorder="1"/>
    <xf numFmtId="0" fontId="11" fillId="0" borderId="0" xfId="20" applyFill="1" applyBorder="1" applyAlignment="1">
      <alignment horizontal="center"/>
    </xf>
    <xf numFmtId="0" fontId="0" fillId="0" borderId="6" xfId="0" applyBorder="1"/>
    <xf numFmtId="0" fontId="16" fillId="0" borderId="6" xfId="0" applyFont="1" applyBorder="1"/>
    <xf numFmtId="0" fontId="12" fillId="0" borderId="0" xfId="73" applyFont="1" applyProtection="1">
      <protection locked="0"/>
    </xf>
    <xf numFmtId="0" fontId="12" fillId="0" borderId="0" xfId="73" applyProtection="1">
      <protection locked="0"/>
    </xf>
    <xf numFmtId="0" fontId="0" fillId="0" borderId="0" xfId="0" applyBorder="1" applyProtection="1"/>
    <xf numFmtId="0" fontId="0" fillId="0" borderId="0" xfId="0" applyBorder="1" applyAlignment="1" applyProtection="1">
      <alignment horizontal="center"/>
    </xf>
    <xf numFmtId="0" fontId="10" fillId="0" borderId="0" xfId="24" applyBorder="1" applyProtection="1"/>
    <xf numFmtId="0" fontId="0" fillId="0" borderId="0" xfId="0" applyProtection="1"/>
    <xf numFmtId="0" fontId="0" fillId="0" borderId="0" xfId="0" applyBorder="1" applyAlignment="1" applyProtection="1"/>
    <xf numFmtId="0" fontId="10" fillId="0" borderId="0" xfId="5" applyFill="1" applyBorder="1" applyAlignment="1" applyProtection="1"/>
    <xf numFmtId="0" fontId="5" fillId="0" borderId="0" xfId="21" applyBorder="1" applyAlignment="1" applyProtection="1"/>
    <xf numFmtId="0" fontId="5" fillId="0" borderId="0" xfId="21" applyFill="1" applyBorder="1" applyAlignment="1" applyProtection="1"/>
    <xf numFmtId="0" fontId="0" fillId="0" borderId="0" xfId="0" applyFill="1" applyBorder="1" applyAlignment="1" applyProtection="1"/>
    <xf numFmtId="0" fontId="0" fillId="0" borderId="0" xfId="0" applyFill="1" applyProtection="1"/>
    <xf numFmtId="0" fontId="12" fillId="0" borderId="0" xfId="73" applyProtection="1"/>
    <xf numFmtId="0" fontId="18" fillId="0" borderId="0" xfId="73" applyFont="1" applyProtection="1"/>
    <xf numFmtId="0" fontId="14" fillId="3" borderId="35" xfId="4" applyNumberFormat="1" applyFont="1" applyBorder="1" applyAlignment="1" applyProtection="1">
      <alignment horizontal="center" wrapText="1"/>
    </xf>
    <xf numFmtId="0" fontId="5" fillId="3" borderId="23" xfId="4" applyNumberFormat="1" applyBorder="1" applyAlignment="1" applyProtection="1">
      <alignment horizontal="center" wrapText="1"/>
    </xf>
    <xf numFmtId="0" fontId="5" fillId="3" borderId="24" xfId="4" applyNumberFormat="1" applyBorder="1" applyAlignment="1" applyProtection="1">
      <alignment horizontal="center" wrapText="1"/>
    </xf>
    <xf numFmtId="0" fontId="5" fillId="0" borderId="0" xfId="4" applyNumberFormat="1" applyFill="1" applyBorder="1" applyAlignment="1" applyProtection="1">
      <alignment horizontal="center" wrapText="1"/>
    </xf>
    <xf numFmtId="164" fontId="10" fillId="0" borderId="0" xfId="24" applyNumberFormat="1" applyFill="1" applyBorder="1" applyAlignment="1" applyProtection="1">
      <alignment horizontal="center" wrapText="1"/>
    </xf>
    <xf numFmtId="0" fontId="11" fillId="4" borderId="5" xfId="20" applyBorder="1" applyAlignment="1" applyProtection="1"/>
    <xf numFmtId="0" fontId="0" fillId="0" borderId="0" xfId="24" applyNumberFormat="1" applyFont="1" applyBorder="1" applyAlignment="1" applyProtection="1">
      <alignment horizontal="center" wrapText="1"/>
    </xf>
    <xf numFmtId="0" fontId="10" fillId="0" borderId="0" xfId="24" applyNumberFormat="1" applyBorder="1" applyAlignment="1" applyProtection="1">
      <alignment horizontal="left" wrapText="1"/>
    </xf>
    <xf numFmtId="164" fontId="10" fillId="0" borderId="0" xfId="24" applyNumberFormat="1" applyBorder="1" applyAlignment="1" applyProtection="1">
      <alignment horizontal="center" wrapText="1"/>
    </xf>
    <xf numFmtId="0" fontId="11" fillId="4" borderId="0" xfId="20" applyBorder="1" applyAlignment="1" applyProtection="1"/>
    <xf numFmtId="0" fontId="10" fillId="4" borderId="5" xfId="5" applyNumberFormat="1" applyBorder="1" applyAlignment="1" applyProtection="1">
      <alignment horizontal="center" wrapText="1"/>
    </xf>
    <xf numFmtId="0" fontId="0" fillId="4" borderId="5" xfId="5" applyNumberFormat="1" applyFont="1" applyBorder="1" applyAlignment="1" applyProtection="1">
      <alignment horizontal="center" wrapText="1"/>
    </xf>
    <xf numFmtId="0" fontId="10" fillId="0" borderId="0" xfId="5" applyNumberFormat="1" applyFill="1" applyBorder="1" applyAlignment="1" applyProtection="1">
      <alignment horizontal="center" wrapText="1"/>
    </xf>
    <xf numFmtId="0" fontId="10" fillId="4" borderId="5" xfId="5" applyFill="1" applyBorder="1" applyAlignment="1" applyProtection="1">
      <alignment horizontal="center"/>
    </xf>
    <xf numFmtId="0" fontId="10" fillId="0" borderId="0" xfId="5" applyFill="1" applyBorder="1" applyAlignment="1" applyProtection="1">
      <alignment horizontal="center"/>
    </xf>
    <xf numFmtId="0" fontId="0" fillId="0" borderId="0" xfId="0" applyFill="1" applyBorder="1" applyProtection="1"/>
    <xf numFmtId="0" fontId="0" fillId="0" borderId="19" xfId="24" applyNumberFormat="1" applyFont="1" applyBorder="1" applyAlignment="1" applyProtection="1">
      <alignment horizontal="center" wrapText="1"/>
      <protection locked="0"/>
    </xf>
    <xf numFmtId="0" fontId="10" fillId="0" borderId="5" xfId="24" applyNumberFormat="1" applyBorder="1" applyAlignment="1" applyProtection="1">
      <alignment horizontal="left" wrapText="1"/>
      <protection locked="0"/>
    </xf>
    <xf numFmtId="164" fontId="10" fillId="0" borderId="5" xfId="24" applyNumberFormat="1" applyBorder="1" applyAlignment="1" applyProtection="1">
      <alignment horizontal="center" wrapText="1"/>
      <protection locked="0"/>
    </xf>
    <xf numFmtId="164" fontId="10" fillId="0" borderId="13" xfId="24" applyNumberFormat="1" applyBorder="1" applyAlignment="1" applyProtection="1">
      <alignment horizontal="center" wrapText="1"/>
      <protection locked="0"/>
    </xf>
    <xf numFmtId="0" fontId="0" fillId="0" borderId="36" xfId="24" applyNumberFormat="1" applyFont="1" applyBorder="1" applyAlignment="1" applyProtection="1">
      <alignment horizontal="center" wrapText="1"/>
      <protection locked="0"/>
    </xf>
    <xf numFmtId="0" fontId="10" fillId="0" borderId="25" xfId="24" applyNumberFormat="1" applyBorder="1" applyAlignment="1" applyProtection="1">
      <alignment horizontal="left" wrapText="1"/>
      <protection locked="0"/>
    </xf>
    <xf numFmtId="164" fontId="10" fillId="0" borderId="25" xfId="24" applyNumberFormat="1" applyBorder="1" applyAlignment="1" applyProtection="1">
      <alignment horizontal="center" wrapText="1"/>
      <protection locked="0"/>
    </xf>
    <xf numFmtId="164" fontId="10" fillId="0" borderId="26" xfId="24" applyNumberFormat="1" applyBorder="1" applyAlignment="1" applyProtection="1">
      <alignment horizontal="center" wrapText="1"/>
      <protection locked="0"/>
    </xf>
    <xf numFmtId="0" fontId="3" fillId="0" borderId="0" xfId="2" applyFill="1" applyBorder="1" applyProtection="1"/>
    <xf numFmtId="0" fontId="4" fillId="0" borderId="0" xfId="3" applyBorder="1" applyProtection="1"/>
    <xf numFmtId="0" fontId="4" fillId="0" borderId="0" xfId="3" applyFill="1" applyBorder="1" applyAlignment="1" applyProtection="1">
      <alignment horizontal="center"/>
    </xf>
    <xf numFmtId="0" fontId="10" fillId="0" borderId="0" xfId="24" applyNumberFormat="1" applyFill="1" applyBorder="1" applyAlignment="1" applyProtection="1">
      <alignment horizontal="left" wrapText="1"/>
    </xf>
    <xf numFmtId="0" fontId="3" fillId="0" borderId="0" xfId="2" applyFill="1" applyBorder="1" applyAlignment="1" applyProtection="1">
      <alignment horizontal="left"/>
    </xf>
    <xf numFmtId="0" fontId="5" fillId="0" borderId="0" xfId="4" applyFill="1" applyBorder="1" applyAlignment="1" applyProtection="1">
      <alignment horizontal="center" wrapText="1"/>
    </xf>
    <xf numFmtId="0" fontId="11" fillId="4" borderId="5" xfId="20" applyBorder="1" applyAlignment="1" applyProtection="1">
      <alignment horizontal="center" wrapText="1"/>
    </xf>
    <xf numFmtId="164" fontId="10" fillId="0" borderId="0" xfId="24" applyNumberFormat="1" applyBorder="1" applyAlignment="1" applyProtection="1">
      <alignment horizontal="center"/>
    </xf>
    <xf numFmtId="0" fontId="11" fillId="4" borderId="5" xfId="20" applyBorder="1" applyAlignment="1" applyProtection="1">
      <alignment horizontal="center"/>
    </xf>
    <xf numFmtId="0" fontId="10" fillId="4" borderId="5" xfId="5" applyBorder="1" applyAlignment="1" applyProtection="1">
      <alignment horizontal="center"/>
    </xf>
    <xf numFmtId="0" fontId="10" fillId="0" borderId="0" xfId="24" applyBorder="1" applyAlignment="1" applyProtection="1">
      <alignment horizontal="center"/>
    </xf>
    <xf numFmtId="0" fontId="10" fillId="0" borderId="0" xfId="24" applyFill="1" applyBorder="1" applyAlignment="1" applyProtection="1"/>
    <xf numFmtId="0" fontId="17" fillId="0" borderId="0" xfId="0" applyFont="1" applyProtection="1"/>
    <xf numFmtId="0" fontId="5" fillId="0" borderId="0" xfId="4" applyFill="1" applyBorder="1" applyAlignment="1" applyProtection="1"/>
    <xf numFmtId="0" fontId="4" fillId="0" borderId="0" xfId="3" applyBorder="1" applyAlignment="1" applyProtection="1"/>
    <xf numFmtId="0" fontId="4" fillId="0" borderId="0" xfId="3" applyFill="1" applyBorder="1" applyAlignment="1" applyProtection="1"/>
    <xf numFmtId="0" fontId="10" fillId="0" borderId="0" xfId="24" applyBorder="1" applyAlignment="1" applyProtection="1"/>
    <xf numFmtId="0" fontId="5" fillId="0" borderId="0" xfId="21" applyFill="1" applyBorder="1" applyAlignment="1" applyProtection="1">
      <alignment horizontal="center"/>
    </xf>
    <xf numFmtId="0" fontId="5" fillId="0" borderId="0" xfId="4" applyFill="1" applyBorder="1" applyAlignment="1" applyProtection="1">
      <alignment horizontal="center"/>
    </xf>
    <xf numFmtId="0" fontId="0" fillId="0" borderId="0" xfId="0" applyFont="1" applyAlignment="1" applyProtection="1">
      <alignment horizontal="center" vertical="top" wrapText="1"/>
    </xf>
    <xf numFmtId="0" fontId="5" fillId="3" borderId="22" xfId="4" applyBorder="1" applyAlignment="1" applyProtection="1"/>
    <xf numFmtId="0" fontId="10" fillId="0" borderId="0" xfId="24" applyFill="1" applyBorder="1" applyAlignment="1" applyProtection="1">
      <alignment horizontal="center"/>
    </xf>
    <xf numFmtId="0" fontId="5" fillId="3" borderId="14" xfId="4" applyBorder="1" applyAlignment="1" applyProtection="1"/>
    <xf numFmtId="0" fontId="5" fillId="3" borderId="15" xfId="4" applyBorder="1" applyAlignment="1" applyProtection="1"/>
    <xf numFmtId="166" fontId="11" fillId="4" borderId="26" xfId="20" applyNumberFormat="1" applyBorder="1" applyAlignment="1" applyProtection="1">
      <alignment horizontal="center"/>
    </xf>
    <xf numFmtId="0" fontId="11" fillId="0" borderId="0" xfId="20" applyFill="1" applyBorder="1" applyAlignment="1" applyProtection="1">
      <alignment horizontal="center"/>
    </xf>
    <xf numFmtId="0" fontId="11" fillId="4" borderId="0" xfId="20" applyBorder="1" applyAlignment="1" applyProtection="1">
      <alignment horizontal="center"/>
    </xf>
    <xf numFmtId="0" fontId="11" fillId="4" borderId="21" xfId="20" applyBorder="1" applyAlignment="1" applyProtection="1"/>
    <xf numFmtId="0" fontId="10" fillId="0" borderId="17" xfId="24" applyBorder="1" applyAlignment="1" applyProtection="1"/>
    <xf numFmtId="0" fontId="4" fillId="0" borderId="0" xfId="3" applyFill="1" applyBorder="1" applyProtection="1"/>
    <xf numFmtId="0" fontId="10" fillId="0" borderId="0" xfId="24" applyFill="1" applyBorder="1" applyAlignment="1" applyProtection="1">
      <alignment horizontal="center" wrapText="1"/>
    </xf>
    <xf numFmtId="0" fontId="10" fillId="0" borderId="0" xfId="24" applyFill="1" applyBorder="1" applyAlignment="1" applyProtection="1">
      <alignment wrapText="1"/>
    </xf>
    <xf numFmtId="0" fontId="0" fillId="0" borderId="8" xfId="0" applyBorder="1"/>
    <xf numFmtId="0" fontId="0" fillId="0" borderId="8" xfId="0" applyBorder="1" applyAlignment="1"/>
    <xf numFmtId="0" fontId="6" fillId="0" borderId="8" xfId="6" applyFill="1" applyBorder="1"/>
    <xf numFmtId="165" fontId="16" fillId="0" borderId="5" xfId="0" applyNumberFormat="1" applyFont="1" applyBorder="1" applyAlignment="1" applyProtection="1">
      <alignment horizontal="left"/>
      <protection locked="0"/>
    </xf>
    <xf numFmtId="0" fontId="0" fillId="0" borderId="19" xfId="24" applyFont="1" applyBorder="1" applyAlignment="1" applyProtection="1">
      <alignment wrapText="1"/>
      <protection locked="0"/>
    </xf>
    <xf numFmtId="0" fontId="10" fillId="0" borderId="5" xfId="24" applyBorder="1" applyAlignment="1" applyProtection="1">
      <alignment wrapText="1"/>
      <protection locked="0"/>
    </xf>
    <xf numFmtId="0" fontId="10" fillId="0" borderId="13" xfId="24" applyBorder="1" applyAlignment="1" applyProtection="1">
      <alignment wrapText="1"/>
      <protection locked="0"/>
    </xf>
    <xf numFmtId="0" fontId="0" fillId="0" borderId="19" xfId="0" applyBorder="1" applyAlignment="1" applyProtection="1">
      <alignment wrapText="1"/>
      <protection locked="0"/>
    </xf>
    <xf numFmtId="0" fontId="0" fillId="0" borderId="5" xfId="0" applyBorder="1" applyAlignment="1" applyProtection="1">
      <alignment wrapText="1"/>
      <protection locked="0"/>
    </xf>
    <xf numFmtId="0" fontId="0" fillId="0" borderId="13" xfId="0" applyBorder="1" applyAlignment="1" applyProtection="1">
      <alignment wrapText="1"/>
      <protection locked="0"/>
    </xf>
    <xf numFmtId="0" fontId="5" fillId="3" borderId="19" xfId="4" applyBorder="1" applyAlignment="1">
      <alignment wrapText="1"/>
    </xf>
    <xf numFmtId="0" fontId="5" fillId="3" borderId="13" xfId="4" applyBorder="1" applyAlignment="1">
      <alignment wrapText="1"/>
    </xf>
    <xf numFmtId="0" fontId="0" fillId="0" borderId="19" xfId="24" applyFont="1" applyBorder="1" applyAlignment="1">
      <alignment wrapText="1"/>
      <protection locked="0"/>
    </xf>
    <xf numFmtId="0" fontId="0" fillId="0" borderId="36" xfId="24" applyFont="1" applyBorder="1" applyAlignment="1">
      <alignment wrapText="1"/>
      <protection locked="0"/>
    </xf>
    <xf numFmtId="0" fontId="10" fillId="0" borderId="5" xfId="24" applyBorder="1" applyAlignment="1" applyProtection="1">
      <alignment horizontal="center" vertical="top"/>
      <protection locked="0"/>
    </xf>
    <xf numFmtId="0" fontId="16" fillId="0" borderId="6" xfId="0" applyFont="1" applyBorder="1" applyProtection="1">
      <protection locked="0"/>
    </xf>
    <xf numFmtId="0" fontId="16" fillId="0" borderId="0" xfId="0" applyFont="1" applyBorder="1" applyAlignment="1" applyProtection="1">
      <protection locked="0"/>
    </xf>
    <xf numFmtId="165" fontId="16" fillId="0" borderId="0" xfId="0" applyNumberFormat="1" applyFont="1" applyBorder="1" applyAlignment="1" applyProtection="1">
      <alignment horizontal="left"/>
      <protection locked="0"/>
    </xf>
    <xf numFmtId="0" fontId="16" fillId="0" borderId="8" xfId="0" applyFont="1" applyBorder="1" applyAlignment="1" applyProtection="1">
      <protection locked="0"/>
    </xf>
    <xf numFmtId="0" fontId="4" fillId="0" borderId="0" xfId="3" applyFill="1" applyBorder="1"/>
    <xf numFmtId="14" fontId="0" fillId="0" borderId="0" xfId="0" applyNumberFormat="1"/>
    <xf numFmtId="0" fontId="4" fillId="6" borderId="0" xfId="3" applyFill="1" applyBorder="1" applyAlignment="1">
      <alignment horizontal="left"/>
    </xf>
    <xf numFmtId="165" fontId="4" fillId="6" borderId="0" xfId="3" applyNumberFormat="1" applyFill="1" applyBorder="1" applyAlignment="1">
      <alignment horizontal="left"/>
    </xf>
    <xf numFmtId="0" fontId="4" fillId="6" borderId="27" xfId="3" applyFill="1" applyBorder="1" applyAlignment="1">
      <alignment horizontal="left"/>
    </xf>
    <xf numFmtId="0" fontId="4" fillId="6" borderId="7" xfId="3" applyFill="1" applyBorder="1" applyAlignment="1">
      <alignment horizontal="left"/>
    </xf>
    <xf numFmtId="0" fontId="4" fillId="6" borderId="38" xfId="3" applyFill="1" applyBorder="1" applyAlignment="1">
      <alignment horizontal="left"/>
    </xf>
    <xf numFmtId="0" fontId="4" fillId="6" borderId="6" xfId="3" applyFill="1" applyBorder="1" applyAlignment="1">
      <alignment horizontal="left"/>
    </xf>
    <xf numFmtId="0" fontId="0" fillId="0" borderId="6" xfId="0" applyBorder="1" applyAlignment="1">
      <alignment horizontal="center"/>
    </xf>
    <xf numFmtId="164" fontId="4" fillId="6" borderId="0" xfId="3" applyNumberFormat="1" applyFill="1" applyBorder="1" applyAlignment="1">
      <alignment horizontal="left"/>
    </xf>
    <xf numFmtId="164" fontId="4" fillId="6" borderId="8" xfId="3" applyNumberFormat="1" applyFill="1" applyBorder="1" applyAlignment="1">
      <alignment horizontal="left"/>
    </xf>
    <xf numFmtId="0" fontId="16" fillId="0" borderId="5" xfId="0" applyFont="1" applyBorder="1" applyAlignment="1">
      <alignment horizontal="center"/>
    </xf>
    <xf numFmtId="0" fontId="0" fillId="0" borderId="5" xfId="0" applyBorder="1" applyAlignment="1">
      <alignment horizontal="center"/>
    </xf>
    <xf numFmtId="3" fontId="0" fillId="0" borderId="5" xfId="24" applyNumberFormat="1" applyFont="1" applyBorder="1" applyAlignment="1">
      <alignment horizontal="center"/>
      <protection locked="0"/>
    </xf>
    <xf numFmtId="3" fontId="10" fillId="0" borderId="5" xfId="24" applyNumberFormat="1" applyBorder="1" applyAlignment="1">
      <alignment horizontal="center"/>
      <protection locked="0"/>
    </xf>
    <xf numFmtId="3" fontId="10" fillId="0" borderId="25" xfId="24" applyNumberFormat="1" applyBorder="1" applyAlignment="1">
      <alignment horizontal="center"/>
      <protection locked="0"/>
    </xf>
    <xf numFmtId="0" fontId="21" fillId="0" borderId="5" xfId="4" applyFont="1" applyFill="1" applyBorder="1" applyAlignment="1" applyProtection="1">
      <alignment horizontal="center" wrapText="1"/>
      <protection locked="0"/>
    </xf>
    <xf numFmtId="14" fontId="21" fillId="0" borderId="5" xfId="4" applyNumberFormat="1" applyFont="1" applyFill="1" applyBorder="1" applyAlignment="1" applyProtection="1">
      <alignment horizontal="center" wrapText="1"/>
      <protection locked="0"/>
    </xf>
    <xf numFmtId="0" fontId="5" fillId="0" borderId="0" xfId="4" applyFill="1" applyBorder="1" applyAlignment="1">
      <alignment horizontal="left"/>
    </xf>
    <xf numFmtId="0" fontId="5" fillId="0" borderId="0" xfId="4" applyFill="1" applyBorder="1" applyAlignment="1">
      <alignment horizontal="center"/>
    </xf>
    <xf numFmtId="0" fontId="4" fillId="0" borderId="39" xfId="3" applyBorder="1" applyAlignment="1" applyProtection="1">
      <alignment wrapText="1"/>
    </xf>
    <xf numFmtId="0" fontId="4" fillId="0" borderId="39" xfId="3" applyBorder="1" applyAlignment="1">
      <alignment wrapText="1"/>
    </xf>
    <xf numFmtId="0" fontId="10" fillId="3" borderId="5" xfId="19" applyBorder="1">
      <alignment horizontal="left" wrapText="1"/>
    </xf>
    <xf numFmtId="0" fontId="2" fillId="0" borderId="1" xfId="1" applyBorder="1"/>
    <xf numFmtId="164" fontId="10" fillId="3" borderId="5" xfId="19" applyNumberFormat="1" applyBorder="1">
      <alignment horizontal="left" wrapText="1"/>
    </xf>
    <xf numFmtId="0" fontId="4" fillId="0" borderId="38" xfId="3" applyBorder="1" applyAlignment="1">
      <alignment wrapText="1"/>
    </xf>
    <xf numFmtId="164" fontId="10" fillId="3" borderId="20" xfId="19" applyNumberFormat="1" applyBorder="1">
      <alignment horizontal="left" wrapText="1"/>
    </xf>
    <xf numFmtId="0" fontId="4" fillId="0" borderId="42" xfId="3" applyBorder="1" applyAlignment="1">
      <alignment wrapText="1"/>
    </xf>
    <xf numFmtId="0" fontId="4" fillId="0" borderId="43" xfId="3" applyBorder="1" applyAlignment="1">
      <alignment wrapText="1"/>
    </xf>
    <xf numFmtId="0" fontId="10" fillId="3" borderId="19" xfId="19" applyNumberFormat="1" applyBorder="1">
      <alignment horizontal="left" wrapText="1"/>
    </xf>
    <xf numFmtId="0" fontId="21" fillId="0" borderId="13" xfId="4" applyNumberFormat="1" applyFont="1" applyFill="1" applyBorder="1" applyAlignment="1" applyProtection="1">
      <alignment wrapText="1"/>
      <protection locked="0"/>
    </xf>
    <xf numFmtId="0" fontId="0" fillId="0" borderId="13" xfId="0" applyNumberFormat="1" applyBorder="1" applyProtection="1">
      <protection locked="0"/>
    </xf>
    <xf numFmtId="0" fontId="10" fillId="0" borderId="13" xfId="24" applyNumberFormat="1" applyFill="1" applyBorder="1" applyAlignment="1" applyProtection="1">
      <protection locked="0"/>
    </xf>
    <xf numFmtId="0" fontId="10" fillId="3" borderId="36" xfId="19" applyNumberFormat="1" applyBorder="1">
      <alignment horizontal="left" wrapText="1"/>
    </xf>
    <xf numFmtId="0" fontId="0" fillId="0" borderId="26" xfId="0" applyNumberFormat="1" applyBorder="1" applyProtection="1">
      <protection locked="0"/>
    </xf>
    <xf numFmtId="0" fontId="22" fillId="7" borderId="5" xfId="95" applyBorder="1" applyAlignment="1">
      <alignment horizontal="center" vertical="center" wrapText="1"/>
    </xf>
    <xf numFmtId="0" fontId="24" fillId="9" borderId="5" xfId="97" applyBorder="1" applyAlignment="1">
      <alignment horizontal="center" vertical="center" wrapText="1"/>
    </xf>
    <xf numFmtId="0" fontId="23" fillId="8" borderId="5" xfId="96" applyBorder="1" applyAlignment="1">
      <alignment horizontal="center" vertical="center" wrapText="1"/>
    </xf>
    <xf numFmtId="0" fontId="25" fillId="0" borderId="5" xfId="0" applyFont="1" applyBorder="1" applyAlignment="1">
      <alignment horizontal="center" vertical="center"/>
    </xf>
    <xf numFmtId="0" fontId="26" fillId="7" borderId="39" xfId="95" applyFont="1" applyBorder="1" applyAlignment="1">
      <alignment horizontal="center" vertical="center"/>
    </xf>
    <xf numFmtId="0" fontId="27" fillId="9" borderId="39" xfId="97" applyFont="1" applyBorder="1" applyAlignment="1">
      <alignment horizontal="center" vertical="center"/>
    </xf>
    <xf numFmtId="0" fontId="28" fillId="8" borderId="39" xfId="96" applyFont="1" applyBorder="1" applyAlignment="1">
      <alignment horizontal="center" vertical="center"/>
    </xf>
    <xf numFmtId="0" fontId="4" fillId="0" borderId="44" xfId="3" applyBorder="1" applyAlignment="1">
      <alignment horizontal="center" vertical="center"/>
    </xf>
    <xf numFmtId="2" fontId="0" fillId="0" borderId="45" xfId="0" applyNumberFormat="1" applyBorder="1" applyProtection="1">
      <protection locked="0"/>
    </xf>
    <xf numFmtId="0" fontId="18" fillId="0" borderId="0" xfId="73" applyFont="1" applyBorder="1" applyAlignment="1" applyProtection="1">
      <protection locked="0"/>
    </xf>
    <xf numFmtId="0" fontId="30" fillId="0" borderId="30" xfId="0" applyFont="1" applyBorder="1" applyAlignment="1">
      <alignment horizontal="center"/>
    </xf>
    <xf numFmtId="0" fontId="10" fillId="0" borderId="26" xfId="24" applyNumberFormat="1" applyBorder="1" applyAlignment="1">
      <alignment horizontal="center" vertical="center" wrapText="1"/>
      <protection locked="0"/>
    </xf>
    <xf numFmtId="0" fontId="10" fillId="0" borderId="27" xfId="24" applyBorder="1" applyAlignment="1" applyProtection="1">
      <alignment horizontal="left" wrapText="1"/>
    </xf>
    <xf numFmtId="0" fontId="5" fillId="3" borderId="47" xfId="4" applyBorder="1" applyAlignment="1" applyProtection="1"/>
    <xf numFmtId="0" fontId="5" fillId="3" borderId="9" xfId="4" applyBorder="1" applyAlignment="1" applyProtection="1"/>
    <xf numFmtId="0" fontId="5" fillId="3" borderId="48" xfId="4" applyBorder="1" applyAlignment="1" applyProtection="1"/>
    <xf numFmtId="166" fontId="10" fillId="0" borderId="5" xfId="24" applyNumberFormat="1" applyBorder="1" applyAlignment="1" applyProtection="1">
      <alignment horizontal="center"/>
      <protection locked="0"/>
    </xf>
    <xf numFmtId="0" fontId="5" fillId="3" borderId="35" xfId="4" applyBorder="1" applyAlignment="1" applyProtection="1">
      <alignment horizontal="center"/>
    </xf>
    <xf numFmtId="0" fontId="5" fillId="3" borderId="23" xfId="4" applyBorder="1" applyAlignment="1" applyProtection="1">
      <alignment horizontal="center"/>
    </xf>
    <xf numFmtId="0" fontId="5" fillId="3" borderId="24" xfId="4" applyBorder="1" applyAlignment="1" applyProtection="1">
      <alignment horizontal="center"/>
    </xf>
    <xf numFmtId="166" fontId="11" fillId="4" borderId="36" xfId="20" applyNumberFormat="1" applyBorder="1" applyAlignment="1" applyProtection="1">
      <alignment horizontal="center"/>
    </xf>
    <xf numFmtId="166" fontId="11" fillId="4" borderId="25" xfId="20" applyNumberFormat="1" applyBorder="1" applyAlignment="1" applyProtection="1">
      <alignment horizontal="center"/>
    </xf>
    <xf numFmtId="166" fontId="10" fillId="0" borderId="19" xfId="24" applyNumberFormat="1" applyBorder="1" applyAlignment="1" applyProtection="1">
      <alignment horizontal="center"/>
      <protection locked="0"/>
    </xf>
    <xf numFmtId="166" fontId="10" fillId="0" borderId="13" xfId="24" applyNumberFormat="1" applyBorder="1" applyAlignment="1" applyProtection="1">
      <alignment horizontal="center"/>
      <protection locked="0"/>
    </xf>
    <xf numFmtId="166" fontId="10" fillId="3" borderId="19" xfId="19" applyNumberFormat="1" applyBorder="1" applyAlignment="1" applyProtection="1">
      <alignment horizontal="center" wrapText="1"/>
    </xf>
    <xf numFmtId="166" fontId="10" fillId="3" borderId="5" xfId="19" applyNumberFormat="1" applyBorder="1" applyAlignment="1" applyProtection="1">
      <alignment horizontal="center" wrapText="1"/>
    </xf>
    <xf numFmtId="166" fontId="10" fillId="3" borderId="13" xfId="19" applyNumberFormat="1" applyBorder="1" applyAlignment="1" applyProtection="1">
      <alignment horizontal="center" wrapText="1"/>
    </xf>
    <xf numFmtId="0" fontId="29" fillId="10" borderId="46" xfId="100" applyAlignment="1" applyProtection="1">
      <alignment horizontal="center"/>
      <protection hidden="1"/>
    </xf>
    <xf numFmtId="0" fontId="31" fillId="0" borderId="0" xfId="0" applyFont="1" applyProtection="1"/>
    <xf numFmtId="0" fontId="0" fillId="0" borderId="0" xfId="0" applyProtection="1">
      <protection locked="0" hidden="1"/>
    </xf>
    <xf numFmtId="0" fontId="5" fillId="0" borderId="17" xfId="4" applyNumberFormat="1" applyFill="1" applyBorder="1" applyAlignment="1" applyProtection="1">
      <alignment horizontal="center" wrapText="1"/>
    </xf>
    <xf numFmtId="0" fontId="11" fillId="4" borderId="23" xfId="20" applyBorder="1" applyAlignment="1" applyProtection="1">
      <alignment wrapText="1"/>
    </xf>
    <xf numFmtId="164" fontId="10" fillId="0" borderId="12" xfId="24" applyNumberFormat="1" applyFill="1" applyBorder="1" applyAlignment="1" applyProtection="1">
      <alignment horizontal="center" wrapText="1"/>
    </xf>
    <xf numFmtId="0" fontId="11" fillId="4" borderId="25" xfId="20" applyBorder="1" applyAlignment="1" applyProtection="1"/>
    <xf numFmtId="0" fontId="11" fillId="4" borderId="13" xfId="20" applyBorder="1" applyAlignment="1"/>
    <xf numFmtId="0" fontId="11" fillId="4" borderId="26" xfId="20" applyBorder="1" applyAlignment="1"/>
    <xf numFmtId="0" fontId="4" fillId="0" borderId="0" xfId="3" applyBorder="1"/>
    <xf numFmtId="0" fontId="5" fillId="3" borderId="5" xfId="4" applyBorder="1" applyAlignment="1" applyProtection="1">
      <alignment wrapText="1"/>
    </xf>
    <xf numFmtId="0" fontId="5" fillId="3" borderId="5" xfId="4" applyBorder="1" applyAlignment="1" applyProtection="1"/>
    <xf numFmtId="0" fontId="5" fillId="3" borderId="5" xfId="4" applyBorder="1" applyAlignment="1" applyProtection="1">
      <alignment horizontal="left" wrapText="1"/>
    </xf>
    <xf numFmtId="0" fontId="5" fillId="3" borderId="0" xfId="4" applyBorder="1" applyAlignment="1" applyProtection="1">
      <alignment wrapText="1"/>
    </xf>
    <xf numFmtId="0" fontId="0" fillId="3" borderId="5" xfId="19" applyFont="1" applyBorder="1" applyAlignment="1" applyProtection="1">
      <alignment horizontal="left" vertical="top" wrapText="1"/>
    </xf>
    <xf numFmtId="164" fontId="10" fillId="3" borderId="5" xfId="19" applyNumberFormat="1" applyBorder="1" applyAlignment="1" applyProtection="1">
      <alignment horizontal="center" vertical="center" wrapText="1"/>
    </xf>
    <xf numFmtId="0" fontId="10" fillId="3" borderId="5" xfId="19" applyFont="1" applyBorder="1" applyProtection="1">
      <alignment horizontal="left" wrapText="1"/>
    </xf>
    <xf numFmtId="0" fontId="0" fillId="3" borderId="5" xfId="19" applyFont="1" applyBorder="1" applyProtection="1">
      <alignment horizontal="left" wrapText="1"/>
    </xf>
    <xf numFmtId="0" fontId="10" fillId="3" borderId="0" xfId="19" applyBorder="1" applyProtection="1">
      <alignment horizontal="left" wrapText="1"/>
    </xf>
    <xf numFmtId="0" fontId="33" fillId="3" borderId="5" xfId="19" applyFont="1" applyBorder="1" applyProtection="1">
      <alignment horizontal="left" wrapText="1"/>
    </xf>
    <xf numFmtId="0" fontId="33" fillId="3" borderId="5" xfId="19" applyFont="1" applyBorder="1" applyAlignment="1" applyProtection="1">
      <alignment horizontal="left" vertical="top" wrapText="1"/>
    </xf>
    <xf numFmtId="0" fontId="0" fillId="0" borderId="20" xfId="0" applyBorder="1" applyAlignment="1" applyProtection="1">
      <alignment wrapText="1"/>
      <protection locked="0"/>
    </xf>
    <xf numFmtId="0" fontId="16" fillId="0" borderId="0" xfId="0" applyFont="1" applyBorder="1" applyAlignment="1">
      <alignment horizontal="center"/>
    </xf>
    <xf numFmtId="0" fontId="4" fillId="6" borderId="8" xfId="3" applyFill="1" applyBorder="1" applyAlignment="1">
      <alignment horizontal="left"/>
    </xf>
    <xf numFmtId="0" fontId="5" fillId="3" borderId="52" xfId="4" applyBorder="1" applyAlignment="1">
      <alignment horizontal="center" wrapText="1"/>
    </xf>
    <xf numFmtId="0" fontId="0" fillId="0" borderId="34" xfId="24" applyFont="1" applyBorder="1" applyAlignment="1">
      <alignment horizontal="center" wrapText="1"/>
      <protection locked="0"/>
    </xf>
    <xf numFmtId="0" fontId="10" fillId="0" borderId="34" xfId="24" applyBorder="1" applyAlignment="1">
      <alignment horizontal="center" wrapText="1"/>
      <protection locked="0"/>
    </xf>
    <xf numFmtId="0" fontId="10" fillId="0" borderId="53" xfId="24" applyBorder="1" applyAlignment="1">
      <alignment horizontal="center" wrapText="1"/>
      <protection locked="0"/>
    </xf>
    <xf numFmtId="0" fontId="16" fillId="0" borderId="31" xfId="0" applyFont="1" applyBorder="1" applyAlignment="1" applyProtection="1">
      <alignment horizontal="center"/>
    </xf>
    <xf numFmtId="0" fontId="0" fillId="0" borderId="32" xfId="0" applyBorder="1" applyAlignment="1" applyProtection="1">
      <alignment horizontal="center"/>
    </xf>
    <xf numFmtId="0" fontId="0" fillId="0" borderId="30" xfId="0" applyBorder="1" applyAlignment="1" applyProtection="1">
      <alignment horizontal="center"/>
    </xf>
    <xf numFmtId="0" fontId="0" fillId="0" borderId="33" xfId="0" applyBorder="1" applyAlignment="1" applyProtection="1">
      <alignment horizontal="center"/>
    </xf>
    <xf numFmtId="0" fontId="0" fillId="0" borderId="6" xfId="0" applyBorder="1" applyAlignment="1" applyProtection="1">
      <alignment horizontal="center"/>
    </xf>
    <xf numFmtId="0" fontId="4" fillId="6" borderId="38" xfId="3" applyFill="1" applyBorder="1" applyAlignment="1" applyProtection="1">
      <alignment horizontal="left"/>
    </xf>
    <xf numFmtId="0" fontId="4" fillId="6" borderId="6" xfId="3" applyFill="1" applyBorder="1" applyAlignment="1" applyProtection="1">
      <alignment horizontal="left"/>
    </xf>
    <xf numFmtId="0" fontId="4" fillId="6" borderId="27" xfId="3" applyFill="1" applyBorder="1" applyAlignment="1" applyProtection="1">
      <alignment horizontal="left"/>
    </xf>
    <xf numFmtId="164" fontId="4" fillId="6" borderId="0" xfId="3" applyNumberFormat="1" applyFill="1" applyBorder="1" applyAlignment="1" applyProtection="1">
      <alignment horizontal="left"/>
    </xf>
    <xf numFmtId="14" fontId="0" fillId="0" borderId="0" xfId="0" applyNumberFormat="1" applyProtection="1"/>
    <xf numFmtId="0" fontId="4" fillId="6" borderId="7" xfId="3" applyFill="1" applyBorder="1" applyAlignment="1" applyProtection="1">
      <alignment horizontal="left"/>
    </xf>
    <xf numFmtId="164" fontId="4" fillId="6" borderId="8" xfId="3" applyNumberFormat="1" applyFill="1" applyBorder="1" applyAlignment="1" applyProtection="1">
      <alignment horizontal="left"/>
    </xf>
    <xf numFmtId="0" fontId="4" fillId="6" borderId="0" xfId="3" applyFill="1" applyBorder="1" applyAlignment="1" applyProtection="1">
      <alignment horizontal="left"/>
    </xf>
    <xf numFmtId="165" fontId="4" fillId="6" borderId="0" xfId="3" applyNumberFormat="1" applyFill="1" applyBorder="1" applyAlignment="1" applyProtection="1">
      <alignment horizontal="left"/>
    </xf>
    <xf numFmtId="0" fontId="4" fillId="0" borderId="0" xfId="3" applyBorder="1" applyAlignment="1" applyProtection="1">
      <alignment horizontal="center"/>
    </xf>
    <xf numFmtId="0" fontId="5" fillId="3" borderId="5" xfId="4" applyBorder="1" applyAlignment="1" applyProtection="1">
      <alignment horizontal="center" wrapText="1"/>
    </xf>
    <xf numFmtId="0" fontId="0" fillId="0" borderId="0" xfId="0" applyFont="1" applyProtection="1"/>
    <xf numFmtId="0" fontId="10" fillId="0" borderId="5" xfId="24" applyFont="1" applyBorder="1" applyAlignment="1" applyProtection="1">
      <alignment horizontal="center" wrapText="1"/>
      <protection locked="0"/>
    </xf>
    <xf numFmtId="0" fontId="4" fillId="0" borderId="55" xfId="3" applyBorder="1" applyAlignment="1">
      <alignment wrapText="1"/>
    </xf>
    <xf numFmtId="0" fontId="10" fillId="3" borderId="34" xfId="19" applyNumberFormat="1" applyBorder="1">
      <alignment horizontal="left" wrapText="1"/>
    </xf>
    <xf numFmtId="0" fontId="10" fillId="3" borderId="53" xfId="19" applyNumberFormat="1" applyBorder="1">
      <alignment horizontal="left" wrapText="1"/>
    </xf>
    <xf numFmtId="0" fontId="4" fillId="0" borderId="5" xfId="3" applyBorder="1" applyAlignment="1">
      <alignment wrapText="1"/>
    </xf>
    <xf numFmtId="0" fontId="5" fillId="3" borderId="56" xfId="4" applyBorder="1" applyAlignment="1"/>
    <xf numFmtId="0" fontId="10" fillId="0" borderId="20" xfId="24" applyBorder="1" applyAlignment="1" applyProtection="1">
      <alignment wrapText="1"/>
      <protection locked="0"/>
    </xf>
    <xf numFmtId="0" fontId="10" fillId="0" borderId="20" xfId="24" applyBorder="1" applyAlignment="1">
      <alignment wrapText="1"/>
      <protection locked="0"/>
    </xf>
    <xf numFmtId="0" fontId="10" fillId="0" borderId="57" xfId="24" applyBorder="1" applyAlignment="1">
      <alignment wrapText="1"/>
      <protection locked="0"/>
    </xf>
    <xf numFmtId="0" fontId="10" fillId="0" borderId="29" xfId="24" applyBorder="1" applyAlignment="1">
      <alignment wrapText="1"/>
      <protection locked="0"/>
    </xf>
    <xf numFmtId="0" fontId="10" fillId="0" borderId="58" xfId="24" applyBorder="1" applyAlignment="1">
      <alignment wrapText="1"/>
      <protection locked="0"/>
    </xf>
    <xf numFmtId="0" fontId="5" fillId="3" borderId="38" xfId="4" applyBorder="1" applyAlignment="1">
      <alignment wrapText="1"/>
    </xf>
    <xf numFmtId="0" fontId="15" fillId="11" borderId="39" xfId="101" applyBorder="1" applyAlignment="1" applyProtection="1">
      <alignment wrapText="1"/>
      <protection locked="0"/>
    </xf>
    <xf numFmtId="0" fontId="15" fillId="11" borderId="59" xfId="101" applyBorder="1" applyAlignment="1" applyProtection="1">
      <alignment wrapText="1"/>
      <protection locked="0"/>
    </xf>
    <xf numFmtId="0" fontId="15" fillId="11" borderId="60" xfId="101" applyBorder="1" applyAlignment="1" applyProtection="1">
      <alignment wrapText="1"/>
      <protection locked="0"/>
    </xf>
    <xf numFmtId="164" fontId="0" fillId="0" borderId="0" xfId="0" applyNumberFormat="1"/>
    <xf numFmtId="0" fontId="19" fillId="4" borderId="5" xfId="20" applyFont="1" applyBorder="1" applyAlignment="1">
      <alignment wrapText="1"/>
    </xf>
    <xf numFmtId="0" fontId="11" fillId="4" borderId="5" xfId="20" applyBorder="1" applyAlignment="1">
      <alignment horizontal="center" vertical="top" wrapText="1"/>
    </xf>
    <xf numFmtId="0" fontId="19" fillId="4" borderId="5" xfId="20" applyFont="1" applyBorder="1" applyAlignment="1"/>
    <xf numFmtId="164" fontId="10" fillId="0" borderId="5" xfId="24" applyNumberFormat="1" applyBorder="1" applyAlignment="1" applyProtection="1">
      <alignment horizontal="center" vertical="top"/>
      <protection locked="0" hidden="1"/>
    </xf>
    <xf numFmtId="0" fontId="0" fillId="3" borderId="5" xfId="19" applyFont="1" applyBorder="1">
      <alignment horizontal="left" wrapText="1"/>
    </xf>
    <xf numFmtId="49" fontId="10" fillId="3" borderId="5" xfId="19" applyNumberFormat="1" applyBorder="1">
      <alignment horizontal="left" wrapText="1"/>
    </xf>
    <xf numFmtId="0" fontId="5" fillId="3" borderId="39" xfId="4" applyBorder="1" applyAlignment="1" applyProtection="1">
      <alignment horizontal="center" wrapText="1"/>
    </xf>
    <xf numFmtId="0" fontId="0" fillId="0" borderId="9" xfId="0" applyBorder="1" applyAlignment="1" applyProtection="1">
      <alignment horizontal="left" vertical="top"/>
      <protection locked="0"/>
    </xf>
    <xf numFmtId="0" fontId="0" fillId="0" borderId="34" xfId="0" applyBorder="1" applyAlignment="1" applyProtection="1">
      <alignment horizontal="left" vertical="top"/>
      <protection locked="0"/>
    </xf>
    <xf numFmtId="0" fontId="0" fillId="0" borderId="20" xfId="24" applyFont="1" applyBorder="1" applyAlignment="1" applyProtection="1">
      <alignment horizontal="left"/>
      <protection locked="0"/>
    </xf>
    <xf numFmtId="0" fontId="10" fillId="0" borderId="9" xfId="24" applyBorder="1" applyAlignment="1" applyProtection="1">
      <alignment horizontal="left"/>
      <protection locked="0"/>
    </xf>
    <xf numFmtId="0" fontId="10" fillId="0" borderId="34" xfId="24" applyBorder="1" applyAlignment="1" applyProtection="1">
      <alignment horizontal="left"/>
      <protection locked="0"/>
    </xf>
    <xf numFmtId="167" fontId="10" fillId="0" borderId="20" xfId="24" applyNumberFormat="1" applyBorder="1" applyAlignment="1" applyProtection="1">
      <alignment horizontal="left"/>
      <protection locked="0"/>
    </xf>
    <xf numFmtId="167" fontId="10" fillId="0" borderId="9" xfId="24" applyNumberFormat="1" applyBorder="1" applyAlignment="1" applyProtection="1">
      <alignment horizontal="left"/>
      <protection locked="0"/>
    </xf>
    <xf numFmtId="167" fontId="10" fillId="0" borderId="34" xfId="24" applyNumberFormat="1" applyBorder="1" applyAlignment="1" applyProtection="1">
      <alignment horizontal="left"/>
      <protection locked="0"/>
    </xf>
    <xf numFmtId="0" fontId="20" fillId="5" borderId="6" xfId="78" applyFont="1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2" fillId="5" borderId="8" xfId="73" applyFill="1" applyBorder="1" applyAlignment="1" applyProtection="1">
      <alignment horizontal="center" vertical="center" wrapText="1"/>
      <protection locked="0"/>
    </xf>
    <xf numFmtId="0" fontId="34" fillId="12" borderId="8" xfId="73" applyFont="1" applyFill="1" applyBorder="1" applyAlignment="1" applyProtection="1">
      <alignment horizontal="center" vertical="center" wrapText="1"/>
      <protection locked="0"/>
    </xf>
    <xf numFmtId="0" fontId="0" fillId="0" borderId="0" xfId="0" applyNumberFormat="1" applyBorder="1" applyAlignment="1" applyProtection="1">
      <alignment horizontal="center" wrapText="1"/>
    </xf>
    <xf numFmtId="0" fontId="4" fillId="0" borderId="0" xfId="3" applyBorder="1"/>
    <xf numFmtId="0" fontId="4" fillId="0" borderId="0" xfId="3" applyBorder="1" applyAlignment="1">
      <alignment horizontal="center"/>
    </xf>
    <xf numFmtId="0" fontId="4" fillId="0" borderId="0" xfId="3" applyBorder="1" applyProtection="1"/>
    <xf numFmtId="0" fontId="4" fillId="0" borderId="0" xfId="3" applyBorder="1" applyAlignment="1" applyProtection="1">
      <alignment horizontal="center"/>
    </xf>
    <xf numFmtId="0" fontId="4" fillId="0" borderId="40" xfId="3" applyFill="1" applyBorder="1" applyAlignment="1">
      <alignment horizontal="center" wrapText="1"/>
    </xf>
    <xf numFmtId="0" fontId="4" fillId="0" borderId="41" xfId="3" applyFill="1" applyBorder="1" applyAlignment="1">
      <alignment horizontal="center" wrapText="1"/>
    </xf>
    <xf numFmtId="0" fontId="4" fillId="0" borderId="40" xfId="3" applyBorder="1" applyAlignment="1">
      <alignment horizontal="center" wrapText="1"/>
    </xf>
    <xf numFmtId="0" fontId="4" fillId="0" borderId="41" xfId="3" applyBorder="1" applyAlignment="1">
      <alignment horizontal="center" wrapText="1"/>
    </xf>
    <xf numFmtId="0" fontId="4" fillId="0" borderId="0" xfId="3" applyFill="1" applyBorder="1"/>
    <xf numFmtId="0" fontId="5" fillId="0" borderId="16" xfId="21" applyBorder="1" applyAlignment="1" applyProtection="1">
      <alignment horizontal="center"/>
    </xf>
    <xf numFmtId="0" fontId="5" fillId="0" borderId="17" xfId="21" applyBorder="1" applyAlignment="1" applyProtection="1">
      <alignment horizontal="center"/>
    </xf>
    <xf numFmtId="0" fontId="5" fillId="0" borderId="18" xfId="21" applyBorder="1" applyAlignment="1" applyProtection="1">
      <alignment horizontal="center"/>
    </xf>
    <xf numFmtId="0" fontId="0" fillId="0" borderId="49" xfId="24" applyFont="1" applyBorder="1" applyAlignment="1">
      <alignment horizontal="left" vertical="top" wrapText="1"/>
      <protection locked="0"/>
    </xf>
    <xf numFmtId="0" fontId="0" fillId="0" borderId="50" xfId="24" applyFont="1" applyBorder="1" applyAlignment="1">
      <alignment horizontal="left" vertical="top" wrapText="1"/>
      <protection locked="0"/>
    </xf>
    <xf numFmtId="0" fontId="0" fillId="0" borderId="51" xfId="24" applyFont="1" applyBorder="1" applyAlignment="1">
      <alignment horizontal="left" vertical="top" wrapText="1"/>
      <protection locked="0"/>
    </xf>
    <xf numFmtId="0" fontId="1" fillId="0" borderId="5" xfId="0" applyFont="1" applyBorder="1" applyAlignment="1">
      <alignment horizontal="center" vertical="center"/>
    </xf>
    <xf numFmtId="0" fontId="10" fillId="0" borderId="20" xfId="0" applyFont="1" applyBorder="1" applyAlignment="1" applyProtection="1">
      <alignment horizontal="left" vertical="top"/>
      <protection locked="0"/>
    </xf>
    <xf numFmtId="0" fontId="10" fillId="0" borderId="20" xfId="0" applyFont="1" applyBorder="1" applyAlignment="1" applyProtection="1">
      <alignment wrapText="1"/>
      <protection locked="0"/>
    </xf>
    <xf numFmtId="0" fontId="10" fillId="0" borderId="13" xfId="24" applyNumberFormat="1" applyBorder="1" applyAlignment="1" applyProtection="1">
      <alignment horizontal="center" vertical="center" wrapText="1"/>
      <protection locked="0"/>
    </xf>
    <xf numFmtId="0" fontId="10" fillId="0" borderId="19" xfId="24" applyNumberFormat="1" applyBorder="1" applyAlignment="1" applyProtection="1">
      <alignment horizontal="center" wrapText="1"/>
      <protection locked="0"/>
    </xf>
    <xf numFmtId="0" fontId="0" fillId="0" borderId="5" xfId="24" applyNumberFormat="1" applyFont="1" applyBorder="1" applyAlignment="1" applyProtection="1">
      <alignment horizontal="left" wrapText="1"/>
      <protection locked="0"/>
    </xf>
    <xf numFmtId="0" fontId="10" fillId="0" borderId="13" xfId="0" applyNumberFormat="1" applyFont="1" applyBorder="1" applyProtection="1">
      <protection locked="0"/>
    </xf>
  </cellXfs>
  <cellStyles count="102">
    <cellStyle name="Accent1" xfId="6" builtinId="29"/>
    <cellStyle name="Bad" xfId="96" builtinId="27"/>
    <cellStyle name="Calculations" xfId="20"/>
    <cellStyle name="Check Cell" xfId="101" builtinId="23"/>
    <cellStyle name="editable" xfId="24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3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8" builtinId="9" hidden="1"/>
    <cellStyle name="Followed Hyperlink" xfId="99" builtinId="9" hidden="1"/>
    <cellStyle name="Good" xfId="95" builtinId="26"/>
    <cellStyle name="Heading 1" xfId="2" builtinId="16"/>
    <cellStyle name="Heading 2" xfId="3" builtinId="17"/>
    <cellStyle name="Heading 3" xfId="21" builtinId="18"/>
    <cellStyle name="Heading 4" xfId="4" builtinId="19" customBuilti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22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/>
    <cellStyle name="Neutral" xfId="97" builtinId="28"/>
    <cellStyle name="Normal" xfId="0" builtinId="0" customBuiltin="1"/>
    <cellStyle name="Note" xfId="78" builtinId="10"/>
    <cellStyle name="Output" xfId="100" builtinId="21"/>
    <cellStyle name="prepopulated" xfId="19"/>
    <cellStyle name="Title" xfId="1" builtinId="15"/>
    <cellStyle name="Total" xfId="5" builtinId="25" customBuiltin="1"/>
  </cellStyles>
  <dxfs count="16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strike val="0"/>
        <color auto="1"/>
      </font>
      <fill>
        <patternFill patternType="solid">
          <fgColor indexed="64"/>
          <bgColor theme="4" tint="0.79998168889431442"/>
        </patternFill>
      </fill>
    </dxf>
    <dxf>
      <font>
        <color indexed="17"/>
      </font>
      <fill>
        <patternFill>
          <bgColor indexed="42"/>
        </patternFill>
      </fill>
    </dxf>
    <dxf>
      <font>
        <color indexed="16"/>
      </font>
      <fill>
        <patternFill>
          <bgColor indexed="45"/>
        </patternFill>
      </fill>
    </dxf>
    <dxf>
      <font>
        <color indexed="60"/>
      </font>
      <fill>
        <patternFill>
          <bgColor indexed="43"/>
        </patternFill>
      </fill>
    </dxf>
    <dxf>
      <font>
        <color indexed="17"/>
      </font>
      <fill>
        <patternFill>
          <bgColor indexed="42"/>
        </patternFill>
      </fill>
    </dxf>
    <dxf>
      <font>
        <color indexed="16"/>
      </font>
      <fill>
        <patternFill>
          <bgColor indexed="45"/>
        </patternFill>
      </fill>
    </dxf>
    <dxf>
      <font>
        <color indexed="60"/>
      </font>
      <fill>
        <patternFill>
          <bgColor indexed="43"/>
        </patternFill>
      </fill>
    </dxf>
    <dxf>
      <font>
        <color indexed="17"/>
      </font>
      <fill>
        <patternFill>
          <bgColor indexed="42"/>
        </patternFill>
      </fill>
    </dxf>
    <dxf>
      <font>
        <color indexed="16"/>
      </font>
      <fill>
        <patternFill>
          <bgColor indexed="45"/>
        </patternFill>
      </fill>
    </dxf>
    <dxf>
      <font>
        <color indexed="60"/>
      </font>
      <fill>
        <patternFill>
          <bgColor indexed="4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auto="1"/>
      </font>
      <fill>
        <patternFill patternType="solid">
          <fgColor indexed="64"/>
          <bgColor rgb="FFFFFF9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lor auto="1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auto="1"/>
      </font>
      <fill>
        <patternFill patternType="solid">
          <fgColor indexed="64"/>
          <bgColor rgb="FFCCFFC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fmlaLink="$T$40" lockText="1" noThreeD="1"/>
</file>

<file path=xl/ctrlProps/ctrlProp2.xml><?xml version="1.0" encoding="utf-8"?>
<formControlPr xmlns="http://schemas.microsoft.com/office/spreadsheetml/2009/9/main" objectType="CheckBox" fmlaLink="$T$38" lockText="1" noThreeD="1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1" Type="http://schemas.openxmlformats.org/officeDocument/2006/relationships/vmlDrawing" Target="../drawings/vmlDrawing1.vml"/><Relationship Id="rId4" Type="http://schemas.openxmlformats.org/officeDocument/2006/relationships/ctrlProp" Target="../ctrlProps/ctrlProp2.xml"/></Relationships>
</file>

<file path=xl/worksheets/sheet1.xml><?xml version="1.0" encoding="utf-8"?>
<worksheet xmlns="http://schemas.openxmlformats.org/spreadsheetml/2006/main" xmlns:r="http://schemas.openxmlformats.org/officeDocument/2006/relationships">
  <sheetPr enableFormatConditionsCalculation="0">
    <tabColor rgb="FFFFFF00"/>
    <pageSetUpPr fitToPage="1"/>
  </sheetPr>
  <dimension ref="A1:AI45"/>
  <sheetViews>
    <sheetView showGridLines="0" tabSelected="1" topLeftCell="A4" workbookViewId="0">
      <selection activeCell="B31" sqref="B31:E31"/>
    </sheetView>
  </sheetViews>
  <sheetFormatPr defaultColWidth="11.42578125" defaultRowHeight="12.75"/>
  <cols>
    <col min="1" max="1" width="16.7109375" style="5" customWidth="1"/>
    <col min="2" max="2" width="6.28515625" style="5" customWidth="1"/>
    <col min="3" max="4" width="4.7109375" style="5" customWidth="1"/>
    <col min="5" max="5" width="8" style="5" customWidth="1"/>
    <col min="6" max="6" width="18.28515625" style="5" bestFit="1" customWidth="1"/>
    <col min="7" max="7" width="12.7109375" style="5" customWidth="1"/>
    <col min="8" max="8" width="3.140625" style="5" customWidth="1"/>
    <col min="9" max="9" width="5.7109375" style="5" customWidth="1"/>
    <col min="10" max="10" width="4.7109375" style="5" customWidth="1"/>
    <col min="11" max="11" width="6.140625" style="5" customWidth="1"/>
    <col min="12" max="12" width="5.85546875" style="5" customWidth="1"/>
    <col min="13" max="13" width="5.140625" style="5" customWidth="1"/>
    <col min="14" max="14" width="4.7109375" style="5" customWidth="1"/>
    <col min="15" max="17" width="4.7109375" customWidth="1"/>
    <col min="18" max="18" width="4.7109375" hidden="1" customWidth="1"/>
    <col min="19" max="19" width="4.28515625" style="3" hidden="1" customWidth="1"/>
    <col min="20" max="20" width="11" hidden="1" customWidth="1"/>
    <col min="21" max="21" width="4.7109375" hidden="1" customWidth="1"/>
    <col min="22" max="22" width="6.28515625" hidden="1" customWidth="1"/>
    <col min="23" max="31" width="4.7109375" hidden="1" customWidth="1"/>
    <col min="35" max="35" width="33" style="2" customWidth="1"/>
  </cols>
  <sheetData>
    <row r="1" spans="1:35" s="5" customFormat="1">
      <c r="A1" s="78" t="s">
        <v>77</v>
      </c>
      <c r="B1" s="43" t="str">
        <f>OVERALLLIGHT</f>
        <v>RED</v>
      </c>
      <c r="N1" s="11"/>
    </row>
    <row r="2" spans="1:35" s="5" customFormat="1">
      <c r="A2" s="79" t="s">
        <v>167</v>
      </c>
      <c r="B2" s="44" t="str">
        <f>MILESTONELIGHT</f>
        <v>GREEN</v>
      </c>
      <c r="N2" s="11"/>
    </row>
    <row r="3" spans="1:35" s="5" customFormat="1">
      <c r="A3" s="79" t="s">
        <v>72</v>
      </c>
      <c r="B3" s="44" t="str">
        <f>ISSUELIGHT</f>
        <v>GREEN</v>
      </c>
      <c r="N3" s="11"/>
    </row>
    <row r="4" spans="1:35" s="5" customFormat="1">
      <c r="A4" s="79" t="s">
        <v>78</v>
      </c>
      <c r="B4" s="44" t="str">
        <f>RISKLIGHT</f>
        <v>RED</v>
      </c>
      <c r="N4" s="11"/>
    </row>
    <row r="5" spans="1:35" s="5" customFormat="1">
      <c r="A5" s="79" t="s">
        <v>79</v>
      </c>
      <c r="B5" s="44" t="str">
        <f>CHANGELIGHT</f>
        <v>GREEN</v>
      </c>
      <c r="N5" s="11"/>
    </row>
    <row r="6" spans="1:35" s="5" customFormat="1">
      <c r="A6" s="79" t="s">
        <v>73</v>
      </c>
      <c r="B6" s="212" t="str">
        <f>DEPENDENCYLIGHT</f>
        <v/>
      </c>
      <c r="N6" s="11"/>
    </row>
    <row r="7" spans="1:35" s="5" customFormat="1">
      <c r="A7" s="79" t="s">
        <v>74</v>
      </c>
      <c r="B7" s="45" t="str">
        <f>MEASURELIGHT</f>
        <v/>
      </c>
      <c r="N7" s="11"/>
    </row>
    <row r="8" spans="1:35" s="5" customFormat="1">
      <c r="A8" s="79" t="s">
        <v>75</v>
      </c>
      <c r="B8" s="44" t="str">
        <f>COMMUNICATIONLIGHT</f>
        <v>GREEN</v>
      </c>
      <c r="N8" s="11"/>
    </row>
    <row r="9" spans="1:35" s="5" customFormat="1">
      <c r="A9" s="79" t="s">
        <v>76</v>
      </c>
      <c r="B9" s="46" t="str">
        <f>FINANCELIGHT</f>
        <v>RED</v>
      </c>
      <c r="N9" s="11"/>
    </row>
    <row r="10" spans="1:35" s="5" customFormat="1">
      <c r="A10" s="79"/>
      <c r="B10" s="175"/>
      <c r="N10" s="11"/>
    </row>
    <row r="11" spans="1:35" ht="22.5">
      <c r="B11" s="17" t="s">
        <v>25</v>
      </c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</row>
    <row r="12" spans="1:35" ht="19.5">
      <c r="B12" s="13" t="s">
        <v>71</v>
      </c>
      <c r="C12" s="35"/>
      <c r="D12" s="35"/>
      <c r="E12" s="35"/>
      <c r="F12" s="35"/>
      <c r="G12" s="35"/>
      <c r="H12" s="35"/>
      <c r="I12" s="35" t="s">
        <v>93</v>
      </c>
      <c r="J12" s="35"/>
      <c r="K12" s="35"/>
      <c r="L12" s="35"/>
      <c r="M12" s="35" t="str">
        <f>OVERALLLIGHT</f>
        <v>RED</v>
      </c>
      <c r="N12" s="35"/>
    </row>
    <row r="13" spans="1:35" s="5" customFormat="1" ht="19.5">
      <c r="B13" s="13"/>
      <c r="C13" s="35"/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5"/>
      <c r="AI13" s="2"/>
    </row>
    <row r="14" spans="1:35">
      <c r="B14" s="76" t="s">
        <v>0</v>
      </c>
      <c r="C14" s="76"/>
      <c r="D14" s="163" t="s">
        <v>170</v>
      </c>
      <c r="E14" s="77"/>
      <c r="F14" s="76" t="s">
        <v>1</v>
      </c>
      <c r="G14" s="163" t="s">
        <v>172</v>
      </c>
      <c r="H14" s="77"/>
      <c r="I14" s="77"/>
      <c r="J14" s="77"/>
      <c r="K14" s="77"/>
      <c r="L14" s="77"/>
      <c r="M14" s="77"/>
      <c r="N14" s="15"/>
    </row>
    <row r="15" spans="1:35" ht="15.75">
      <c r="B15" s="7" t="s">
        <v>2</v>
      </c>
      <c r="C15" s="7"/>
      <c r="D15" s="164">
        <v>1</v>
      </c>
      <c r="E15" s="9"/>
      <c r="F15" s="7" t="s">
        <v>4</v>
      </c>
      <c r="G15" s="165">
        <v>41011</v>
      </c>
      <c r="H15" s="9"/>
      <c r="I15" s="9"/>
      <c r="J15" s="9"/>
      <c r="K15" s="9"/>
      <c r="L15" s="9"/>
      <c r="M15" s="9"/>
      <c r="N15" s="9"/>
    </row>
    <row r="16" spans="1:35" ht="15.75">
      <c r="B16" s="8"/>
      <c r="C16" s="7"/>
      <c r="D16" s="10"/>
      <c r="E16" s="10"/>
      <c r="F16" s="7" t="s">
        <v>3</v>
      </c>
      <c r="G16" s="165">
        <v>41061</v>
      </c>
      <c r="H16" s="15"/>
      <c r="I16" s="15"/>
      <c r="J16" s="14"/>
      <c r="K16" s="14"/>
      <c r="L16" s="14"/>
      <c r="M16" s="14"/>
      <c r="N16" s="9"/>
    </row>
    <row r="17" spans="1:35" s="4" customFormat="1" ht="15.75">
      <c r="A17" s="5"/>
      <c r="B17" s="8"/>
      <c r="C17" s="7"/>
      <c r="D17" s="10"/>
      <c r="E17" s="10"/>
      <c r="F17" s="16" t="s">
        <v>70</v>
      </c>
      <c r="G17" s="151">
        <v>41073</v>
      </c>
      <c r="H17" s="15"/>
      <c r="I17" s="15"/>
      <c r="J17" s="14"/>
      <c r="K17" s="14"/>
      <c r="L17" s="14"/>
      <c r="M17" s="14"/>
      <c r="N17" s="9"/>
      <c r="AI17" s="2"/>
    </row>
    <row r="18" spans="1:35" ht="15.75">
      <c r="F18" s="7" t="s">
        <v>5</v>
      </c>
      <c r="G18" s="164" t="s">
        <v>173</v>
      </c>
      <c r="H18" s="7"/>
      <c r="I18" s="7"/>
      <c r="K18" s="10"/>
      <c r="L18" s="10"/>
      <c r="M18" s="10"/>
      <c r="N18" s="8"/>
    </row>
    <row r="19" spans="1:35" ht="15.75">
      <c r="B19" s="148"/>
      <c r="C19" s="148"/>
      <c r="D19" s="148"/>
      <c r="E19" s="148"/>
      <c r="F19" s="148" t="s">
        <v>6</v>
      </c>
      <c r="G19" s="166" t="s">
        <v>171</v>
      </c>
      <c r="H19" s="148"/>
      <c r="I19" s="148"/>
      <c r="J19" s="148"/>
      <c r="K19" s="149"/>
      <c r="L19" s="149"/>
      <c r="M19" s="149"/>
      <c r="N19" s="150"/>
    </row>
    <row r="20" spans="1:35" s="5" customFormat="1" ht="15.75">
      <c r="B20" s="7"/>
      <c r="C20" s="7"/>
      <c r="D20" s="7"/>
      <c r="E20" s="7"/>
      <c r="F20" s="14"/>
      <c r="G20" s="10"/>
      <c r="H20" s="10"/>
      <c r="I20" s="10"/>
      <c r="J20" s="10"/>
      <c r="K20" s="10"/>
      <c r="L20" s="10"/>
      <c r="M20" s="10"/>
      <c r="N20" s="8"/>
      <c r="AI20" s="2"/>
    </row>
    <row r="21" spans="1:35" s="4" customFormat="1">
      <c r="A21" s="5"/>
      <c r="B21" s="7"/>
      <c r="E21" s="7"/>
      <c r="F21" s="7"/>
      <c r="G21" s="7"/>
      <c r="H21" s="14"/>
      <c r="I21" s="6" t="s">
        <v>108</v>
      </c>
      <c r="J21" s="10"/>
      <c r="K21" s="10"/>
      <c r="L21" s="10"/>
      <c r="M21" s="10"/>
      <c r="N21" s="10"/>
      <c r="AI21" s="2"/>
    </row>
    <row r="22" spans="1:35">
      <c r="B22" s="305" t="s">
        <v>113</v>
      </c>
      <c r="C22" s="306"/>
      <c r="D22" s="306"/>
      <c r="E22" s="306"/>
      <c r="F22" s="10"/>
      <c r="G22" s="78" t="s">
        <v>77</v>
      </c>
      <c r="I22" s="178" t="str">
        <f>OVERALLLIGHT</f>
        <v>RED</v>
      </c>
      <c r="J22" s="10"/>
      <c r="K22" s="10"/>
      <c r="L22" s="211" t="s">
        <v>130</v>
      </c>
      <c r="M22" s="10"/>
      <c r="N22" s="10"/>
    </row>
    <row r="23" spans="1:35">
      <c r="B23" s="307"/>
      <c r="C23" s="307"/>
      <c r="D23" s="307"/>
      <c r="E23" s="307"/>
      <c r="F23" s="7"/>
      <c r="G23" s="79" t="s">
        <v>167</v>
      </c>
      <c r="I23" s="179" t="str">
        <f>MILESTONELIGHT</f>
        <v>GREEN</v>
      </c>
      <c r="J23" s="10"/>
      <c r="K23" s="10"/>
      <c r="L23" s="10"/>
      <c r="M23" s="10"/>
    </row>
    <row r="24" spans="1:35">
      <c r="B24" s="307"/>
      <c r="C24" s="307"/>
      <c r="D24" s="307"/>
      <c r="E24" s="307"/>
      <c r="F24" s="7"/>
      <c r="G24" s="79" t="s">
        <v>72</v>
      </c>
      <c r="I24" s="179" t="str">
        <f>ISSUELIGHT</f>
        <v>GREEN</v>
      </c>
      <c r="J24" s="10"/>
      <c r="K24" s="10"/>
      <c r="L24" s="10"/>
      <c r="M24" s="10"/>
    </row>
    <row r="25" spans="1:35">
      <c r="B25" s="307"/>
      <c r="C25" s="307"/>
      <c r="D25" s="307"/>
      <c r="E25" s="307"/>
      <c r="F25" s="7"/>
      <c r="G25" s="79" t="s">
        <v>78</v>
      </c>
      <c r="I25" s="179" t="str">
        <f>RISKLIGHT</f>
        <v>RED</v>
      </c>
      <c r="J25" s="10"/>
      <c r="K25" s="10"/>
      <c r="L25" s="10"/>
      <c r="M25" s="10"/>
    </row>
    <row r="26" spans="1:35">
      <c r="B26" s="307"/>
      <c r="C26" s="307"/>
      <c r="D26" s="307"/>
      <c r="E26" s="307"/>
      <c r="F26" s="40" t="s">
        <v>109</v>
      </c>
      <c r="G26" s="79" t="s">
        <v>79</v>
      </c>
      <c r="I26" s="179" t="str">
        <f>CHANGELIGHT</f>
        <v>GREEN</v>
      </c>
      <c r="J26" s="10"/>
      <c r="K26" s="10"/>
      <c r="L26" s="10"/>
      <c r="M26" s="10"/>
    </row>
    <row r="27" spans="1:35">
      <c r="B27" s="307"/>
      <c r="C27" s="307"/>
      <c r="D27" s="307"/>
      <c r="E27" s="307"/>
      <c r="F27" s="40" t="s">
        <v>109</v>
      </c>
      <c r="G27" s="79" t="s">
        <v>73</v>
      </c>
      <c r="I27" s="179" t="str">
        <f>DEPENDENCYLIGHT</f>
        <v/>
      </c>
      <c r="J27" s="10"/>
      <c r="K27" s="10"/>
      <c r="L27" s="10"/>
      <c r="M27" s="10"/>
    </row>
    <row r="28" spans="1:35">
      <c r="B28" s="307"/>
      <c r="C28" s="307"/>
      <c r="D28" s="307"/>
      <c r="E28" s="307"/>
      <c r="F28" s="40" t="s">
        <v>110</v>
      </c>
      <c r="G28" s="79" t="s">
        <v>74</v>
      </c>
      <c r="I28" s="179" t="str">
        <f>MEASURELIGHT</f>
        <v/>
      </c>
      <c r="J28" s="10"/>
      <c r="K28" s="10"/>
      <c r="L28" s="10"/>
      <c r="M28" s="10"/>
    </row>
    <row r="29" spans="1:35">
      <c r="B29" s="307"/>
      <c r="C29" s="307"/>
      <c r="D29" s="307"/>
      <c r="E29" s="307"/>
      <c r="F29" s="7"/>
      <c r="G29" s="79" t="s">
        <v>75</v>
      </c>
      <c r="I29" s="179" t="str">
        <f>COMMUNICATIONLIGHT</f>
        <v>GREEN</v>
      </c>
      <c r="J29" s="10"/>
      <c r="K29" s="10"/>
      <c r="L29" s="10"/>
      <c r="M29" s="10"/>
    </row>
    <row r="30" spans="1:35">
      <c r="B30" s="307"/>
      <c r="C30" s="307"/>
      <c r="D30" s="307"/>
      <c r="E30" s="307"/>
      <c r="F30" s="7"/>
      <c r="G30" s="79" t="s">
        <v>76</v>
      </c>
      <c r="I30" s="179" t="str">
        <f>FINANCELIGHT</f>
        <v>RED</v>
      </c>
      <c r="J30" s="40" t="s">
        <v>55</v>
      </c>
      <c r="K30" s="10" t="str">
        <f>EIFLIGHT</f>
        <v>GREEN</v>
      </c>
      <c r="L30" s="10" t="s">
        <v>91</v>
      </c>
      <c r="M30" s="10"/>
      <c r="N30" s="5" t="str">
        <f>COINVESTMENTLIGHT</f>
        <v>RED</v>
      </c>
      <c r="AI30"/>
    </row>
    <row r="31" spans="1:35" s="4" customFormat="1" ht="21.95" customHeight="1">
      <c r="A31" s="5"/>
      <c r="B31" s="308" t="s">
        <v>152</v>
      </c>
      <c r="C31" s="308"/>
      <c r="D31" s="308"/>
      <c r="E31" s="308"/>
      <c r="F31" s="7"/>
      <c r="G31" s="21" t="s">
        <v>93</v>
      </c>
      <c r="I31" s="178" t="str">
        <f>OVERALLLIGHT</f>
        <v>RED</v>
      </c>
      <c r="J31" s="10"/>
      <c r="K31" s="10"/>
      <c r="L31" s="10"/>
      <c r="M31" s="10"/>
      <c r="N31" s="5"/>
    </row>
    <row r="32" spans="1:35" s="4" customFormat="1">
      <c r="A32" s="5"/>
      <c r="B32" s="21"/>
      <c r="E32" s="7"/>
      <c r="F32" s="7"/>
      <c r="G32" s="7"/>
      <c r="H32" s="7"/>
      <c r="I32" s="6"/>
      <c r="J32" s="6"/>
      <c r="K32" s="6"/>
      <c r="L32" s="6"/>
      <c r="M32" s="6"/>
      <c r="N32" s="5"/>
      <c r="T32" s="1"/>
      <c r="U32" s="1" t="s">
        <v>69</v>
      </c>
      <c r="V32" s="1" t="s">
        <v>95</v>
      </c>
      <c r="W32" s="1" t="s">
        <v>67</v>
      </c>
      <c r="AA32" s="1"/>
      <c r="AB32" s="1" t="s">
        <v>93</v>
      </c>
      <c r="AC32" s="1"/>
      <c r="AD32" s="1"/>
      <c r="AE32" s="1" t="str">
        <f>IF(U35&gt;0,"RED",IF(FINANCELIGHT="AMBER","AMBER",IF(MILESTONELIGHT="AMBER","AMBER",IF(V35&gt;2,"AMBER","GREEN"))))</f>
        <v>RED</v>
      </c>
    </row>
    <row r="33" spans="2:35">
      <c r="S33" s="3" t="s">
        <v>81</v>
      </c>
      <c r="T33" s="1"/>
      <c r="U33" s="1">
        <f>COUNTIF(I23:I26,"RED")</f>
        <v>1</v>
      </c>
      <c r="V33" s="1">
        <f>COUNTIF(I23:I26,"AMBER")</f>
        <v>0</v>
      </c>
      <c r="W33" s="1">
        <f>COUNTIF(I23:I26,"GREEN")</f>
        <v>3</v>
      </c>
      <c r="AI33"/>
    </row>
    <row r="34" spans="2:35">
      <c r="B34" s="5" t="s">
        <v>27</v>
      </c>
      <c r="T34" s="1" t="s">
        <v>94</v>
      </c>
      <c r="U34" s="1">
        <f>COUNTIF(I30,"RED")</f>
        <v>1</v>
      </c>
      <c r="V34" s="1">
        <f>COUNTIF(I30,"AMBER")</f>
        <v>0</v>
      </c>
      <c r="W34" s="1">
        <f>COUNTIF(I30,"GREEN")</f>
        <v>0</v>
      </c>
      <c r="AI34"/>
    </row>
    <row r="35" spans="2:35" ht="87.95" customHeight="1">
      <c r="B35" s="327"/>
      <c r="C35" s="297"/>
      <c r="D35" s="297"/>
      <c r="E35" s="297"/>
      <c r="F35" s="297"/>
      <c r="G35" s="297"/>
      <c r="H35" s="297"/>
      <c r="I35" s="297"/>
      <c r="J35" s="297"/>
      <c r="K35" s="297"/>
      <c r="L35" s="297"/>
      <c r="M35" s="297"/>
      <c r="N35" s="298"/>
      <c r="T35" s="1" t="s">
        <v>42</v>
      </c>
      <c r="U35" s="1">
        <f>SUM(U33:U34)</f>
        <v>2</v>
      </c>
      <c r="V35" s="1">
        <f t="shared" ref="V35:W35" si="0">SUM(V33:V34)</f>
        <v>0</v>
      </c>
      <c r="W35" s="1">
        <f t="shared" si="0"/>
        <v>3</v>
      </c>
      <c r="AI35"/>
    </row>
    <row r="36" spans="2:35">
      <c r="B36" s="38"/>
      <c r="C36" s="38"/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  <c r="AI36"/>
    </row>
    <row r="37" spans="2:35" ht="19.5">
      <c r="B37" s="13" t="s">
        <v>26</v>
      </c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T37" t="s">
        <v>154</v>
      </c>
    </row>
    <row r="38" spans="2:35">
      <c r="B38" s="80"/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T38" s="231" t="b">
        <v>1</v>
      </c>
    </row>
    <row r="39" spans="2:35"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0"/>
      <c r="T39" s="231"/>
    </row>
    <row r="40" spans="2:35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T40" s="231" t="b">
        <v>1</v>
      </c>
    </row>
    <row r="41" spans="2:35">
      <c r="B41" s="80" t="s">
        <v>153</v>
      </c>
      <c r="C41" s="80"/>
      <c r="D41" s="80"/>
      <c r="E41" s="82"/>
      <c r="F41" s="299" t="s">
        <v>173</v>
      </c>
      <c r="G41" s="300"/>
      <c r="H41" s="300"/>
      <c r="I41" s="300"/>
      <c r="J41" s="300"/>
      <c r="K41" s="300"/>
      <c r="L41" s="300"/>
      <c r="M41" s="301"/>
      <c r="N41" s="82"/>
      <c r="T41">
        <f>COUNTIF(T38:T40,FALSE)</f>
        <v>0</v>
      </c>
    </row>
    <row r="42" spans="2:35">
      <c r="B42" s="80" t="s">
        <v>28</v>
      </c>
      <c r="C42" s="82"/>
      <c r="D42" s="82"/>
      <c r="E42" s="82"/>
      <c r="F42" s="302">
        <f ca="1">IF(ISBLANK(F41),"",NOW())</f>
        <v>41073.742831134259</v>
      </c>
      <c r="G42" s="303"/>
      <c r="H42" s="303"/>
      <c r="I42" s="303"/>
      <c r="J42" s="303"/>
      <c r="K42" s="303"/>
      <c r="L42" s="303"/>
      <c r="M42" s="304"/>
      <c r="N42" s="82"/>
    </row>
    <row r="43" spans="2:35" ht="31.5">
      <c r="B43" s="230" t="str">
        <f>IF(ISBLANK(F41),"Please signoff (tick boxes and enter name) prior to form submission",IF(COUNTIF(T38:T40,"FALSE")&gt;0,"Please check boxes prior to form submission",""))</f>
        <v/>
      </c>
      <c r="C43" s="83"/>
      <c r="D43" s="83"/>
      <c r="E43" s="83"/>
      <c r="F43" s="83"/>
      <c r="G43" s="83"/>
      <c r="H43" s="83"/>
      <c r="I43" s="83"/>
      <c r="J43" s="83"/>
      <c r="K43" s="83"/>
      <c r="L43" s="83"/>
      <c r="M43" s="83"/>
      <c r="N43" s="83"/>
    </row>
    <row r="44" spans="2:35">
      <c r="B44" s="83"/>
      <c r="C44" s="83"/>
      <c r="D44" s="83"/>
      <c r="E44" s="83"/>
      <c r="F44" s="83"/>
      <c r="G44" s="83"/>
      <c r="H44" s="83"/>
      <c r="I44" s="83"/>
      <c r="J44" s="83"/>
      <c r="K44" s="83"/>
      <c r="L44" s="83"/>
      <c r="M44" s="83"/>
      <c r="N44" s="83"/>
    </row>
    <row r="45" spans="2:35">
      <c r="B45" s="83"/>
      <c r="C45" s="83"/>
      <c r="D45" s="83"/>
      <c r="E45" s="83"/>
      <c r="F45" s="83"/>
      <c r="G45" s="83"/>
      <c r="H45" s="83"/>
      <c r="I45" s="83"/>
      <c r="J45" s="83"/>
      <c r="K45" s="83"/>
      <c r="L45" s="83"/>
      <c r="M45" s="83"/>
      <c r="N45" s="83"/>
    </row>
  </sheetData>
  <sheetProtection sheet="1" objects="1" scenarios="1" selectLockedCells="1"/>
  <mergeCells count="5">
    <mergeCell ref="B35:N35"/>
    <mergeCell ref="F41:M41"/>
    <mergeCell ref="F42:M42"/>
    <mergeCell ref="B22:E30"/>
    <mergeCell ref="B31:E31"/>
  </mergeCells>
  <phoneticPr fontId="7" type="noConversion"/>
  <conditionalFormatting sqref="I22">
    <cfRule type="cellIs" dxfId="167" priority="12" operator="equal">
      <formula>"AMBER"</formula>
    </cfRule>
    <cfRule type="cellIs" dxfId="166" priority="13" operator="equal">
      <formula>"RED"</formula>
    </cfRule>
    <cfRule type="cellIs" dxfId="165" priority="14" operator="equal">
      <formula>"GREEN"</formula>
    </cfRule>
  </conditionalFormatting>
  <conditionalFormatting sqref="G12:M17 I21:N32 G20:M20 K18:M19">
    <cfRule type="cellIs" dxfId="164" priority="15" operator="equal">
      <formula>"AMBER"</formula>
    </cfRule>
    <cfRule type="cellIs" dxfId="163" priority="16" operator="equal">
      <formula>"RED"</formula>
    </cfRule>
    <cfRule type="cellIs" dxfId="162" priority="17" operator="equal">
      <formula>"GREEN"</formula>
    </cfRule>
  </conditionalFormatting>
  <conditionalFormatting sqref="B35:N35">
    <cfRule type="notContainsBlanks" dxfId="161" priority="11">
      <formula>LEN(TRIM(B35))&gt;0</formula>
    </cfRule>
  </conditionalFormatting>
  <conditionalFormatting sqref="C2:I10">
    <cfRule type="cellIs" dxfId="160" priority="8" operator="equal">
      <formula>"AMBER"</formula>
    </cfRule>
    <cfRule type="cellIs" dxfId="159" priority="9" operator="equal">
      <formula>"RED"</formula>
    </cfRule>
    <cfRule type="cellIs" dxfId="158" priority="10" operator="equal">
      <formula>"GREEN"</formula>
    </cfRule>
  </conditionalFormatting>
  <conditionalFormatting sqref="B1">
    <cfRule type="cellIs" dxfId="157" priority="2" operator="equal">
      <formula>"AMBER"</formula>
    </cfRule>
    <cfRule type="cellIs" dxfId="156" priority="3" operator="equal">
      <formula>"RED"</formula>
    </cfRule>
    <cfRule type="cellIs" dxfId="155" priority="4" operator="equal">
      <formula>"GREEN"</formula>
    </cfRule>
  </conditionalFormatting>
  <conditionalFormatting sqref="B1:B10">
    <cfRule type="cellIs" dxfId="154" priority="5" operator="equal">
      <formula>"AMBER"</formula>
    </cfRule>
    <cfRule type="cellIs" dxfId="153" priority="6" operator="equal">
      <formula>"RED"</formula>
    </cfRule>
    <cfRule type="cellIs" dxfId="152" priority="7" operator="equal">
      <formula>"GREEN"</formula>
    </cfRule>
  </conditionalFormatting>
  <conditionalFormatting sqref="B43">
    <cfRule type="containsText" dxfId="151" priority="1" operator="containsText" text="Please">
      <formula>NOT(ISERROR(SEARCH("Please",B43)))</formula>
    </cfRule>
  </conditionalFormatting>
  <hyperlinks>
    <hyperlink ref="G22" location="'1.Header'!A1" display="1.Header"/>
    <hyperlink ref="G23" location="'2.Milestones'!MILESTONESTART" display="2.Milestones"/>
    <hyperlink ref="G24" location="ISSUESTART" display="3.Issues"/>
    <hyperlink ref="G25" location="'4.Risks'!RISKSTART" display="4.Risks"/>
    <hyperlink ref="G26" location="'5.Changes'!CHANGESTART" display="5.Changes"/>
    <hyperlink ref="G27" location="'6.Dependencies'!DEPENDENCYSTART" display="6.Dependencies"/>
    <hyperlink ref="G28" location="'7.Measures'!MEASURESTART" display="7.Measures"/>
    <hyperlink ref="G29" location="'8.Communications'!COMMUNICATIONSTART" display="8.Communications"/>
    <hyperlink ref="G30" location="'9.Finance'!FINANCESTART" display="9.Finance"/>
    <hyperlink ref="A1" location="'1.Header'!A1" display="1.Header"/>
    <hyperlink ref="A2" location="'2.Milestones'!MILESTONESTART" display="2.Milestones"/>
    <hyperlink ref="A3" location="'2.Milestones'!ISSUESTART" display="3.Issues"/>
    <hyperlink ref="A4" location="'4.Risks'!RISKSTART" display="4.Risks"/>
    <hyperlink ref="A5" location="'5.Changes'!CHANGESTART" display="5.Changes"/>
    <hyperlink ref="A6" location="'6.Dependencies'!DEPENDENCYSTART" display="6.Dependencies"/>
    <hyperlink ref="A7" location="'7.Measures'!MEASURESTART" display="7.Measures"/>
    <hyperlink ref="A8" location="'8.Communications'!COMMUNICATIONSTART" display="8.Communications"/>
    <hyperlink ref="A9" location="'9.Finance'!FINANCESTART" display="9.Finance"/>
    <hyperlink ref="L22" location="Legend!A1" tooltip="The calculations to determine the traffic lights" display="LEGEND"/>
    <hyperlink ref="B31" location="Legend!A1" display="See Legend"/>
    <hyperlink ref="C31" location="Legend!A1" display="Legend!A1"/>
    <hyperlink ref="D31" location="Legend!A1" display="Legend!A1"/>
    <hyperlink ref="E31" location="Legend!A1" display="Legend!A1"/>
  </hyperlinks>
  <pageMargins left="0.75000000000000011" right="0.75000000000000011" top="1" bottom="1" header="0.5" footer="0.5"/>
  <pageSetup paperSize="9" scale="81" orientation="landscape" horizontalDpi="4294967292" verticalDpi="4294967292"/>
  <headerFooter>
    <oddFooter>&amp;L&amp;"Calibri,Regular"&amp;K000000&amp;D&amp;R&amp;"Calibri,Regular"&amp;K000000&amp;P of &amp;N</oddFooter>
  </headerFooter>
  <legacyDrawing r:id="rId1"/>
  <extLst>
    <ext xmlns:mx="http://schemas.microsoft.com/office/mac/excel/2008/main" uri="{64002731-A6B0-56B0-2670-7721B7C09600}">
      <mx:PLV Mode="0" OnePage="0" WScale="10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>
  <sheetPr enableFormatConditionsCalculation="0">
    <pageSetUpPr fitToPage="1"/>
  </sheetPr>
  <dimension ref="A1:F22"/>
  <sheetViews>
    <sheetView workbookViewId="0"/>
  </sheetViews>
  <sheetFormatPr defaultColWidth="11.42578125" defaultRowHeight="12.75"/>
  <cols>
    <col min="2" max="2" width="7.42578125" customWidth="1"/>
    <col min="3" max="3" width="16.28515625" customWidth="1"/>
    <col min="4" max="4" width="43.7109375" customWidth="1"/>
    <col min="5" max="5" width="37.7109375" customWidth="1"/>
    <col min="6" max="6" width="36.85546875" customWidth="1"/>
  </cols>
  <sheetData>
    <row r="1" spans="1:6">
      <c r="A1" s="78" t="s">
        <v>77</v>
      </c>
      <c r="B1" s="43" t="str">
        <f>OVERALLLIGHT</f>
        <v>RED</v>
      </c>
    </row>
    <row r="2" spans="1:6">
      <c r="A2" s="79" t="s">
        <v>167</v>
      </c>
      <c r="B2" s="44" t="str">
        <f>MILESTONELIGHT</f>
        <v>GREEN</v>
      </c>
    </row>
    <row r="3" spans="1:6">
      <c r="A3" s="79" t="s">
        <v>72</v>
      </c>
      <c r="B3" s="44" t="str">
        <f>ISSUELIGHT</f>
        <v>GREEN</v>
      </c>
    </row>
    <row r="4" spans="1:6">
      <c r="A4" s="79" t="s">
        <v>78</v>
      </c>
      <c r="B4" s="44" t="str">
        <f>RISKLIGHT</f>
        <v>RED</v>
      </c>
    </row>
    <row r="5" spans="1:6">
      <c r="A5" s="79" t="s">
        <v>79</v>
      </c>
      <c r="B5" s="44" t="str">
        <f>CHANGELIGHT</f>
        <v>GREEN</v>
      </c>
    </row>
    <row r="6" spans="1:6">
      <c r="A6" s="79" t="s">
        <v>73</v>
      </c>
      <c r="B6" s="45" t="str">
        <f>DEPENDENCYLIGHT</f>
        <v/>
      </c>
    </row>
    <row r="7" spans="1:6">
      <c r="A7" s="79" t="s">
        <v>74</v>
      </c>
      <c r="B7" s="45" t="str">
        <f>MEASURELIGHT</f>
        <v/>
      </c>
    </row>
    <row r="8" spans="1:6">
      <c r="A8" s="79" t="s">
        <v>75</v>
      </c>
      <c r="B8" s="44" t="str">
        <f>COMMUNICATIONLIGHT</f>
        <v>GREEN</v>
      </c>
    </row>
    <row r="9" spans="1:6">
      <c r="A9" s="79" t="s">
        <v>76</v>
      </c>
      <c r="B9" s="46" t="str">
        <f>FINANCELIGHT</f>
        <v>RED</v>
      </c>
    </row>
    <row r="10" spans="1:6" ht="23.25" thickBot="1">
      <c r="A10" s="79"/>
      <c r="B10" s="175"/>
      <c r="D10" s="190" t="s">
        <v>130</v>
      </c>
    </row>
    <row r="11" spans="1:6" ht="13.5" thickTop="1"/>
    <row r="12" spans="1:6" ht="27.95" customHeight="1">
      <c r="C12" s="5"/>
      <c r="D12" s="206" t="s">
        <v>114</v>
      </c>
      <c r="E12" s="207" t="s">
        <v>115</v>
      </c>
      <c r="F12" s="208" t="s">
        <v>116</v>
      </c>
    </row>
    <row r="13" spans="1:6" ht="27" customHeight="1">
      <c r="C13" s="205" t="s">
        <v>71</v>
      </c>
      <c r="D13" s="326" t="s">
        <v>141</v>
      </c>
      <c r="E13" s="326"/>
      <c r="F13" s="326"/>
    </row>
    <row r="14" spans="1:6" ht="27.95" customHeight="1">
      <c r="C14" s="205" t="s">
        <v>167</v>
      </c>
      <c r="D14" s="202" t="s">
        <v>128</v>
      </c>
      <c r="E14" s="203" t="s">
        <v>125</v>
      </c>
      <c r="F14" s="204" t="s">
        <v>124</v>
      </c>
    </row>
    <row r="15" spans="1:6" ht="27.95" customHeight="1">
      <c r="C15" s="205" t="s">
        <v>72</v>
      </c>
      <c r="D15" s="202" t="s">
        <v>128</v>
      </c>
      <c r="E15" s="203" t="s">
        <v>125</v>
      </c>
      <c r="F15" s="204" t="s">
        <v>124</v>
      </c>
    </row>
    <row r="16" spans="1:6" ht="27.95" customHeight="1">
      <c r="C16" s="205" t="s">
        <v>78</v>
      </c>
      <c r="D16" s="202" t="s">
        <v>129</v>
      </c>
      <c r="E16" s="203" t="s">
        <v>123</v>
      </c>
      <c r="F16" s="204" t="s">
        <v>126</v>
      </c>
    </row>
    <row r="17" spans="3:6" ht="27.95" customHeight="1">
      <c r="C17" s="205" t="s">
        <v>79</v>
      </c>
      <c r="D17" s="202" t="s">
        <v>128</v>
      </c>
      <c r="E17" s="203" t="s">
        <v>125</v>
      </c>
      <c r="F17" s="204" t="s">
        <v>124</v>
      </c>
    </row>
    <row r="18" spans="3:6" ht="27.95" customHeight="1">
      <c r="C18" s="205" t="s">
        <v>73</v>
      </c>
      <c r="D18" s="202" t="s">
        <v>123</v>
      </c>
      <c r="E18" s="203" t="s">
        <v>123</v>
      </c>
      <c r="F18" s="204" t="s">
        <v>123</v>
      </c>
    </row>
    <row r="19" spans="3:6" ht="27.95" customHeight="1">
      <c r="C19" s="205" t="s">
        <v>74</v>
      </c>
      <c r="D19" s="202" t="s">
        <v>123</v>
      </c>
      <c r="E19" s="203" t="s">
        <v>123</v>
      </c>
      <c r="F19" s="204" t="s">
        <v>123</v>
      </c>
    </row>
    <row r="20" spans="3:6" ht="27.95" customHeight="1">
      <c r="C20" s="205" t="s">
        <v>75</v>
      </c>
      <c r="D20" s="202" t="s">
        <v>120</v>
      </c>
      <c r="E20" s="203" t="s">
        <v>121</v>
      </c>
      <c r="F20" s="204" t="s">
        <v>122</v>
      </c>
    </row>
    <row r="21" spans="3:6" ht="27.95" customHeight="1">
      <c r="C21" s="205" t="s">
        <v>76</v>
      </c>
      <c r="D21" s="202" t="s">
        <v>117</v>
      </c>
      <c r="E21" s="203" t="s">
        <v>118</v>
      </c>
      <c r="F21" s="204" t="s">
        <v>119</v>
      </c>
    </row>
    <row r="22" spans="3:6" ht="60" customHeight="1">
      <c r="C22" s="205" t="s">
        <v>93</v>
      </c>
      <c r="D22" s="202" t="s">
        <v>140</v>
      </c>
      <c r="E22" s="203" t="s">
        <v>169</v>
      </c>
      <c r="F22" s="204" t="s">
        <v>127</v>
      </c>
    </row>
  </sheetData>
  <sheetProtection sheet="1" objects="1" scenarios="1"/>
  <mergeCells count="1">
    <mergeCell ref="D13:F13"/>
  </mergeCells>
  <phoneticPr fontId="7" type="noConversion"/>
  <conditionalFormatting sqref="B1:B9">
    <cfRule type="cellIs" dxfId="29" priority="7" operator="equal">
      <formula>"AMBER"</formula>
    </cfRule>
    <cfRule type="cellIs" dxfId="28" priority="8" operator="equal">
      <formula>"RED"</formula>
    </cfRule>
    <cfRule type="cellIs" dxfId="27" priority="9" operator="equal">
      <formula>"GREEN"</formula>
    </cfRule>
  </conditionalFormatting>
  <conditionalFormatting sqref="B1">
    <cfRule type="cellIs" dxfId="26" priority="4" operator="equal">
      <formula>"AMBER"</formula>
    </cfRule>
    <cfRule type="cellIs" dxfId="25" priority="5" operator="equal">
      <formula>"RED"</formula>
    </cfRule>
    <cfRule type="cellIs" dxfId="24" priority="6" operator="equal">
      <formula>"GREEN"</formula>
    </cfRule>
  </conditionalFormatting>
  <conditionalFormatting sqref="B10">
    <cfRule type="cellIs" dxfId="23" priority="1" operator="equal">
      <formula>"AMBER"</formula>
    </cfRule>
    <cfRule type="cellIs" dxfId="22" priority="2" operator="equal">
      <formula>"RED"</formula>
    </cfRule>
    <cfRule type="cellIs" dxfId="21" priority="3" operator="equal">
      <formula>"GREEN"</formula>
    </cfRule>
  </conditionalFormatting>
  <hyperlinks>
    <hyperlink ref="C14" location="'2.Milestones'!MILESTONESTART" display="2.Milestones"/>
    <hyperlink ref="C15" location="'2.Milestones'!ISSUESTART" display="3.Issues"/>
    <hyperlink ref="C16" location="'4.Risks'!RISKSTART" display="4.Risks"/>
    <hyperlink ref="C17" location="'5.Changes'!CHANGESTART" display="5.Changes"/>
    <hyperlink ref="C18" location="'6.Dependencies'!DEPENDENCYSTART" display="6.Dependencies"/>
    <hyperlink ref="C19" location="'7.Measures'!MEASURESTART" display="7.Measures"/>
    <hyperlink ref="C20" location="'8.Communications'!COMMUNICATIONSTART" display="8.Communications"/>
    <hyperlink ref="C21" location="'9.Finance'!FINANCESTART" display="9.Finance"/>
    <hyperlink ref="A1" location="'1.Header'!A1" display="1.Header"/>
    <hyperlink ref="A2" location="'2.Milestones'!MILESTONESTART" display="2.Milestones"/>
    <hyperlink ref="A3" location="'2.Milestones'!ISSUESTART" display="3.Issues"/>
    <hyperlink ref="A4" location="'4.Risks'!RISKSTART" display="4.Risks"/>
    <hyperlink ref="A5" location="'5.Changes'!CHANGESTART" display="5.Changes"/>
    <hyperlink ref="A6" location="'6.Dependencies'!DEPENDENCYSTART" display="6.Dependencies"/>
    <hyperlink ref="A7" location="'7.Measures'!MEASURESTART" display="7.Measures"/>
    <hyperlink ref="A8" location="'8.Communications'!COMMUNICATIONSTART" display="8.Communications"/>
    <hyperlink ref="A9" location="'9.Finance'!FINANCESTART" display="9.Finance"/>
  </hyperlinks>
  <pageMargins left="0.75000000000000011" right="0.75000000000000011" top="1" bottom="1" header="0.5" footer="0.5"/>
  <pageSetup paperSize="9" scale="90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>
  <dimension ref="A1:E8"/>
  <sheetViews>
    <sheetView workbookViewId="0">
      <selection activeCell="E2" sqref="E2:E3"/>
    </sheetView>
  </sheetViews>
  <sheetFormatPr defaultColWidth="11.42578125" defaultRowHeight="12.75"/>
  <cols>
    <col min="1" max="2" width="10.85546875" customWidth="1"/>
    <col min="3" max="3" width="11.7109375" customWidth="1"/>
  </cols>
  <sheetData>
    <row r="1" spans="1:5">
      <c r="A1" t="s">
        <v>15</v>
      </c>
      <c r="B1" t="s">
        <v>97</v>
      </c>
      <c r="C1" t="s">
        <v>99</v>
      </c>
      <c r="D1" t="s">
        <v>143</v>
      </c>
      <c r="E1" t="s">
        <v>164</v>
      </c>
    </row>
    <row r="2" spans="1:5">
      <c r="A2" t="s">
        <v>34</v>
      </c>
      <c r="B2">
        <v>0</v>
      </c>
      <c r="C2" t="s">
        <v>100</v>
      </c>
      <c r="D2" t="s">
        <v>114</v>
      </c>
      <c r="E2" t="s">
        <v>162</v>
      </c>
    </row>
    <row r="3" spans="1:5">
      <c r="A3" t="s">
        <v>35</v>
      </c>
      <c r="B3">
        <v>25</v>
      </c>
      <c r="C3" t="s">
        <v>101</v>
      </c>
      <c r="D3" t="s">
        <v>115</v>
      </c>
      <c r="E3" t="s">
        <v>163</v>
      </c>
    </row>
    <row r="4" spans="1:5">
      <c r="B4">
        <v>50</v>
      </c>
      <c r="C4" t="s">
        <v>104</v>
      </c>
      <c r="D4" t="s">
        <v>116</v>
      </c>
    </row>
    <row r="5" spans="1:5">
      <c r="B5">
        <v>75</v>
      </c>
      <c r="C5" t="s">
        <v>103</v>
      </c>
    </row>
    <row r="6" spans="1:5">
      <c r="B6">
        <v>100</v>
      </c>
      <c r="C6" t="s">
        <v>102</v>
      </c>
    </row>
    <row r="7" spans="1:5">
      <c r="C7" t="s">
        <v>105</v>
      </c>
    </row>
    <row r="8" spans="1:5">
      <c r="C8" t="s">
        <v>106</v>
      </c>
    </row>
  </sheetData>
  <sheetProtection selectLockedCells="1" selectUnlockedCells="1"/>
  <phoneticPr fontId="7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sheetPr enableFormatConditionsCalculation="0">
    <tabColor rgb="FFCCFFCC"/>
    <pageSetUpPr fitToPage="1"/>
  </sheetPr>
  <dimension ref="A1:R58"/>
  <sheetViews>
    <sheetView showGridLines="0" topLeftCell="A12" workbookViewId="0">
      <selection activeCell="M25" sqref="M25"/>
    </sheetView>
  </sheetViews>
  <sheetFormatPr defaultColWidth="11.42578125" defaultRowHeight="12.75"/>
  <cols>
    <col min="1" max="1" width="14" style="4" bestFit="1" customWidth="1"/>
    <col min="2" max="2" width="6.42578125" customWidth="1"/>
    <col min="3" max="3" width="6.42578125" style="5" customWidth="1"/>
    <col min="4" max="4" width="24" customWidth="1"/>
    <col min="5" max="5" width="33.85546875" customWidth="1"/>
    <col min="7" max="7" width="10.85546875" style="4"/>
    <col min="8" max="8" width="17.85546875" customWidth="1"/>
    <col min="9" max="9" width="10.85546875" style="4"/>
    <col min="10" max="10" width="9.85546875" bestFit="1" customWidth="1"/>
    <col min="11" max="11" width="6.140625" bestFit="1" customWidth="1"/>
    <col min="12" max="12" width="1.140625" style="5" customWidth="1"/>
    <col min="13" max="13" width="55.140625" style="5" customWidth="1"/>
    <col min="14" max="14" width="16.28515625" style="5" bestFit="1" customWidth="1"/>
    <col min="15" max="15" width="13" style="11" customWidth="1"/>
    <col min="16" max="16" width="10.85546875" customWidth="1"/>
    <col min="17" max="17" width="25.140625" bestFit="1" customWidth="1"/>
  </cols>
  <sheetData>
    <row r="1" spans="1:18" s="4" customFormat="1">
      <c r="A1" s="78" t="s">
        <v>77</v>
      </c>
      <c r="B1" s="43" t="str">
        <f>OVERALLLIGHT</f>
        <v>RED</v>
      </c>
      <c r="C1" s="251"/>
      <c r="L1" s="5"/>
      <c r="M1" s="5"/>
      <c r="N1" s="5"/>
      <c r="O1" s="11"/>
    </row>
    <row r="2" spans="1:18" s="4" customFormat="1">
      <c r="A2" s="79" t="s">
        <v>167</v>
      </c>
      <c r="B2" s="44" t="str">
        <f>MILESTONELIGHT</f>
        <v>GREEN</v>
      </c>
      <c r="C2" s="38"/>
      <c r="L2" s="5"/>
      <c r="M2" s="5"/>
      <c r="N2" s="5"/>
      <c r="O2" s="11"/>
    </row>
    <row r="3" spans="1:18" s="4" customFormat="1">
      <c r="A3" s="79" t="s">
        <v>72</v>
      </c>
      <c r="B3" s="44" t="str">
        <f>ISSUELIGHT</f>
        <v>GREEN</v>
      </c>
      <c r="C3" s="38"/>
      <c r="L3" s="5"/>
      <c r="M3" s="5"/>
      <c r="N3" s="5"/>
      <c r="O3" s="11"/>
    </row>
    <row r="4" spans="1:18" s="4" customFormat="1">
      <c r="A4" s="79" t="s">
        <v>78</v>
      </c>
      <c r="B4" s="44" t="str">
        <f>RISKLIGHT</f>
        <v>RED</v>
      </c>
      <c r="C4" s="38"/>
      <c r="L4" s="5"/>
      <c r="M4" s="5"/>
      <c r="N4" s="5"/>
      <c r="O4" s="11"/>
    </row>
    <row r="5" spans="1:18" s="4" customFormat="1">
      <c r="A5" s="79" t="s">
        <v>79</v>
      </c>
      <c r="B5" s="44" t="str">
        <f>CHANGELIGHT</f>
        <v>GREEN</v>
      </c>
      <c r="C5" s="38"/>
      <c r="L5" s="5"/>
      <c r="M5" s="5"/>
      <c r="N5" s="5"/>
      <c r="O5" s="11"/>
    </row>
    <row r="6" spans="1:18" s="4" customFormat="1">
      <c r="A6" s="79" t="s">
        <v>73</v>
      </c>
      <c r="B6" s="45" t="str">
        <f>DEPENDENCYLIGHT</f>
        <v/>
      </c>
      <c r="C6" s="38"/>
      <c r="L6" s="5"/>
      <c r="M6" s="5"/>
      <c r="N6" s="5"/>
      <c r="O6" s="11"/>
    </row>
    <row r="7" spans="1:18" s="4" customFormat="1">
      <c r="A7" s="79" t="s">
        <v>74</v>
      </c>
      <c r="B7" s="45" t="str">
        <f>MEASURELIGHT</f>
        <v/>
      </c>
      <c r="C7" s="38"/>
      <c r="L7" s="5"/>
      <c r="M7" s="5"/>
      <c r="N7" s="5"/>
      <c r="O7" s="11"/>
    </row>
    <row r="8" spans="1:18" s="4" customFormat="1">
      <c r="A8" s="79" t="s">
        <v>75</v>
      </c>
      <c r="B8" s="44" t="str">
        <f>COMMUNICATIONLIGHT</f>
        <v>GREEN</v>
      </c>
      <c r="C8" s="38"/>
      <c r="L8" s="5"/>
      <c r="M8" s="5"/>
      <c r="N8" s="5"/>
      <c r="O8" s="11"/>
    </row>
    <row r="9" spans="1:18" s="4" customFormat="1">
      <c r="A9" s="79" t="s">
        <v>76</v>
      </c>
      <c r="B9" s="46" t="str">
        <f>FINANCELIGHT</f>
        <v>RED</v>
      </c>
      <c r="C9" s="38"/>
      <c r="L9" s="5"/>
      <c r="M9" s="5"/>
      <c r="N9" s="5"/>
      <c r="O9" s="11"/>
    </row>
    <row r="10" spans="1:18" s="5" customFormat="1">
      <c r="A10" s="79"/>
      <c r="B10" s="175"/>
      <c r="C10" s="38"/>
      <c r="O10" s="11"/>
    </row>
    <row r="11" spans="1:18" s="5" customFormat="1" ht="17.25">
      <c r="A11" s="79"/>
      <c r="B11" s="173" t="str">
        <f>ProjNo</f>
        <v>RT029</v>
      </c>
      <c r="C11" s="174"/>
      <c r="D11" s="174" t="str">
        <f>ProjName</f>
        <v>Cloud Based Bioinformatics Tools</v>
      </c>
      <c r="O11" s="11"/>
    </row>
    <row r="12" spans="1:18" s="5" customFormat="1" ht="17.25">
      <c r="A12" s="79"/>
      <c r="B12" s="171" t="s">
        <v>111</v>
      </c>
      <c r="C12" s="169"/>
      <c r="D12" s="176">
        <f>ReportFrom</f>
        <v>41011</v>
      </c>
      <c r="E12" s="168"/>
      <c r="O12" s="11"/>
    </row>
    <row r="13" spans="1:18" s="5" customFormat="1" ht="17.25">
      <c r="A13" s="79"/>
      <c r="B13" s="172" t="s">
        <v>112</v>
      </c>
      <c r="C13" s="252"/>
      <c r="D13" s="177">
        <f>LastDateReport</f>
        <v>41061</v>
      </c>
      <c r="E13" s="168"/>
      <c r="O13" s="11"/>
    </row>
    <row r="14" spans="1:18" s="5" customFormat="1" ht="17.25">
      <c r="A14" s="79"/>
      <c r="B14" s="169"/>
      <c r="C14" s="169"/>
      <c r="D14" s="170"/>
      <c r="E14" s="168"/>
      <c r="O14" s="11"/>
    </row>
    <row r="15" spans="1:18" ht="19.5">
      <c r="B15" s="13" t="s">
        <v>159</v>
      </c>
      <c r="C15" s="13"/>
      <c r="D15" s="13"/>
      <c r="E15" s="13"/>
      <c r="F15" s="13"/>
      <c r="G15" s="13"/>
      <c r="H15" s="13" t="s">
        <v>96</v>
      </c>
      <c r="I15" s="13"/>
      <c r="J15" s="13" t="str">
        <f>MILESTONELIGHT</f>
        <v>GREEN</v>
      </c>
      <c r="K15" s="13"/>
      <c r="L15" s="13"/>
      <c r="M15" s="13"/>
      <c r="N15" s="13"/>
      <c r="O15" s="13"/>
      <c r="P15" s="4"/>
      <c r="Q15" s="4"/>
      <c r="R15" s="4"/>
    </row>
    <row r="16" spans="1:18" ht="17.25">
      <c r="B16" s="25" t="s">
        <v>23</v>
      </c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6"/>
      <c r="P16" s="4"/>
      <c r="Q16" s="4"/>
      <c r="R16" s="4"/>
    </row>
    <row r="17" spans="1:18"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27"/>
      <c r="P17" s="4"/>
      <c r="Q17" s="4"/>
      <c r="R17" s="4"/>
    </row>
    <row r="18" spans="1:18" ht="75">
      <c r="A18" s="23" t="s">
        <v>80</v>
      </c>
      <c r="B18" s="239" t="s">
        <v>166</v>
      </c>
      <c r="C18" s="239" t="s">
        <v>66</v>
      </c>
      <c r="D18" s="239" t="s">
        <v>24</v>
      </c>
      <c r="E18" s="240" t="s">
        <v>66</v>
      </c>
      <c r="F18" s="239" t="s">
        <v>145</v>
      </c>
      <c r="G18" s="239" t="s">
        <v>45</v>
      </c>
      <c r="H18" s="239" t="s">
        <v>144</v>
      </c>
      <c r="I18" s="241" t="s">
        <v>146</v>
      </c>
      <c r="J18" s="239" t="s">
        <v>155</v>
      </c>
      <c r="K18" s="239" t="s">
        <v>156</v>
      </c>
      <c r="L18" s="242"/>
      <c r="M18" s="242" t="s">
        <v>98</v>
      </c>
      <c r="N18" s="242"/>
      <c r="O18" s="290" t="s">
        <v>165</v>
      </c>
      <c r="P18" s="290" t="s">
        <v>96</v>
      </c>
      <c r="Q18" s="4"/>
      <c r="R18" s="4"/>
    </row>
    <row r="19" spans="1:18" ht="25.5">
      <c r="B19" s="29">
        <v>1</v>
      </c>
      <c r="C19" s="29">
        <v>1</v>
      </c>
      <c r="D19" s="243" t="s">
        <v>176</v>
      </c>
      <c r="E19" s="243" t="s">
        <v>174</v>
      </c>
      <c r="F19" s="244">
        <v>41011</v>
      </c>
      <c r="G19" s="162">
        <v>100</v>
      </c>
      <c r="H19" s="293">
        <v>41011</v>
      </c>
      <c r="I19" s="30">
        <f>IF(ISERROR(IF(H19&lt;1,"",H19-F19)),"",IF(H19&lt;1,"",H19-F19))</f>
        <v>0</v>
      </c>
      <c r="J19" s="245"/>
      <c r="K19" s="246"/>
      <c r="L19" s="247"/>
      <c r="M19" s="250"/>
      <c r="N19" s="214" t="str">
        <f>IF(O19="NOT COMPLETE","COMMENT REQUIRED","")</f>
        <v/>
      </c>
      <c r="O19" s="291" t="str">
        <f t="shared" ref="O19:O36" si="0">IF(F19&lt;LastDateReport+1,IF(H19="","NOT COMPLETE","COMPLETE"),"Not Due")</f>
        <v>COMPLETE</v>
      </c>
      <c r="P19" s="36" t="str">
        <f t="shared" ref="P19:P36" si="1">IF(O19="NOT COMPLETE",IF(LastDateReport-F19&lt;28,"AMBER","RED"),"")</f>
        <v/>
      </c>
      <c r="Q19" s="289">
        <f>H19</f>
        <v>41011</v>
      </c>
      <c r="R19" s="5"/>
    </row>
    <row r="20" spans="1:18">
      <c r="B20" s="29">
        <v>2</v>
      </c>
      <c r="C20" s="29">
        <v>2</v>
      </c>
      <c r="D20" s="243" t="s">
        <v>177</v>
      </c>
      <c r="E20" s="243" t="s">
        <v>178</v>
      </c>
      <c r="F20" s="244">
        <v>41011</v>
      </c>
      <c r="G20" s="162">
        <v>100</v>
      </c>
      <c r="H20" s="293">
        <v>41011</v>
      </c>
      <c r="I20" s="30">
        <f t="shared" ref="I20:I36" si="2">IF(ISERROR(IF(H20&lt;1,"",H20-F20)),"",IF(H20&lt;1,"",H20-F20))</f>
        <v>0</v>
      </c>
      <c r="J20" s="246" t="s">
        <v>227</v>
      </c>
      <c r="K20" s="246"/>
      <c r="L20" s="247"/>
      <c r="M20" s="250"/>
      <c r="N20" s="214" t="str">
        <f>IF(O20="NOT COMPLETE","COMMENT REQUIRED","")</f>
        <v/>
      </c>
      <c r="O20" s="291" t="str">
        <f t="shared" si="0"/>
        <v>COMPLETE</v>
      </c>
      <c r="P20" s="36" t="str">
        <f t="shared" si="1"/>
        <v/>
      </c>
      <c r="Q20" s="4"/>
      <c r="R20" s="4"/>
    </row>
    <row r="21" spans="1:18" ht="38.25">
      <c r="B21" s="29">
        <v>3</v>
      </c>
      <c r="C21" s="29">
        <v>3</v>
      </c>
      <c r="D21" s="243" t="s">
        <v>179</v>
      </c>
      <c r="E21" s="243" t="s">
        <v>180</v>
      </c>
      <c r="F21" s="244">
        <v>41044</v>
      </c>
      <c r="G21" s="162">
        <v>100</v>
      </c>
      <c r="H21" s="293">
        <v>41044</v>
      </c>
      <c r="I21" s="30">
        <f t="shared" si="2"/>
        <v>0</v>
      </c>
      <c r="J21" s="246"/>
      <c r="K21" s="246"/>
      <c r="L21" s="247"/>
      <c r="M21" s="250"/>
      <c r="N21" s="214" t="str">
        <f t="shared" ref="N21:N36" si="3">IF(O21="NOT COMPLETE","COMMENT REQUIRED","")</f>
        <v/>
      </c>
      <c r="O21" s="291" t="str">
        <f t="shared" si="0"/>
        <v>COMPLETE</v>
      </c>
      <c r="P21" s="36" t="str">
        <f t="shared" si="1"/>
        <v/>
      </c>
      <c r="Q21" s="4"/>
      <c r="R21" s="4"/>
    </row>
    <row r="22" spans="1:18" ht="38.25">
      <c r="B22" s="29">
        <v>4</v>
      </c>
      <c r="C22" s="29">
        <v>4</v>
      </c>
      <c r="D22" s="243" t="s">
        <v>181</v>
      </c>
      <c r="E22" s="243" t="s">
        <v>182</v>
      </c>
      <c r="F22" s="244">
        <v>41072</v>
      </c>
      <c r="G22" s="162">
        <v>100</v>
      </c>
      <c r="H22" s="293">
        <v>41050</v>
      </c>
      <c r="I22" s="30">
        <f t="shared" si="2"/>
        <v>-22</v>
      </c>
      <c r="J22" s="246"/>
      <c r="K22" s="246"/>
      <c r="L22" s="247"/>
      <c r="M22" s="250"/>
      <c r="N22" s="214" t="str">
        <f t="shared" si="3"/>
        <v/>
      </c>
      <c r="O22" s="291" t="str">
        <f t="shared" si="0"/>
        <v>Not Due</v>
      </c>
      <c r="P22" s="36" t="str">
        <f t="shared" si="1"/>
        <v/>
      </c>
      <c r="Q22" s="4"/>
      <c r="R22" s="4"/>
    </row>
    <row r="23" spans="1:18" ht="63.75">
      <c r="B23" s="29">
        <v>5</v>
      </c>
      <c r="C23" s="29">
        <v>5</v>
      </c>
      <c r="D23" s="243" t="s">
        <v>183</v>
      </c>
      <c r="E23" s="243" t="s">
        <v>184</v>
      </c>
      <c r="F23" s="244">
        <v>41074</v>
      </c>
      <c r="G23" s="162">
        <v>75</v>
      </c>
      <c r="H23" s="293" t="str">
        <f t="shared" ref="H21:H36" si="4">IF(G23=100,"Enter date of completion","")</f>
        <v/>
      </c>
      <c r="I23" s="30" t="str">
        <f t="shared" si="2"/>
        <v/>
      </c>
      <c r="J23" s="248"/>
      <c r="K23" s="246" t="s">
        <v>227</v>
      </c>
      <c r="L23" s="247"/>
      <c r="M23" s="328" t="s">
        <v>228</v>
      </c>
      <c r="N23" s="214" t="str">
        <f t="shared" si="3"/>
        <v/>
      </c>
      <c r="O23" s="291" t="str">
        <f t="shared" si="0"/>
        <v>Not Due</v>
      </c>
      <c r="P23" s="36" t="str">
        <f t="shared" si="1"/>
        <v/>
      </c>
      <c r="Q23" s="4"/>
      <c r="R23" s="4"/>
    </row>
    <row r="24" spans="1:18">
      <c r="B24" s="29">
        <v>6</v>
      </c>
      <c r="C24" s="29">
        <v>6</v>
      </c>
      <c r="D24" s="243" t="s">
        <v>185</v>
      </c>
      <c r="E24" s="243" t="s">
        <v>186</v>
      </c>
      <c r="F24" s="244">
        <v>41074</v>
      </c>
      <c r="G24" s="162">
        <v>0</v>
      </c>
      <c r="H24" s="293" t="str">
        <f t="shared" si="4"/>
        <v/>
      </c>
      <c r="I24" s="30" t="str">
        <f t="shared" si="2"/>
        <v/>
      </c>
      <c r="J24" s="248" t="s">
        <v>227</v>
      </c>
      <c r="K24" s="246"/>
      <c r="L24" s="247"/>
      <c r="M24" s="250"/>
      <c r="N24" s="214" t="str">
        <f t="shared" si="3"/>
        <v/>
      </c>
      <c r="O24" s="291" t="str">
        <f t="shared" si="0"/>
        <v>Not Due</v>
      </c>
      <c r="P24" s="36" t="str">
        <f t="shared" si="1"/>
        <v/>
      </c>
      <c r="Q24" s="4"/>
      <c r="R24" s="4"/>
    </row>
    <row r="25" spans="1:18" s="5" customFormat="1" ht="38.25">
      <c r="B25" s="29">
        <v>7</v>
      </c>
      <c r="C25" s="29">
        <v>7</v>
      </c>
      <c r="D25" s="243" t="s">
        <v>187</v>
      </c>
      <c r="E25" s="243" t="s">
        <v>188</v>
      </c>
      <c r="F25" s="244">
        <v>41136</v>
      </c>
      <c r="G25" s="162">
        <v>0</v>
      </c>
      <c r="H25" s="293" t="str">
        <f t="shared" si="4"/>
        <v/>
      </c>
      <c r="I25" s="30" t="str">
        <f t="shared" si="2"/>
        <v/>
      </c>
      <c r="J25" s="248"/>
      <c r="K25" s="246" t="s">
        <v>227</v>
      </c>
      <c r="L25" s="247"/>
      <c r="M25" s="250"/>
      <c r="N25" s="214" t="str">
        <f t="shared" si="3"/>
        <v/>
      </c>
      <c r="O25" s="291" t="str">
        <f t="shared" si="0"/>
        <v>Not Due</v>
      </c>
      <c r="P25" s="36" t="str">
        <f t="shared" si="1"/>
        <v/>
      </c>
    </row>
    <row r="26" spans="1:18" s="5" customFormat="1" ht="38.25">
      <c r="B26" s="29">
        <v>8</v>
      </c>
      <c r="C26" s="29">
        <v>8</v>
      </c>
      <c r="D26" s="243" t="s">
        <v>189</v>
      </c>
      <c r="E26" s="243" t="s">
        <v>190</v>
      </c>
      <c r="F26" s="244">
        <v>41136</v>
      </c>
      <c r="G26" s="162">
        <v>0</v>
      </c>
      <c r="H26" s="293" t="str">
        <f t="shared" si="4"/>
        <v/>
      </c>
      <c r="I26" s="30" t="str">
        <f t="shared" si="2"/>
        <v/>
      </c>
      <c r="J26" s="248"/>
      <c r="K26" s="246" t="s">
        <v>227</v>
      </c>
      <c r="L26" s="247"/>
      <c r="M26" s="250"/>
      <c r="N26" s="214" t="str">
        <f t="shared" si="3"/>
        <v/>
      </c>
      <c r="O26" s="291" t="str">
        <f t="shared" si="0"/>
        <v>Not Due</v>
      </c>
      <c r="P26" s="36" t="str">
        <f t="shared" si="1"/>
        <v/>
      </c>
    </row>
    <row r="27" spans="1:18" s="5" customFormat="1">
      <c r="B27" s="29">
        <v>9</v>
      </c>
      <c r="C27" s="29">
        <v>9</v>
      </c>
      <c r="D27" s="243" t="s">
        <v>191</v>
      </c>
      <c r="E27" s="243" t="s">
        <v>192</v>
      </c>
      <c r="F27" s="244">
        <v>41136</v>
      </c>
      <c r="G27" s="162">
        <v>0</v>
      </c>
      <c r="H27" s="293" t="str">
        <f t="shared" si="4"/>
        <v/>
      </c>
      <c r="I27" s="30" t="str">
        <f t="shared" si="2"/>
        <v/>
      </c>
      <c r="J27" s="248" t="s">
        <v>227</v>
      </c>
      <c r="K27" s="246"/>
      <c r="L27" s="247"/>
      <c r="M27" s="250"/>
      <c r="N27" s="214" t="str">
        <f t="shared" si="3"/>
        <v/>
      </c>
      <c r="O27" s="291" t="str">
        <f t="shared" si="0"/>
        <v>Not Due</v>
      </c>
      <c r="P27" s="36" t="str">
        <f t="shared" si="1"/>
        <v/>
      </c>
    </row>
    <row r="28" spans="1:18" s="5" customFormat="1" ht="51">
      <c r="B28" s="29">
        <v>10</v>
      </c>
      <c r="C28" s="29">
        <v>10</v>
      </c>
      <c r="D28" s="243" t="s">
        <v>193</v>
      </c>
      <c r="E28" s="243" t="s">
        <v>194</v>
      </c>
      <c r="F28" s="244">
        <v>41182</v>
      </c>
      <c r="G28" s="162">
        <v>0</v>
      </c>
      <c r="H28" s="293" t="str">
        <f t="shared" si="4"/>
        <v/>
      </c>
      <c r="I28" s="30" t="str">
        <f t="shared" si="2"/>
        <v/>
      </c>
      <c r="J28" s="248"/>
      <c r="K28" s="246" t="s">
        <v>227</v>
      </c>
      <c r="L28" s="247"/>
      <c r="M28" s="250"/>
      <c r="N28" s="214" t="str">
        <f t="shared" si="3"/>
        <v/>
      </c>
      <c r="O28" s="291" t="str">
        <f t="shared" si="0"/>
        <v>Not Due</v>
      </c>
      <c r="P28" s="36" t="str">
        <f t="shared" si="1"/>
        <v/>
      </c>
    </row>
    <row r="29" spans="1:18" s="5" customFormat="1" ht="51">
      <c r="B29" s="29">
        <v>11</v>
      </c>
      <c r="C29" s="29">
        <v>11</v>
      </c>
      <c r="D29" s="243" t="s">
        <v>195</v>
      </c>
      <c r="E29" s="243" t="s">
        <v>196</v>
      </c>
      <c r="F29" s="244">
        <v>41197</v>
      </c>
      <c r="G29" s="162">
        <v>0</v>
      </c>
      <c r="H29" s="293" t="str">
        <f t="shared" si="4"/>
        <v/>
      </c>
      <c r="I29" s="30" t="str">
        <f t="shared" si="2"/>
        <v/>
      </c>
      <c r="J29" s="248"/>
      <c r="K29" s="246" t="s">
        <v>227</v>
      </c>
      <c r="L29" s="247"/>
      <c r="M29" s="250"/>
      <c r="N29" s="214" t="str">
        <f t="shared" si="3"/>
        <v/>
      </c>
      <c r="O29" s="291" t="str">
        <f t="shared" si="0"/>
        <v>Not Due</v>
      </c>
      <c r="P29" s="36" t="str">
        <f t="shared" si="1"/>
        <v/>
      </c>
    </row>
    <row r="30" spans="1:18" s="5" customFormat="1">
      <c r="B30" s="29">
        <v>12</v>
      </c>
      <c r="C30" s="29">
        <v>12</v>
      </c>
      <c r="D30" s="243" t="s">
        <v>197</v>
      </c>
      <c r="E30" s="243" t="s">
        <v>198</v>
      </c>
      <c r="F30" s="244">
        <v>41228</v>
      </c>
      <c r="G30" s="162">
        <v>0</v>
      </c>
      <c r="H30" s="293" t="str">
        <f t="shared" si="4"/>
        <v/>
      </c>
      <c r="I30" s="30" t="str">
        <f t="shared" si="2"/>
        <v/>
      </c>
      <c r="J30" s="248" t="s">
        <v>227</v>
      </c>
      <c r="K30" s="246"/>
      <c r="L30" s="247"/>
      <c r="M30" s="250"/>
      <c r="N30" s="214" t="str">
        <f t="shared" si="3"/>
        <v/>
      </c>
      <c r="O30" s="291" t="str">
        <f t="shared" si="0"/>
        <v>Not Due</v>
      </c>
      <c r="P30" s="36" t="str">
        <f t="shared" si="1"/>
        <v/>
      </c>
    </row>
    <row r="31" spans="1:18" ht="51">
      <c r="B31" s="29">
        <v>13</v>
      </c>
      <c r="C31" s="29">
        <v>13</v>
      </c>
      <c r="D31" s="243" t="s">
        <v>199</v>
      </c>
      <c r="E31" s="243" t="s">
        <v>200</v>
      </c>
      <c r="F31" s="244">
        <v>41258</v>
      </c>
      <c r="G31" s="162">
        <v>0</v>
      </c>
      <c r="H31" s="293" t="str">
        <f t="shared" si="4"/>
        <v/>
      </c>
      <c r="I31" s="30" t="str">
        <f t="shared" si="2"/>
        <v/>
      </c>
      <c r="J31" s="248"/>
      <c r="K31" s="246" t="s">
        <v>227</v>
      </c>
      <c r="L31" s="247"/>
      <c r="M31" s="250"/>
      <c r="N31" s="214" t="str">
        <f t="shared" si="3"/>
        <v/>
      </c>
      <c r="O31" s="291" t="str">
        <f t="shared" si="0"/>
        <v>Not Due</v>
      </c>
      <c r="P31" s="36" t="str">
        <f t="shared" si="1"/>
        <v/>
      </c>
      <c r="Q31" s="4"/>
      <c r="R31" s="4"/>
    </row>
    <row r="32" spans="1:18" ht="38.25">
      <c r="B32" s="29">
        <v>14</v>
      </c>
      <c r="C32" s="29">
        <v>14</v>
      </c>
      <c r="D32" s="243" t="s">
        <v>201</v>
      </c>
      <c r="E32" s="243" t="s">
        <v>202</v>
      </c>
      <c r="F32" s="244">
        <v>41258</v>
      </c>
      <c r="G32" s="162">
        <v>0</v>
      </c>
      <c r="H32" s="293" t="str">
        <f t="shared" si="4"/>
        <v/>
      </c>
      <c r="I32" s="30" t="str">
        <f t="shared" si="2"/>
        <v/>
      </c>
      <c r="J32" s="248"/>
      <c r="K32" s="246" t="s">
        <v>227</v>
      </c>
      <c r="L32" s="247"/>
      <c r="M32" s="250"/>
      <c r="N32" s="214" t="str">
        <f t="shared" si="3"/>
        <v/>
      </c>
      <c r="O32" s="291" t="str">
        <f t="shared" si="0"/>
        <v>Not Due</v>
      </c>
      <c r="P32" s="36" t="str">
        <f t="shared" si="1"/>
        <v/>
      </c>
      <c r="Q32" s="4"/>
      <c r="R32" s="4"/>
    </row>
    <row r="33" spans="2:18" ht="51">
      <c r="B33" s="29">
        <v>15</v>
      </c>
      <c r="C33" s="29">
        <v>15</v>
      </c>
      <c r="D33" s="243" t="s">
        <v>203</v>
      </c>
      <c r="E33" s="243" t="s">
        <v>204</v>
      </c>
      <c r="F33" s="244">
        <v>41333</v>
      </c>
      <c r="G33" s="162">
        <v>0</v>
      </c>
      <c r="H33" s="293" t="str">
        <f t="shared" si="4"/>
        <v/>
      </c>
      <c r="I33" s="30" t="str">
        <f t="shared" si="2"/>
        <v/>
      </c>
      <c r="J33" s="248"/>
      <c r="K33" s="246" t="s">
        <v>227</v>
      </c>
      <c r="L33" s="247"/>
      <c r="M33" s="250"/>
      <c r="N33" s="214" t="str">
        <f t="shared" si="3"/>
        <v/>
      </c>
      <c r="O33" s="291" t="str">
        <f t="shared" si="0"/>
        <v>Not Due</v>
      </c>
      <c r="P33" s="36" t="str">
        <f t="shared" si="1"/>
        <v/>
      </c>
      <c r="Q33" s="4"/>
      <c r="R33" s="4"/>
    </row>
    <row r="34" spans="2:18" ht="38.25">
      <c r="B34" s="29">
        <v>16</v>
      </c>
      <c r="C34" s="29">
        <v>16</v>
      </c>
      <c r="D34" s="243" t="s">
        <v>205</v>
      </c>
      <c r="E34" s="249" t="s">
        <v>209</v>
      </c>
      <c r="F34" s="244">
        <v>41333</v>
      </c>
      <c r="G34" s="162">
        <v>0</v>
      </c>
      <c r="H34" s="293" t="str">
        <f t="shared" si="4"/>
        <v/>
      </c>
      <c r="I34" s="30" t="str">
        <f t="shared" si="2"/>
        <v/>
      </c>
      <c r="J34" s="248" t="s">
        <v>227</v>
      </c>
      <c r="K34" s="246"/>
      <c r="L34" s="247"/>
      <c r="M34" s="250"/>
      <c r="N34" s="214" t="str">
        <f t="shared" si="3"/>
        <v/>
      </c>
      <c r="O34" s="291" t="str">
        <f t="shared" si="0"/>
        <v>Not Due</v>
      </c>
      <c r="P34" s="36" t="str">
        <f t="shared" si="1"/>
        <v/>
      </c>
      <c r="Q34" s="4"/>
      <c r="R34" s="4"/>
    </row>
    <row r="35" spans="2:18" ht="51">
      <c r="B35" s="29">
        <v>17</v>
      </c>
      <c r="C35" s="29">
        <v>17</v>
      </c>
      <c r="D35" s="243" t="s">
        <v>210</v>
      </c>
      <c r="E35" s="243" t="s">
        <v>208</v>
      </c>
      <c r="F35" s="244">
        <v>41547</v>
      </c>
      <c r="G35" s="162">
        <v>0</v>
      </c>
      <c r="H35" s="293" t="str">
        <f t="shared" si="4"/>
        <v/>
      </c>
      <c r="I35" s="30" t="str">
        <f t="shared" si="2"/>
        <v/>
      </c>
      <c r="J35" s="248" t="s">
        <v>227</v>
      </c>
      <c r="K35" s="246"/>
      <c r="L35" s="247"/>
      <c r="M35" s="250"/>
      <c r="N35" s="214" t="str">
        <f t="shared" si="3"/>
        <v/>
      </c>
      <c r="O35" s="291" t="str">
        <f t="shared" si="0"/>
        <v>Not Due</v>
      </c>
      <c r="P35" s="36" t="str">
        <f t="shared" si="1"/>
        <v/>
      </c>
      <c r="Q35" s="4"/>
      <c r="R35" s="4"/>
    </row>
    <row r="36" spans="2:18" ht="25.5">
      <c r="B36" s="29">
        <v>18</v>
      </c>
      <c r="C36" s="29">
        <v>18</v>
      </c>
      <c r="D36" s="243" t="s">
        <v>206</v>
      </c>
      <c r="E36" s="249" t="s">
        <v>207</v>
      </c>
      <c r="F36" s="244">
        <v>41820</v>
      </c>
      <c r="G36" s="162">
        <v>0</v>
      </c>
      <c r="H36" s="293" t="str">
        <f t="shared" si="4"/>
        <v/>
      </c>
      <c r="I36" s="30" t="str">
        <f t="shared" si="2"/>
        <v/>
      </c>
      <c r="J36" s="248"/>
      <c r="K36" s="246"/>
      <c r="L36" s="247"/>
      <c r="M36" s="250"/>
      <c r="N36" s="214" t="str">
        <f t="shared" si="3"/>
        <v/>
      </c>
      <c r="O36" s="291" t="str">
        <f t="shared" si="0"/>
        <v>Not Due</v>
      </c>
      <c r="P36" s="36" t="str">
        <f t="shared" si="1"/>
        <v/>
      </c>
      <c r="Q36" s="4"/>
      <c r="R36" s="4"/>
    </row>
    <row r="37" spans="2:18">
      <c r="B37" s="84"/>
      <c r="C37" s="84"/>
      <c r="D37" s="84"/>
      <c r="E37" s="84"/>
      <c r="F37" s="84"/>
      <c r="G37" s="84"/>
      <c r="H37" s="84"/>
      <c r="I37" s="31" t="s">
        <v>147</v>
      </c>
      <c r="J37" s="84"/>
      <c r="K37" s="84"/>
      <c r="L37" s="84"/>
      <c r="M37" s="84"/>
      <c r="N37" s="84"/>
      <c r="O37" s="292" t="s">
        <v>68</v>
      </c>
      <c r="P37" s="292" t="str">
        <f>IF(COUNTIF(P19:P36,"RED")&gt;0,"RED",IF(COUNTIF(P19:P36,"AMBER")&gt;0,"AMBER","GREEN"))</f>
        <v>GREEN</v>
      </c>
      <c r="Q37" s="4"/>
      <c r="R37" s="4"/>
    </row>
    <row r="38" spans="2:18">
      <c r="B38" s="84"/>
      <c r="C38" s="84"/>
      <c r="D38" s="84"/>
      <c r="E38" s="84"/>
      <c r="F38" s="80"/>
      <c r="G38" s="84"/>
      <c r="H38" s="84"/>
      <c r="I38" s="32">
        <f>IFERROR(AVERAGE(I19:I36),"")</f>
        <v>-5.5</v>
      </c>
      <c r="J38" s="85"/>
      <c r="K38" s="85"/>
      <c r="L38" s="85"/>
      <c r="M38" s="85"/>
      <c r="N38" s="85"/>
      <c r="O38" s="85"/>
      <c r="P38" s="83"/>
      <c r="Q38" s="4"/>
      <c r="R38" s="4"/>
    </row>
    <row r="39" spans="2:18" ht="15">
      <c r="B39" s="86"/>
      <c r="C39" s="86"/>
      <c r="D39" s="86"/>
      <c r="E39" s="86"/>
      <c r="F39" s="86"/>
      <c r="G39" s="86"/>
      <c r="H39" s="86"/>
      <c r="I39" s="86"/>
      <c r="J39" s="86"/>
      <c r="K39" s="86"/>
      <c r="L39" s="86"/>
      <c r="M39" s="86"/>
      <c r="N39" s="86"/>
      <c r="O39" s="87"/>
      <c r="P39" s="83"/>
      <c r="Q39" s="4"/>
      <c r="R39" s="4"/>
    </row>
    <row r="40" spans="2:18" ht="14.1" customHeight="1">
      <c r="B40" s="309" t="s">
        <v>152</v>
      </c>
      <c r="C40" s="309"/>
      <c r="D40" s="309"/>
      <c r="E40" s="309"/>
      <c r="F40" s="84"/>
      <c r="G40" s="84"/>
      <c r="H40" s="84"/>
      <c r="I40" s="84"/>
      <c r="J40" s="84"/>
      <c r="K40" s="84"/>
      <c r="L40" s="84"/>
      <c r="M40" s="84"/>
      <c r="N40" s="84"/>
      <c r="O40" s="88"/>
      <c r="P40" s="83"/>
      <c r="Q40" s="4"/>
      <c r="R40" s="4"/>
    </row>
    <row r="41" spans="2:18">
      <c r="B41" s="84"/>
      <c r="C41" s="84"/>
      <c r="D41" s="84"/>
      <c r="E41" s="84"/>
      <c r="F41" s="84"/>
      <c r="G41" s="84"/>
      <c r="H41" s="84"/>
      <c r="I41" s="84"/>
      <c r="J41" s="84"/>
      <c r="K41" s="84"/>
      <c r="L41" s="84"/>
      <c r="M41" s="84"/>
      <c r="N41" s="84"/>
      <c r="O41" s="88"/>
      <c r="P41" s="83"/>
      <c r="Q41" s="4"/>
      <c r="R41" s="4"/>
    </row>
    <row r="42" spans="2:18">
      <c r="B42" s="83"/>
      <c r="C42" s="83"/>
      <c r="D42" s="83"/>
      <c r="E42" s="83"/>
      <c r="F42" s="83"/>
      <c r="G42" s="83"/>
      <c r="H42" s="83"/>
      <c r="I42" s="83"/>
      <c r="J42" s="83"/>
      <c r="K42" s="83"/>
      <c r="L42" s="83"/>
      <c r="M42" s="83"/>
      <c r="N42" s="83"/>
      <c r="O42" s="89"/>
      <c r="P42" s="83"/>
    </row>
    <row r="43" spans="2:18">
      <c r="B43" s="83"/>
      <c r="C43" s="83"/>
      <c r="D43" s="83"/>
      <c r="E43" s="83"/>
      <c r="F43" s="83"/>
      <c r="G43" s="83"/>
      <c r="H43" s="83"/>
      <c r="I43" s="83"/>
      <c r="J43" s="83"/>
      <c r="K43" s="83"/>
      <c r="L43" s="83"/>
      <c r="M43" s="83"/>
      <c r="N43" s="83"/>
      <c r="O43" s="89"/>
      <c r="P43" s="83"/>
    </row>
    <row r="44" spans="2:18">
      <c r="B44" s="83"/>
      <c r="C44" s="83"/>
      <c r="D44" s="83"/>
      <c r="E44" s="83"/>
      <c r="F44" s="83"/>
      <c r="G44" s="83"/>
      <c r="H44" s="83"/>
      <c r="I44" s="83"/>
      <c r="J44" s="83"/>
      <c r="K44" s="83"/>
      <c r="L44" s="83"/>
      <c r="M44" s="83"/>
      <c r="N44" s="83"/>
      <c r="O44" s="89"/>
      <c r="P44" s="83"/>
    </row>
    <row r="45" spans="2:18">
      <c r="B45" s="90"/>
      <c r="C45" s="90"/>
      <c r="D45" s="83"/>
      <c r="E45" s="83"/>
      <c r="F45" s="83"/>
      <c r="G45" s="83"/>
      <c r="H45" s="83"/>
      <c r="I45" s="83"/>
      <c r="J45" s="83"/>
      <c r="K45" s="83"/>
      <c r="L45" s="83"/>
      <c r="M45" s="83"/>
      <c r="N45" s="83"/>
      <c r="O45" s="89"/>
      <c r="P45" s="83"/>
    </row>
    <row r="46" spans="2:18">
      <c r="B46" s="91"/>
      <c r="C46" s="91"/>
      <c r="D46" s="83"/>
      <c r="E46" s="83"/>
      <c r="F46" s="83"/>
      <c r="G46" s="83"/>
      <c r="H46" s="83"/>
      <c r="I46" s="83"/>
      <c r="J46" s="83"/>
      <c r="K46" s="83"/>
      <c r="L46" s="83"/>
      <c r="M46" s="83"/>
      <c r="N46" s="83"/>
      <c r="O46" s="89"/>
      <c r="P46" s="83"/>
    </row>
    <row r="47" spans="2:18">
      <c r="B47" s="90"/>
      <c r="C47" s="90"/>
      <c r="D47" s="83"/>
      <c r="E47" s="83"/>
      <c r="F47" s="83"/>
      <c r="G47" s="83"/>
      <c r="H47" s="83"/>
      <c r="I47" s="83"/>
      <c r="J47" s="83"/>
      <c r="K47" s="83"/>
      <c r="L47" s="83"/>
      <c r="M47" s="83"/>
      <c r="N47" s="83"/>
      <c r="O47" s="89"/>
      <c r="P47" s="83"/>
    </row>
    <row r="48" spans="2:18">
      <c r="B48" s="19"/>
      <c r="C48" s="19"/>
    </row>
    <row r="49" spans="2:5">
      <c r="B49" s="19"/>
      <c r="C49" s="19"/>
    </row>
    <row r="50" spans="2:5">
      <c r="B50" s="19"/>
      <c r="C50" s="19"/>
    </row>
    <row r="51" spans="2:5">
      <c r="B51" s="19"/>
      <c r="C51" s="19"/>
    </row>
    <row r="52" spans="2:5" ht="15">
      <c r="B52" s="19"/>
      <c r="C52" s="19"/>
      <c r="E52" s="18"/>
    </row>
    <row r="53" spans="2:5" ht="15">
      <c r="B53" s="19"/>
      <c r="C53" s="19"/>
      <c r="E53" s="18"/>
    </row>
    <row r="54" spans="2:5" ht="15">
      <c r="E54" s="18"/>
    </row>
    <row r="55" spans="2:5" ht="15">
      <c r="E55" s="18"/>
    </row>
    <row r="56" spans="2:5" ht="15">
      <c r="E56" s="18"/>
    </row>
    <row r="57" spans="2:5" ht="15">
      <c r="E57" s="18"/>
    </row>
    <row r="58" spans="2:5" ht="15">
      <c r="E58" s="18"/>
    </row>
  </sheetData>
  <sheetProtection sheet="1" objects="1" scenarios="1" selectLockedCells="1"/>
  <mergeCells count="1">
    <mergeCell ref="B40:E40"/>
  </mergeCells>
  <phoneticPr fontId="7" type="noConversion"/>
  <conditionalFormatting sqref="Q19:Q36">
    <cfRule type="beginsWith" dxfId="150" priority="28" operator="beginsWith" text="PLEASE">
      <formula>LEFT(Q19,LEN("PLEASE"))="PLEASE"</formula>
    </cfRule>
  </conditionalFormatting>
  <conditionalFormatting sqref="N19:N36">
    <cfRule type="expression" dxfId="149" priority="27">
      <formula>$O19="NOT COMPLETE"</formula>
    </cfRule>
  </conditionalFormatting>
  <conditionalFormatting sqref="B15:J19 E12:J14 D2:J11 B37:J39 J20:J22 G20:I36 D20:E20 B20:C36">
    <cfRule type="cellIs" dxfId="148" priority="32" operator="equal">
      <formula>"AMBER"</formula>
    </cfRule>
    <cfRule type="cellIs" dxfId="147" priority="33" operator="equal">
      <formula>"RED"</formula>
    </cfRule>
    <cfRule type="cellIs" dxfId="146" priority="34" operator="equal">
      <formula>"GREEN"</formula>
    </cfRule>
  </conditionalFormatting>
  <conditionalFormatting sqref="B1:C1">
    <cfRule type="cellIs" dxfId="145" priority="21" operator="equal">
      <formula>"AMBER"</formula>
    </cfRule>
    <cfRule type="cellIs" dxfId="144" priority="22" operator="equal">
      <formula>"RED"</formula>
    </cfRule>
    <cfRule type="cellIs" dxfId="143" priority="23" operator="equal">
      <formula>"GREEN"</formula>
    </cfRule>
  </conditionalFormatting>
  <conditionalFormatting sqref="B1:C11">
    <cfRule type="cellIs" dxfId="142" priority="24" operator="equal">
      <formula>"AMBER"</formula>
    </cfRule>
    <cfRule type="cellIs" dxfId="141" priority="25" operator="equal">
      <formula>"RED"</formula>
    </cfRule>
    <cfRule type="cellIs" dxfId="140" priority="26" operator="equal">
      <formula>"GREEN"</formula>
    </cfRule>
  </conditionalFormatting>
  <conditionalFormatting sqref="D24:F24 F20:F23 D21:E23">
    <cfRule type="cellIs" dxfId="139" priority="9" stopIfTrue="1" operator="equal">
      <formula>"AMBER"</formula>
    </cfRule>
    <cfRule type="cellIs" dxfId="138" priority="10" stopIfTrue="1" operator="equal">
      <formula>"RED"</formula>
    </cfRule>
    <cfRule type="cellIs" dxfId="137" priority="11" stopIfTrue="1" operator="equal">
      <formula>"GREEN"</formula>
    </cfRule>
  </conditionalFormatting>
  <conditionalFormatting sqref="D25:F36">
    <cfRule type="cellIs" dxfId="136" priority="6" stopIfTrue="1" operator="equal">
      <formula>"AMBER"</formula>
    </cfRule>
    <cfRule type="cellIs" dxfId="135" priority="7" stopIfTrue="1" operator="equal">
      <formula>"RED"</formula>
    </cfRule>
    <cfRule type="cellIs" dxfId="134" priority="8" stopIfTrue="1" operator="equal">
      <formula>"GREEN"</formula>
    </cfRule>
  </conditionalFormatting>
  <conditionalFormatting sqref="J23:J36">
    <cfRule type="cellIs" dxfId="133" priority="3" stopIfTrue="1" operator="equal">
      <formula>"AMBER"</formula>
    </cfRule>
    <cfRule type="cellIs" dxfId="132" priority="4" stopIfTrue="1" operator="equal">
      <formula>"RED"</formula>
    </cfRule>
    <cfRule type="cellIs" dxfId="131" priority="5" stopIfTrue="1" operator="equal">
      <formula>"GREEN"</formula>
    </cfRule>
  </conditionalFormatting>
  <conditionalFormatting sqref="J19:K36">
    <cfRule type="containsText" dxfId="130" priority="2" stopIfTrue="1" operator="containsText" text="Y">
      <formula>NOT(ISERROR(SEARCH("Y",J19)))</formula>
    </cfRule>
  </conditionalFormatting>
  <conditionalFormatting sqref="G19:G36">
    <cfRule type="cellIs" dxfId="129" priority="1" operator="equal">
      <formula>100</formula>
    </cfRule>
  </conditionalFormatting>
  <dataValidations count="1">
    <dataValidation type="list" showInputMessage="1" showErrorMessage="1" sqref="G19:G36">
      <formula1>PercentageListItems</formula1>
    </dataValidation>
  </dataValidations>
  <hyperlinks>
    <hyperlink ref="A1" location="'1.Header'!A1" display="1.Header"/>
    <hyperlink ref="A2" location="'2.Milestones'!MILESTONESTART" display="2.Milestones"/>
    <hyperlink ref="A3" location="'2.Milestones'!ISSUESTART" display="3.Issues"/>
    <hyperlink ref="A4" location="'4.Risks'!RISKSTART" display="4.Risks"/>
    <hyperlink ref="A5" location="'5.Changes'!CHANGESTART" display="5.Changes"/>
    <hyperlink ref="A6" location="'6.Dependencies'!DEPENDENCYSTART" display="6.Dependencies"/>
    <hyperlink ref="A7" location="'7.Measures'!MEASURESTART" display="7.Measures"/>
    <hyperlink ref="A8" location="'8.Communications'!COMMUNICATIONSTART" display="8.Communications"/>
    <hyperlink ref="A9" location="'9.Finance'!FINANCESTART" display="9.Finance"/>
    <hyperlink ref="B40" location="Legend!A1" display="See Legend"/>
  </hyperlinks>
  <pageMargins left="0.75" right="0.75" top="1" bottom="1" header="0.5" footer="0.5"/>
  <pageSetup paperSize="9" scale="63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sheetPr enableFormatConditionsCalculation="0">
    <tabColor rgb="FFCCFFCC"/>
    <pageSetUpPr fitToPage="1"/>
  </sheetPr>
  <dimension ref="A1:R55"/>
  <sheetViews>
    <sheetView showGridLines="0" workbookViewId="0">
      <selection activeCell="B32" sqref="B32:E32"/>
    </sheetView>
  </sheetViews>
  <sheetFormatPr defaultColWidth="11.42578125" defaultRowHeight="12.75"/>
  <cols>
    <col min="1" max="1" width="14" style="4" bestFit="1" customWidth="1"/>
    <col min="2" max="2" width="15.7109375" bestFit="1" customWidth="1"/>
    <col min="3" max="3" width="37.42578125" customWidth="1"/>
    <col min="4" max="4" width="15.7109375" customWidth="1"/>
    <col min="5" max="5" width="17.28515625" bestFit="1" customWidth="1"/>
    <col min="6" max="6" width="10.140625" bestFit="1" customWidth="1"/>
    <col min="7" max="7" width="4.140625" style="5" hidden="1" customWidth="1"/>
    <col min="8" max="8" width="10.140625" style="4" hidden="1" customWidth="1"/>
    <col min="9" max="9" width="0" hidden="1" customWidth="1"/>
    <col min="10" max="10" width="17.7109375" customWidth="1"/>
    <col min="11" max="11" width="0" hidden="1" customWidth="1"/>
  </cols>
  <sheetData>
    <row r="1" spans="1:18" s="4" customFormat="1">
      <c r="A1" s="78" t="s">
        <v>77</v>
      </c>
      <c r="B1" s="43" t="str">
        <f>OVERALLLIGHT</f>
        <v>RED</v>
      </c>
      <c r="G1" s="5"/>
    </row>
    <row r="2" spans="1:18" s="4" customFormat="1">
      <c r="A2" s="79" t="s">
        <v>167</v>
      </c>
      <c r="B2" s="44" t="str">
        <f>MILESTONELIGHT</f>
        <v>GREEN</v>
      </c>
      <c r="G2" s="5"/>
    </row>
    <row r="3" spans="1:18" s="4" customFormat="1">
      <c r="A3" s="79" t="s">
        <v>72</v>
      </c>
      <c r="B3" s="44" t="str">
        <f>ISSUELIGHT</f>
        <v>GREEN</v>
      </c>
      <c r="G3" s="5"/>
    </row>
    <row r="4" spans="1:18" s="4" customFormat="1">
      <c r="A4" s="79" t="s">
        <v>78</v>
      </c>
      <c r="B4" s="44" t="str">
        <f>RISKLIGHT</f>
        <v>RED</v>
      </c>
      <c r="G4" s="5"/>
    </row>
    <row r="5" spans="1:18" s="4" customFormat="1">
      <c r="A5" s="79" t="s">
        <v>79</v>
      </c>
      <c r="B5" s="44" t="str">
        <f>CHANGELIGHT</f>
        <v>GREEN</v>
      </c>
      <c r="G5" s="5"/>
    </row>
    <row r="6" spans="1:18" s="4" customFormat="1">
      <c r="A6" s="79" t="s">
        <v>73</v>
      </c>
      <c r="B6" s="45" t="str">
        <f>DEPENDENCYLIGHT</f>
        <v/>
      </c>
      <c r="G6" s="5"/>
    </row>
    <row r="7" spans="1:18" s="4" customFormat="1">
      <c r="A7" s="79" t="s">
        <v>74</v>
      </c>
      <c r="B7" s="45" t="str">
        <f>MEASURELIGHT</f>
        <v/>
      </c>
      <c r="G7" s="5"/>
    </row>
    <row r="8" spans="1:18" s="4" customFormat="1" ht="15">
      <c r="A8" s="79" t="s">
        <v>75</v>
      </c>
      <c r="B8" s="44" t="str">
        <f>COMMUNICATIONLIGHT</f>
        <v>GREEN</v>
      </c>
      <c r="D8" s="18"/>
      <c r="G8" s="5"/>
    </row>
    <row r="9" spans="1:18" s="4" customFormat="1" ht="15">
      <c r="A9" s="79" t="s">
        <v>76</v>
      </c>
      <c r="B9" s="46" t="str">
        <f>FINANCELIGHT</f>
        <v>RED</v>
      </c>
      <c r="D9" s="18"/>
      <c r="G9" s="5"/>
    </row>
    <row r="10" spans="1:18" s="5" customFormat="1">
      <c r="A10" s="79"/>
      <c r="B10" s="175"/>
      <c r="N10" s="11"/>
    </row>
    <row r="11" spans="1:18" s="5" customFormat="1" ht="17.25">
      <c r="A11" s="79"/>
      <c r="B11" s="173" t="str">
        <f>ProjNo</f>
        <v>RT029</v>
      </c>
      <c r="C11" s="174" t="str">
        <f>ProjName</f>
        <v>Cloud Based Bioinformatics Tools</v>
      </c>
      <c r="N11" s="11"/>
    </row>
    <row r="12" spans="1:18" s="5" customFormat="1" ht="17.25">
      <c r="A12" s="79"/>
      <c r="B12" s="171" t="s">
        <v>111</v>
      </c>
      <c r="C12" s="176">
        <f>ReportFrom</f>
        <v>41011</v>
      </c>
      <c r="D12" s="168"/>
      <c r="N12" s="11"/>
    </row>
    <row r="13" spans="1:18" s="5" customFormat="1" ht="17.25">
      <c r="A13" s="79"/>
      <c r="B13" s="172" t="s">
        <v>112</v>
      </c>
      <c r="C13" s="177">
        <f>LastDateReport</f>
        <v>41061</v>
      </c>
      <c r="D13" s="168"/>
      <c r="N13" s="11"/>
    </row>
    <row r="14" spans="1:18" s="5" customFormat="1" ht="6" customHeight="1">
      <c r="A14" s="79"/>
      <c r="B14" s="169"/>
      <c r="C14" s="170"/>
      <c r="D14" s="168"/>
      <c r="N14" s="11"/>
    </row>
    <row r="15" spans="1:18" ht="20.25" thickBot="1">
      <c r="B15" s="53" t="s">
        <v>7</v>
      </c>
      <c r="C15" s="35"/>
      <c r="D15" s="35"/>
      <c r="E15" s="35" t="s">
        <v>96</v>
      </c>
      <c r="F15" s="35" t="str">
        <f>ISSUELIGHT</f>
        <v>GREEN</v>
      </c>
      <c r="G15" s="35"/>
      <c r="H15" s="35"/>
      <c r="I15" s="4"/>
      <c r="J15" s="4"/>
      <c r="K15" s="4"/>
      <c r="L15" s="4"/>
      <c r="M15" s="4"/>
      <c r="N15" s="4"/>
      <c r="O15" s="4"/>
      <c r="P15" s="4"/>
      <c r="Q15" s="4"/>
      <c r="R15" s="4"/>
    </row>
    <row r="16" spans="1:18" ht="18" thickTop="1">
      <c r="B16" s="311" t="s">
        <v>22</v>
      </c>
      <c r="C16" s="311"/>
      <c r="D16" s="311"/>
      <c r="E16" s="311"/>
      <c r="F16" s="311"/>
      <c r="G16" s="47"/>
      <c r="H16" s="33"/>
      <c r="I16" s="4"/>
      <c r="J16" s="4"/>
      <c r="K16" s="4"/>
      <c r="L16" s="4"/>
      <c r="M16" s="4"/>
      <c r="N16" s="4"/>
      <c r="O16" s="4"/>
      <c r="P16" s="4"/>
      <c r="Q16" s="4"/>
      <c r="R16" s="4"/>
    </row>
    <row r="17" spans="1:18" ht="18" thickBot="1">
      <c r="B17" s="312"/>
      <c r="C17" s="312"/>
      <c r="D17" s="312"/>
      <c r="E17" s="312"/>
      <c r="F17" s="312"/>
      <c r="G17" s="12"/>
      <c r="I17" s="4"/>
      <c r="J17" s="4"/>
      <c r="K17" s="4"/>
      <c r="L17" s="4"/>
      <c r="M17" s="4"/>
      <c r="P17" s="4"/>
      <c r="Q17" s="4"/>
      <c r="R17" s="4"/>
    </row>
    <row r="18" spans="1:18" ht="64.5">
      <c r="B18" s="92" t="s">
        <v>50</v>
      </c>
      <c r="C18" s="93" t="s">
        <v>8</v>
      </c>
      <c r="D18" s="93" t="s">
        <v>48</v>
      </c>
      <c r="E18" s="93" t="s">
        <v>47</v>
      </c>
      <c r="F18" s="94" t="s">
        <v>9</v>
      </c>
      <c r="G18" s="232"/>
      <c r="H18" s="233" t="s">
        <v>82</v>
      </c>
      <c r="I18" s="233" t="s">
        <v>83</v>
      </c>
      <c r="J18" s="94" t="s">
        <v>15</v>
      </c>
      <c r="K18" s="83"/>
      <c r="L18" s="83"/>
      <c r="M18" s="4"/>
      <c r="P18" s="4"/>
      <c r="Q18" s="4"/>
      <c r="R18" s="4"/>
    </row>
    <row r="19" spans="1:18" ht="27.95" customHeight="1">
      <c r="A19" s="23" t="s">
        <v>80</v>
      </c>
      <c r="B19" s="108"/>
      <c r="C19" s="109"/>
      <c r="D19" s="110"/>
      <c r="E19" s="110"/>
      <c r="F19" s="111"/>
      <c r="G19" s="96"/>
      <c r="H19" s="97" t="str">
        <f>IF(F19&gt;0,F19-D19,"")</f>
        <v/>
      </c>
      <c r="I19" s="97" t="str">
        <f>IF(F19&gt;0,F19-E19,"")</f>
        <v/>
      </c>
      <c r="J19" s="236" t="str">
        <f t="shared" ref="J19:J26" si="0">IF(D19&gt;0,IF(F19&lt;1,IF(E19&lt;LastDateReport+1,"NOT CLOSED","NOT DUE"),"CLOSED"),"")</f>
        <v/>
      </c>
      <c r="K19" s="83" t="str">
        <f t="shared" ref="K19:K27" si="1">IF(J19="NOT CLOSED",IF(LastDateReport-E19&lt;28,"AMBER","RED"),"")</f>
        <v/>
      </c>
      <c r="L19" s="83"/>
      <c r="M19" s="4"/>
      <c r="P19" s="4"/>
      <c r="Q19" s="4"/>
      <c r="R19" s="4"/>
    </row>
    <row r="20" spans="1:18" s="5" customFormat="1" ht="27.95" customHeight="1">
      <c r="A20" s="23"/>
      <c r="B20" s="108"/>
      <c r="C20" s="109"/>
      <c r="D20" s="110"/>
      <c r="E20" s="110"/>
      <c r="F20" s="111"/>
      <c r="G20" s="96"/>
      <c r="H20" s="97" t="str">
        <f t="shared" ref="H20:H26" si="2">IF(F20&gt;0,F20-D20,"")</f>
        <v/>
      </c>
      <c r="I20" s="97" t="str">
        <f t="shared" ref="I20:I26" si="3">IF(F20&gt;0,F20-E20,"")</f>
        <v/>
      </c>
      <c r="J20" s="236" t="str">
        <f t="shared" si="0"/>
        <v/>
      </c>
      <c r="K20" s="83" t="str">
        <f t="shared" si="1"/>
        <v/>
      </c>
      <c r="L20" s="83"/>
    </row>
    <row r="21" spans="1:18" s="5" customFormat="1" ht="27.95" customHeight="1">
      <c r="A21" s="23"/>
      <c r="B21" s="108"/>
      <c r="C21" s="109"/>
      <c r="D21" s="110"/>
      <c r="E21" s="110"/>
      <c r="F21" s="111"/>
      <c r="G21" s="96"/>
      <c r="H21" s="97" t="str">
        <f t="shared" si="2"/>
        <v/>
      </c>
      <c r="I21" s="97" t="str">
        <f t="shared" si="3"/>
        <v/>
      </c>
      <c r="J21" s="236" t="str">
        <f t="shared" si="0"/>
        <v/>
      </c>
      <c r="K21" s="83" t="str">
        <f t="shared" si="1"/>
        <v/>
      </c>
      <c r="L21" s="83"/>
    </row>
    <row r="22" spans="1:18" s="5" customFormat="1" ht="27.95" customHeight="1">
      <c r="A22" s="23"/>
      <c r="B22" s="108"/>
      <c r="C22" s="109"/>
      <c r="D22" s="110"/>
      <c r="E22" s="110"/>
      <c r="F22" s="111"/>
      <c r="G22" s="96"/>
      <c r="H22" s="97" t="str">
        <f t="shared" si="2"/>
        <v/>
      </c>
      <c r="I22" s="97" t="str">
        <f t="shared" si="3"/>
        <v/>
      </c>
      <c r="J22" s="236" t="str">
        <f t="shared" si="0"/>
        <v/>
      </c>
      <c r="K22" s="83" t="str">
        <f t="shared" si="1"/>
        <v/>
      </c>
      <c r="L22" s="83"/>
    </row>
    <row r="23" spans="1:18" ht="27.95" customHeight="1">
      <c r="B23" s="108"/>
      <c r="C23" s="109"/>
      <c r="D23" s="110"/>
      <c r="E23" s="110"/>
      <c r="F23" s="111"/>
      <c r="G23" s="96"/>
      <c r="H23" s="97" t="str">
        <f t="shared" si="2"/>
        <v/>
      </c>
      <c r="I23" s="97" t="str">
        <f t="shared" si="3"/>
        <v/>
      </c>
      <c r="J23" s="236" t="str">
        <f t="shared" si="0"/>
        <v/>
      </c>
      <c r="K23" s="83" t="str">
        <f t="shared" si="1"/>
        <v/>
      </c>
      <c r="L23" s="83"/>
      <c r="M23" s="4"/>
      <c r="P23" s="4"/>
      <c r="Q23" s="4"/>
      <c r="R23" s="4"/>
    </row>
    <row r="24" spans="1:18" ht="27.95" customHeight="1">
      <c r="B24" s="108"/>
      <c r="C24" s="109"/>
      <c r="D24" s="110"/>
      <c r="E24" s="110"/>
      <c r="F24" s="111"/>
      <c r="G24" s="96"/>
      <c r="H24" s="97" t="str">
        <f t="shared" si="2"/>
        <v/>
      </c>
      <c r="I24" s="97" t="str">
        <f t="shared" si="3"/>
        <v/>
      </c>
      <c r="J24" s="236" t="str">
        <f t="shared" si="0"/>
        <v/>
      </c>
      <c r="K24" s="83" t="str">
        <f t="shared" si="1"/>
        <v/>
      </c>
      <c r="L24" s="83"/>
      <c r="M24" s="4"/>
      <c r="P24" s="4"/>
      <c r="Q24" s="4"/>
      <c r="R24" s="4"/>
    </row>
    <row r="25" spans="1:18" ht="27.95" customHeight="1">
      <c r="B25" s="108"/>
      <c r="C25" s="109"/>
      <c r="D25" s="110"/>
      <c r="E25" s="110"/>
      <c r="F25" s="111"/>
      <c r="G25" s="96"/>
      <c r="H25" s="97" t="str">
        <f t="shared" si="2"/>
        <v/>
      </c>
      <c r="I25" s="97" t="str">
        <f t="shared" si="3"/>
        <v/>
      </c>
      <c r="J25" s="236" t="str">
        <f t="shared" si="0"/>
        <v/>
      </c>
      <c r="K25" s="83" t="str">
        <f t="shared" si="1"/>
        <v/>
      </c>
      <c r="L25" s="83"/>
      <c r="M25" s="4"/>
      <c r="P25" s="4"/>
      <c r="Q25" s="4"/>
      <c r="R25" s="4"/>
    </row>
    <row r="26" spans="1:18" ht="27.95" customHeight="1" thickBot="1">
      <c r="B26" s="112"/>
      <c r="C26" s="113"/>
      <c r="D26" s="114"/>
      <c r="E26" s="114"/>
      <c r="F26" s="115"/>
      <c r="G26" s="234"/>
      <c r="H26" s="235" t="str">
        <f t="shared" si="2"/>
        <v/>
      </c>
      <c r="I26" s="235" t="str">
        <f t="shared" si="3"/>
        <v/>
      </c>
      <c r="J26" s="237" t="str">
        <f t="shared" si="0"/>
        <v/>
      </c>
      <c r="K26" s="83" t="str">
        <f t="shared" si="1"/>
        <v/>
      </c>
      <c r="L26" s="83"/>
      <c r="M26" s="4"/>
      <c r="P26" s="4"/>
      <c r="Q26" s="4"/>
      <c r="R26" s="4"/>
    </row>
    <row r="27" spans="1:18" s="5" customFormat="1">
      <c r="B27" s="98"/>
      <c r="C27" s="99"/>
      <c r="D27" s="100"/>
      <c r="E27" s="100"/>
      <c r="F27" s="100"/>
      <c r="G27" s="96"/>
      <c r="H27" s="101"/>
      <c r="I27" s="101"/>
      <c r="J27" s="83"/>
      <c r="K27" s="83" t="str">
        <f t="shared" si="1"/>
        <v/>
      </c>
      <c r="L27" s="83"/>
    </row>
    <row r="28" spans="1:18" ht="15" customHeight="1">
      <c r="B28" s="102" t="s">
        <v>12</v>
      </c>
      <c r="C28" s="103" t="s">
        <v>49</v>
      </c>
      <c r="D28" s="102" t="s">
        <v>43</v>
      </c>
      <c r="E28" s="310"/>
      <c r="F28" s="102" t="s">
        <v>46</v>
      </c>
      <c r="G28" s="104"/>
      <c r="H28" s="104"/>
      <c r="I28" s="83"/>
      <c r="J28" s="83"/>
      <c r="K28" s="83" t="str">
        <f>IF(COUNTIF(K19:K26,"RED")&gt;0,"RED",IF(COUNTIF(K19:K26,"AMBER")&gt;0,"AMBER","GREEN"))</f>
        <v>GREEN</v>
      </c>
      <c r="L28" s="83"/>
      <c r="M28" s="4"/>
      <c r="N28" s="4"/>
      <c r="O28" s="4"/>
      <c r="P28" s="4"/>
      <c r="Q28" s="4"/>
      <c r="R28" s="4"/>
    </row>
    <row r="29" spans="1:18">
      <c r="B29" s="105">
        <f>COUNTIF(B19:B26,"*")</f>
        <v>0</v>
      </c>
      <c r="C29" s="105" t="str">
        <f>IF(ISERROR(AVERAGE(I19:I26)),"",AVERAGE(I19:I26))</f>
        <v/>
      </c>
      <c r="D29" s="105">
        <f>B29-F29</f>
        <v>0</v>
      </c>
      <c r="E29" s="310"/>
      <c r="F29" s="105">
        <f>COUNT(F19:F26)</f>
        <v>0</v>
      </c>
      <c r="G29" s="106"/>
      <c r="H29" s="106"/>
      <c r="I29" s="83"/>
      <c r="J29" s="83"/>
      <c r="K29" s="83"/>
      <c r="L29" s="83"/>
      <c r="M29" s="4"/>
      <c r="N29" s="4"/>
      <c r="O29" s="4"/>
      <c r="P29" s="4"/>
      <c r="Q29" s="4"/>
      <c r="R29" s="4"/>
    </row>
    <row r="30" spans="1:18">
      <c r="B30" s="83"/>
      <c r="C30" s="83"/>
      <c r="D30" s="83"/>
      <c r="E30" s="83"/>
      <c r="F30" s="83"/>
      <c r="G30" s="107"/>
      <c r="H30" s="83"/>
      <c r="I30" s="83"/>
      <c r="J30" s="83"/>
      <c r="K30" s="83"/>
      <c r="L30" s="83"/>
    </row>
    <row r="31" spans="1:18">
      <c r="B31" s="83"/>
      <c r="C31" s="83"/>
      <c r="D31" s="83"/>
      <c r="E31" s="83"/>
      <c r="F31" s="83"/>
      <c r="G31" s="107"/>
      <c r="H31" s="83"/>
      <c r="I31" s="83"/>
      <c r="J31" s="83"/>
      <c r="K31" s="83"/>
      <c r="L31" s="83"/>
    </row>
    <row r="32" spans="1:18" ht="14.1" customHeight="1">
      <c r="B32" s="309" t="s">
        <v>152</v>
      </c>
      <c r="C32" s="309"/>
      <c r="D32" s="309"/>
      <c r="E32" s="309"/>
      <c r="F32" s="83"/>
      <c r="G32" s="107"/>
      <c r="H32" s="83"/>
      <c r="I32" s="83"/>
      <c r="J32" s="83"/>
      <c r="K32" s="83"/>
      <c r="L32" s="83"/>
    </row>
    <row r="33" spans="2:12">
      <c r="B33" s="83"/>
      <c r="C33" s="83"/>
      <c r="D33" s="83"/>
      <c r="E33" s="83"/>
      <c r="F33" s="83"/>
      <c r="G33" s="107"/>
      <c r="H33" s="83"/>
      <c r="I33" s="83"/>
      <c r="J33" s="83"/>
      <c r="K33" s="83"/>
      <c r="L33" s="83"/>
    </row>
    <row r="34" spans="2:12">
      <c r="B34" s="83"/>
      <c r="C34" s="83"/>
      <c r="D34" s="83"/>
      <c r="E34" s="83"/>
      <c r="F34" s="83"/>
      <c r="G34" s="107"/>
      <c r="H34" s="83"/>
      <c r="I34" s="83"/>
      <c r="J34" s="83"/>
      <c r="K34" s="83"/>
      <c r="L34" s="83"/>
    </row>
    <row r="35" spans="2:12">
      <c r="B35" s="83"/>
      <c r="C35" s="83"/>
      <c r="D35" s="83"/>
      <c r="E35" s="83"/>
      <c r="F35" s="83"/>
      <c r="G35" s="107"/>
      <c r="H35" s="83"/>
      <c r="I35" s="83"/>
      <c r="J35" s="83"/>
      <c r="K35" s="83"/>
      <c r="L35" s="83"/>
    </row>
    <row r="36" spans="2:12">
      <c r="B36" s="83"/>
      <c r="C36" s="83"/>
      <c r="D36" s="83"/>
      <c r="E36" s="83"/>
      <c r="F36" s="83"/>
      <c r="G36" s="107"/>
      <c r="H36" s="83"/>
      <c r="I36" s="83"/>
      <c r="J36" s="83"/>
      <c r="K36" s="83"/>
      <c r="L36" s="83"/>
    </row>
    <row r="37" spans="2:12">
      <c r="B37" s="83"/>
      <c r="C37" s="83"/>
      <c r="D37" s="83"/>
      <c r="E37" s="83"/>
      <c r="F37" s="83"/>
      <c r="G37" s="107"/>
      <c r="H37" s="83"/>
      <c r="I37" s="83"/>
      <c r="J37" s="83"/>
      <c r="K37" s="83"/>
      <c r="L37" s="83"/>
    </row>
    <row r="38" spans="2:12">
      <c r="B38" s="83"/>
      <c r="C38" s="83"/>
      <c r="D38" s="83"/>
      <c r="E38" s="83"/>
      <c r="F38" s="83"/>
      <c r="G38" s="107"/>
      <c r="H38" s="83"/>
      <c r="I38" s="83"/>
      <c r="J38" s="83"/>
      <c r="K38" s="83"/>
      <c r="L38" s="83"/>
    </row>
    <row r="39" spans="2:12">
      <c r="G39" s="16"/>
    </row>
    <row r="47" spans="2:12">
      <c r="B47" s="19"/>
    </row>
    <row r="48" spans="2:12">
      <c r="B48" s="19"/>
    </row>
    <row r="49" spans="2:2">
      <c r="B49" s="22"/>
    </row>
    <row r="50" spans="2:2">
      <c r="B50" s="19"/>
    </row>
    <row r="51" spans="2:2">
      <c r="B51" s="19"/>
    </row>
    <row r="52" spans="2:2">
      <c r="B52" s="19"/>
    </row>
    <row r="53" spans="2:2">
      <c r="B53" s="19"/>
    </row>
    <row r="54" spans="2:2">
      <c r="B54" s="19"/>
    </row>
    <row r="55" spans="2:2">
      <c r="B55" s="19"/>
    </row>
  </sheetData>
  <sheetProtection sheet="1" objects="1" scenarios="1" selectLockedCells="1"/>
  <mergeCells count="4">
    <mergeCell ref="E28:E29"/>
    <mergeCell ref="B16:F16"/>
    <mergeCell ref="B17:F17"/>
    <mergeCell ref="B32:E32"/>
  </mergeCells>
  <phoneticPr fontId="7" type="noConversion"/>
  <conditionalFormatting sqref="B1 B15:K29">
    <cfRule type="cellIs" dxfId="128" priority="7" operator="equal">
      <formula>"AMBER"</formula>
    </cfRule>
    <cfRule type="cellIs" dxfId="127" priority="8" operator="equal">
      <formula>"RED"</formula>
    </cfRule>
    <cfRule type="cellIs" dxfId="126" priority="9" operator="equal">
      <formula>"GREEN"</formula>
    </cfRule>
  </conditionalFormatting>
  <conditionalFormatting sqref="C2:K9">
    <cfRule type="cellIs" dxfId="125" priority="16" operator="equal">
      <formula>"AMBER"</formula>
    </cfRule>
    <cfRule type="cellIs" dxfId="124" priority="17" operator="equal">
      <formula>"RED"</formula>
    </cfRule>
    <cfRule type="cellIs" dxfId="123" priority="18" operator="equal">
      <formula>"GREEN"</formula>
    </cfRule>
  </conditionalFormatting>
  <conditionalFormatting sqref="B1:B9">
    <cfRule type="cellIs" dxfId="122" priority="10" operator="equal">
      <formula>"AMBER"</formula>
    </cfRule>
    <cfRule type="cellIs" dxfId="121" priority="11" operator="equal">
      <formula>"RED"</formula>
    </cfRule>
    <cfRule type="cellIs" dxfId="120" priority="12" operator="equal">
      <formula>"GREEN"</formula>
    </cfRule>
  </conditionalFormatting>
  <conditionalFormatting sqref="D12:I14 C10:I11">
    <cfRule type="cellIs" dxfId="119" priority="4" operator="equal">
      <formula>"AMBER"</formula>
    </cfRule>
    <cfRule type="cellIs" dxfId="118" priority="5" operator="equal">
      <formula>"RED"</formula>
    </cfRule>
    <cfRule type="cellIs" dxfId="117" priority="6" operator="equal">
      <formula>"GREEN"</formula>
    </cfRule>
  </conditionalFormatting>
  <conditionalFormatting sqref="B10:B11">
    <cfRule type="cellIs" dxfId="116" priority="1" operator="equal">
      <formula>"AMBER"</formula>
    </cfRule>
    <cfRule type="cellIs" dxfId="115" priority="2" operator="equal">
      <formula>"RED"</formula>
    </cfRule>
    <cfRule type="cellIs" dxfId="114" priority="3" operator="equal">
      <formula>"GREEN"</formula>
    </cfRule>
  </conditionalFormatting>
  <hyperlinks>
    <hyperlink ref="A1" location="'1.Header'!A1" display="1.Header"/>
    <hyperlink ref="A2" location="'2.Milestones'!MILESTONESTART" display="2.Milestones"/>
    <hyperlink ref="A3" location="'2.Milestones'!ISSUESTART" display="3.Issues"/>
    <hyperlink ref="A4" location="'4.Risks'!RISKSTART" display="4.Risks"/>
    <hyperlink ref="A5" location="'5.Changes'!CHANGESTART" display="5.Changes"/>
    <hyperlink ref="A6" location="'6.Dependencies'!DEPENDENCYSTART" display="6.Dependencies"/>
    <hyperlink ref="A7" location="'7.Measures'!MEASURESTART" display="7.Measures"/>
    <hyperlink ref="A8" location="'8.Communications'!COMMUNICATIONSTART" display="8.Communications"/>
    <hyperlink ref="A9" location="'9.Finance'!FINANCESTART" display="9.Finance"/>
    <hyperlink ref="B32" location="Legend!A1" display="See Legend"/>
  </hyperlinks>
  <pageMargins left="0.75" right="0.75" top="1" bottom="1" header="0.5" footer="0.5"/>
  <pageSetup paperSize="9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4.xml><?xml version="1.0" encoding="utf-8"?>
<worksheet xmlns="http://schemas.openxmlformats.org/spreadsheetml/2006/main" xmlns:r="http://schemas.openxmlformats.org/officeDocument/2006/relationships">
  <sheetPr enableFormatConditionsCalculation="0">
    <tabColor rgb="FFCCFFCC"/>
    <pageSetUpPr fitToPage="1"/>
  </sheetPr>
  <dimension ref="A1:O51"/>
  <sheetViews>
    <sheetView showGridLines="0" workbookViewId="0">
      <selection activeCell="D19" sqref="D19"/>
    </sheetView>
  </sheetViews>
  <sheetFormatPr defaultColWidth="11.42578125" defaultRowHeight="12.75"/>
  <cols>
    <col min="1" max="1" width="14" style="4" bestFit="1" customWidth="1"/>
    <col min="3" max="3" width="36.85546875" customWidth="1"/>
    <col min="4" max="4" width="43.140625" customWidth="1"/>
    <col min="5" max="5" width="21.28515625" customWidth="1"/>
    <col min="6" max="6" width="3.42578125" style="5" customWidth="1"/>
    <col min="7" max="7" width="0" hidden="1" customWidth="1"/>
  </cols>
  <sheetData>
    <row r="1" spans="1:15" s="4" customFormat="1">
      <c r="A1" s="78" t="s">
        <v>77</v>
      </c>
      <c r="B1" s="43" t="str">
        <f>OVERALLLIGHT</f>
        <v>RED</v>
      </c>
      <c r="F1" s="83"/>
    </row>
    <row r="2" spans="1:15" s="4" customFormat="1">
      <c r="A2" s="79" t="s">
        <v>167</v>
      </c>
      <c r="B2" s="44" t="str">
        <f>MILESTONELIGHT</f>
        <v>GREEN</v>
      </c>
      <c r="F2" s="83"/>
    </row>
    <row r="3" spans="1:15" s="4" customFormat="1">
      <c r="A3" s="79" t="s">
        <v>72</v>
      </c>
      <c r="B3" s="44" t="str">
        <f>ISSUELIGHT</f>
        <v>GREEN</v>
      </c>
      <c r="F3" s="83"/>
    </row>
    <row r="4" spans="1:15" s="4" customFormat="1">
      <c r="A4" s="79" t="s">
        <v>78</v>
      </c>
      <c r="B4" s="44" t="str">
        <f>RISKLIGHT</f>
        <v>RED</v>
      </c>
      <c r="F4" s="83"/>
    </row>
    <row r="5" spans="1:15" s="4" customFormat="1">
      <c r="A5" s="79" t="s">
        <v>79</v>
      </c>
      <c r="B5" s="44" t="str">
        <f>CHANGELIGHT</f>
        <v>GREEN</v>
      </c>
      <c r="F5" s="83"/>
    </row>
    <row r="6" spans="1:15" s="4" customFormat="1">
      <c r="A6" s="79" t="s">
        <v>73</v>
      </c>
      <c r="B6" s="45" t="str">
        <f>DEPENDENCYLIGHT</f>
        <v/>
      </c>
      <c r="F6" s="83"/>
    </row>
    <row r="7" spans="1:15" s="4" customFormat="1">
      <c r="A7" s="79" t="s">
        <v>74</v>
      </c>
      <c r="B7" s="45" t="str">
        <f>MEASURELIGHT</f>
        <v/>
      </c>
      <c r="F7" s="83"/>
    </row>
    <row r="8" spans="1:15" s="4" customFormat="1" ht="15">
      <c r="A8" s="79" t="s">
        <v>75</v>
      </c>
      <c r="B8" s="44" t="str">
        <f>COMMUNICATIONLIGHT</f>
        <v>GREEN</v>
      </c>
      <c r="D8" s="18"/>
      <c r="F8" s="83"/>
    </row>
    <row r="9" spans="1:15" s="4" customFormat="1" ht="15">
      <c r="A9" s="79" t="s">
        <v>76</v>
      </c>
      <c r="B9" s="46" t="str">
        <f>FINANCELIGHT</f>
        <v>RED</v>
      </c>
      <c r="D9" s="18"/>
      <c r="F9" s="83"/>
    </row>
    <row r="10" spans="1:15" s="5" customFormat="1">
      <c r="A10" s="79"/>
      <c r="B10" s="175"/>
      <c r="N10" s="11"/>
    </row>
    <row r="11" spans="1:15" s="5" customFormat="1" ht="17.25">
      <c r="A11" s="79"/>
      <c r="B11" s="173" t="str">
        <f>ProjNo</f>
        <v>RT029</v>
      </c>
      <c r="C11" s="174" t="str">
        <f>ProjName</f>
        <v>Cloud Based Bioinformatics Tools</v>
      </c>
      <c r="N11" s="11"/>
    </row>
    <row r="12" spans="1:15" s="5" customFormat="1" ht="17.25">
      <c r="A12" s="79"/>
      <c r="B12" s="171" t="s">
        <v>111</v>
      </c>
      <c r="C12" s="176">
        <f>ReportFrom</f>
        <v>41011</v>
      </c>
      <c r="D12" s="168"/>
      <c r="N12" s="11"/>
    </row>
    <row r="13" spans="1:15" s="5" customFormat="1" ht="17.25">
      <c r="A13" s="79"/>
      <c r="B13" s="172" t="s">
        <v>112</v>
      </c>
      <c r="C13" s="177">
        <f>LastDateReport</f>
        <v>41061</v>
      </c>
      <c r="D13" s="168"/>
      <c r="N13" s="11"/>
    </row>
    <row r="14" spans="1:15" s="5" customFormat="1" ht="6" customHeight="1">
      <c r="A14" s="79"/>
      <c r="B14" s="169"/>
      <c r="C14" s="170"/>
      <c r="D14" s="168"/>
      <c r="N14" s="11"/>
    </row>
    <row r="15" spans="1:15" ht="19.5">
      <c r="B15" s="13" t="s">
        <v>60</v>
      </c>
      <c r="C15" s="35"/>
      <c r="D15" s="35" t="s">
        <v>96</v>
      </c>
      <c r="E15" s="35" t="str">
        <f>RISKLIGHT</f>
        <v>RED</v>
      </c>
      <c r="F15" s="116"/>
      <c r="G15" s="4"/>
      <c r="H15" s="4"/>
      <c r="I15" s="4"/>
      <c r="J15" s="4"/>
      <c r="K15" s="4"/>
      <c r="L15" s="4"/>
      <c r="M15" s="4"/>
      <c r="N15" s="4"/>
      <c r="O15" s="4"/>
    </row>
    <row r="16" spans="1:15" ht="17.25">
      <c r="B16" s="311" t="s">
        <v>61</v>
      </c>
      <c r="C16" s="311"/>
      <c r="D16" s="311"/>
      <c r="E16" s="311"/>
      <c r="F16" s="117"/>
      <c r="G16" s="4"/>
      <c r="H16" s="4"/>
      <c r="I16" s="4"/>
      <c r="J16" s="4"/>
      <c r="K16" s="4"/>
      <c r="L16" s="4"/>
      <c r="M16" s="4"/>
      <c r="N16" s="4"/>
      <c r="O16" s="4"/>
    </row>
    <row r="17" spans="1:15" ht="18" thickBot="1">
      <c r="B17" s="312"/>
      <c r="C17" s="312"/>
      <c r="D17" s="312"/>
      <c r="E17" s="312"/>
      <c r="F17" s="118"/>
      <c r="G17" s="4"/>
      <c r="H17" s="4"/>
      <c r="I17" s="4"/>
      <c r="J17" s="4"/>
      <c r="K17" s="4"/>
      <c r="L17" s="4"/>
      <c r="M17" s="4"/>
      <c r="N17" s="4"/>
      <c r="O17" s="4"/>
    </row>
    <row r="18" spans="1:15" ht="24.75">
      <c r="B18" s="48" t="s">
        <v>62</v>
      </c>
      <c r="C18" s="49" t="s">
        <v>63</v>
      </c>
      <c r="D18" s="49" t="s">
        <v>64</v>
      </c>
      <c r="E18" s="50" t="s">
        <v>65</v>
      </c>
      <c r="F18" s="95"/>
      <c r="G18" s="4"/>
      <c r="H18" s="4"/>
      <c r="I18" s="4"/>
      <c r="J18" s="4"/>
      <c r="K18" s="4"/>
      <c r="L18" s="4"/>
      <c r="M18" s="4"/>
      <c r="N18" s="4"/>
      <c r="O18" s="4"/>
    </row>
    <row r="19" spans="1:15" ht="27.95" customHeight="1">
      <c r="A19" s="23" t="s">
        <v>80</v>
      </c>
      <c r="B19" s="108" t="s">
        <v>229</v>
      </c>
      <c r="C19" s="109" t="s">
        <v>230</v>
      </c>
      <c r="D19" s="109" t="s">
        <v>237</v>
      </c>
      <c r="E19" s="329" t="s">
        <v>115</v>
      </c>
      <c r="F19" s="119"/>
      <c r="G19" s="54" t="str">
        <f>IF(C19&gt;0,"","ENTER RISK 1")</f>
        <v/>
      </c>
      <c r="H19" s="4"/>
      <c r="I19" s="4"/>
      <c r="J19" s="4"/>
      <c r="K19" s="4"/>
      <c r="L19" s="4"/>
      <c r="M19" s="4"/>
      <c r="N19" s="4"/>
      <c r="O19" s="4"/>
    </row>
    <row r="20" spans="1:15" ht="27.95" customHeight="1">
      <c r="B20" s="330">
        <v>1</v>
      </c>
      <c r="C20" s="331" t="s">
        <v>231</v>
      </c>
      <c r="D20" s="109" t="s">
        <v>232</v>
      </c>
      <c r="E20" s="329" t="s">
        <v>114</v>
      </c>
      <c r="F20" s="119"/>
      <c r="G20" s="54" t="str">
        <f>IF(C20&gt;0,"","ENTER RISK 2")</f>
        <v/>
      </c>
      <c r="H20" s="4"/>
      <c r="I20" s="4"/>
      <c r="J20" s="4"/>
      <c r="K20" s="4"/>
      <c r="L20" s="4"/>
      <c r="M20" s="4"/>
      <c r="N20" s="4"/>
      <c r="O20" s="4"/>
    </row>
    <row r="21" spans="1:15" ht="27.95" customHeight="1">
      <c r="B21" s="330">
        <v>2</v>
      </c>
      <c r="C21" s="331" t="s">
        <v>233</v>
      </c>
      <c r="D21" s="109" t="s">
        <v>234</v>
      </c>
      <c r="E21" s="329" t="s">
        <v>114</v>
      </c>
      <c r="F21" s="119"/>
      <c r="G21" s="54" t="str">
        <f>IF(C21&gt;0,"","ENTER RISK 3")</f>
        <v/>
      </c>
      <c r="H21" s="4"/>
      <c r="I21" s="4"/>
      <c r="J21" s="4"/>
      <c r="K21" s="4"/>
      <c r="L21" s="4"/>
      <c r="M21" s="4"/>
      <c r="N21" s="4"/>
      <c r="O21" s="4"/>
    </row>
    <row r="22" spans="1:15" ht="27.95" customHeight="1">
      <c r="B22" s="330">
        <v>3</v>
      </c>
      <c r="C22" s="331" t="s">
        <v>235</v>
      </c>
      <c r="D22" s="109" t="s">
        <v>236</v>
      </c>
      <c r="E22" s="329" t="s">
        <v>114</v>
      </c>
      <c r="F22" s="119"/>
      <c r="G22" s="54" t="str">
        <f>IF(C22&gt;0,"","ENTER RISK 4")</f>
        <v/>
      </c>
      <c r="H22" s="4"/>
      <c r="I22" s="4"/>
      <c r="J22" s="4"/>
      <c r="K22" s="4"/>
      <c r="L22" s="4"/>
      <c r="M22" s="4"/>
      <c r="N22" s="4"/>
      <c r="O22" s="4"/>
    </row>
    <row r="23" spans="1:15" ht="27.95" customHeight="1" thickBot="1">
      <c r="B23" s="55"/>
      <c r="C23" s="56"/>
      <c r="D23" s="51"/>
      <c r="E23" s="213"/>
      <c r="F23" s="119"/>
      <c r="G23" s="54" t="str">
        <f>IF(C23&gt;0,"","ENTER RISK 5")</f>
        <v>ENTER RISK 5</v>
      </c>
      <c r="H23" s="4"/>
      <c r="I23" s="4"/>
      <c r="J23" s="4"/>
      <c r="K23" s="4"/>
      <c r="L23" s="4"/>
      <c r="M23" s="4"/>
      <c r="N23" s="4"/>
      <c r="O23" s="4"/>
    </row>
    <row r="24" spans="1:15">
      <c r="B24" s="10"/>
      <c r="C24" s="10"/>
      <c r="D24" s="10"/>
      <c r="E24" s="10"/>
      <c r="F24" s="88"/>
      <c r="G24" s="4"/>
      <c r="H24" s="4"/>
      <c r="I24" s="4"/>
      <c r="J24" s="4"/>
      <c r="K24" s="4"/>
      <c r="L24" s="4"/>
      <c r="M24" s="4"/>
      <c r="N24" s="4"/>
      <c r="O24" s="4"/>
    </row>
    <row r="25" spans="1:15" ht="14.1" customHeight="1">
      <c r="B25" s="309" t="s">
        <v>152</v>
      </c>
      <c r="C25" s="309"/>
      <c r="D25" s="309"/>
      <c r="E25" s="309"/>
      <c r="F25" s="83"/>
      <c r="G25" t="str">
        <f>IF(COUNTIF(G19:G23,"ENTER*")&gt;0,"RED","GREEN")</f>
        <v>RED</v>
      </c>
    </row>
    <row r="26" spans="1:15">
      <c r="F26" s="83"/>
    </row>
    <row r="27" spans="1:15">
      <c r="F27" s="83"/>
    </row>
    <row r="28" spans="1:15">
      <c r="F28" s="83"/>
    </row>
    <row r="29" spans="1:15">
      <c r="F29" s="83"/>
    </row>
    <row r="30" spans="1:15">
      <c r="F30" s="83"/>
    </row>
    <row r="31" spans="1:15">
      <c r="F31" s="83"/>
    </row>
    <row r="32" spans="1:15">
      <c r="F32" s="83"/>
    </row>
    <row r="33" spans="2:6">
      <c r="F33" s="83"/>
    </row>
    <row r="34" spans="2:6">
      <c r="C34" s="19"/>
      <c r="F34" s="83"/>
    </row>
    <row r="35" spans="2:6">
      <c r="C35" s="20"/>
      <c r="F35" s="83"/>
    </row>
    <row r="36" spans="2:6">
      <c r="C36" s="19"/>
      <c r="F36" s="83"/>
    </row>
    <row r="37" spans="2:6">
      <c r="C37" s="19"/>
      <c r="F37" s="83"/>
    </row>
    <row r="38" spans="2:6">
      <c r="C38" s="19"/>
      <c r="F38" s="83"/>
    </row>
    <row r="39" spans="2:6">
      <c r="C39" s="19"/>
      <c r="F39" s="83"/>
    </row>
    <row r="40" spans="2:6">
      <c r="C40" s="19"/>
    </row>
    <row r="41" spans="2:6">
      <c r="C41" s="19"/>
    </row>
    <row r="42" spans="2:6">
      <c r="C42" s="19"/>
    </row>
    <row r="43" spans="2:6">
      <c r="B43" s="19"/>
    </row>
    <row r="44" spans="2:6">
      <c r="B44" s="19"/>
    </row>
    <row r="45" spans="2:6">
      <c r="B45" s="19"/>
    </row>
    <row r="46" spans="2:6">
      <c r="B46" s="19"/>
    </row>
    <row r="47" spans="2:6">
      <c r="B47" s="19"/>
    </row>
    <row r="48" spans="2:6">
      <c r="B48" s="19"/>
    </row>
    <row r="49" spans="2:2">
      <c r="B49" s="19"/>
    </row>
    <row r="50" spans="2:2">
      <c r="B50" s="19"/>
    </row>
    <row r="51" spans="2:2">
      <c r="B51" s="19"/>
    </row>
  </sheetData>
  <sheetProtection sheet="1" objects="1" scenarios="1" selectLockedCells="1"/>
  <mergeCells count="3">
    <mergeCell ref="B16:E16"/>
    <mergeCell ref="B17:E17"/>
    <mergeCell ref="B25:E25"/>
  </mergeCells>
  <phoneticPr fontId="7" type="noConversion"/>
  <conditionalFormatting sqref="B1 B15:G24 B26:G28 F25:G25">
    <cfRule type="cellIs" dxfId="113" priority="16" operator="equal">
      <formula>"AMBER"</formula>
    </cfRule>
    <cfRule type="cellIs" dxfId="112" priority="17" operator="equal">
      <formula>"RED"</formula>
    </cfRule>
    <cfRule type="cellIs" dxfId="111" priority="18" operator="equal">
      <formula>"GREEN"</formula>
    </cfRule>
  </conditionalFormatting>
  <conditionalFormatting sqref="C2:G9">
    <cfRule type="cellIs" dxfId="110" priority="25" operator="equal">
      <formula>"AMBER"</formula>
    </cfRule>
    <cfRule type="cellIs" dxfId="109" priority="26" operator="equal">
      <formula>"RED"</formula>
    </cfRule>
    <cfRule type="cellIs" dxfId="108" priority="27" operator="equal">
      <formula>"GREEN"</formula>
    </cfRule>
  </conditionalFormatting>
  <conditionalFormatting sqref="B1:B9">
    <cfRule type="cellIs" dxfId="107" priority="19" operator="equal">
      <formula>"AMBER"</formula>
    </cfRule>
    <cfRule type="cellIs" dxfId="106" priority="20" operator="equal">
      <formula>"RED"</formula>
    </cfRule>
    <cfRule type="cellIs" dxfId="105" priority="21" operator="equal">
      <formula>"GREEN"</formula>
    </cfRule>
  </conditionalFormatting>
  <conditionalFormatting sqref="D12:I14 C10:I11">
    <cfRule type="cellIs" dxfId="104" priority="13" operator="equal">
      <formula>"AMBER"</formula>
    </cfRule>
    <cfRule type="cellIs" dxfId="103" priority="14" operator="equal">
      <formula>"RED"</formula>
    </cfRule>
    <cfRule type="cellIs" dxfId="102" priority="15" operator="equal">
      <formula>"GREEN"</formula>
    </cfRule>
  </conditionalFormatting>
  <conditionalFormatting sqref="B10:B11">
    <cfRule type="cellIs" dxfId="101" priority="10" operator="equal">
      <formula>"AMBER"</formula>
    </cfRule>
    <cfRule type="cellIs" dxfId="100" priority="11" operator="equal">
      <formula>"RED"</formula>
    </cfRule>
    <cfRule type="cellIs" dxfId="99" priority="12" operator="equal">
      <formula>"GREEN"</formula>
    </cfRule>
  </conditionalFormatting>
  <conditionalFormatting sqref="B19:E22">
    <cfRule type="cellIs" dxfId="20" priority="7" operator="equal">
      <formula>"AMBER"</formula>
    </cfRule>
    <cfRule type="cellIs" dxfId="19" priority="8" operator="equal">
      <formula>"RED"</formula>
    </cfRule>
    <cfRule type="cellIs" dxfId="18" priority="9" operator="equal">
      <formula>"GREEN"</formula>
    </cfRule>
  </conditionalFormatting>
  <conditionalFormatting sqref="B19">
    <cfRule type="cellIs" dxfId="17" priority="4" operator="equal">
      <formula>"AMBER"</formula>
    </cfRule>
    <cfRule type="cellIs" dxfId="16" priority="5" operator="equal">
      <formula>"RED"</formula>
    </cfRule>
    <cfRule type="cellIs" dxfId="15" priority="6" operator="equal">
      <formula>"GREEN"</formula>
    </cfRule>
  </conditionalFormatting>
  <conditionalFormatting sqref="C19">
    <cfRule type="cellIs" dxfId="14" priority="1" operator="equal">
      <formula>"AMBER"</formula>
    </cfRule>
    <cfRule type="cellIs" dxfId="13" priority="2" operator="equal">
      <formula>"RED"</formula>
    </cfRule>
    <cfRule type="cellIs" dxfId="12" priority="3" operator="equal">
      <formula>"GREEN"</formula>
    </cfRule>
  </conditionalFormatting>
  <dataValidations count="1">
    <dataValidation type="list" allowBlank="1" showInputMessage="1" showErrorMessage="1" sqref="E19:E23">
      <formula1>RiskRating</formula1>
    </dataValidation>
  </dataValidations>
  <hyperlinks>
    <hyperlink ref="A1" location="'1.Header'!A1" display="1.Header"/>
    <hyperlink ref="A2" location="'2.Milestones'!MILESTONESTART" display="2.Milestones"/>
    <hyperlink ref="A3" location="'2.Milestones'!ISSUESTART" display="3.Issues"/>
    <hyperlink ref="A4" location="'4.Risks'!RISKSTART" display="4.Risks"/>
    <hyperlink ref="A5" location="'5.Changes'!CHANGESTART" display="5.Changes"/>
    <hyperlink ref="A6" location="'6.Dependencies'!DEPENDENCYSTART" display="6.Dependencies"/>
    <hyperlink ref="A7" location="'7.Measures'!MEASURESTART" display="7.Measures"/>
    <hyperlink ref="A8" location="'8.Communications'!COMMUNICATIONSTART" display="8.Communications"/>
    <hyperlink ref="A9" location="'9.Finance'!FINANCESTART" display="9.Finance"/>
    <hyperlink ref="B25" location="Legend!A1" display="See Legend"/>
  </hyperlinks>
  <pageMargins left="0.75" right="0.75" top="1" bottom="1" header="0.5" footer="0.5"/>
  <pageSetup paperSize="9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5.xml><?xml version="1.0" encoding="utf-8"?>
<worksheet xmlns="http://schemas.openxmlformats.org/spreadsheetml/2006/main" xmlns:r="http://schemas.openxmlformats.org/officeDocument/2006/relationships">
  <sheetPr enableFormatConditionsCalculation="0">
    <tabColor theme="4" tint="0.59999389629810485"/>
    <pageSetUpPr fitToPage="1"/>
  </sheetPr>
  <dimension ref="A1:AB51"/>
  <sheetViews>
    <sheetView showGridLines="0" workbookViewId="0">
      <selection activeCell="I19" sqref="I19"/>
    </sheetView>
  </sheetViews>
  <sheetFormatPr defaultColWidth="11.42578125" defaultRowHeight="12.75"/>
  <cols>
    <col min="1" max="1" width="14" style="4" bestFit="1" customWidth="1"/>
    <col min="2" max="2" width="14" style="5" bestFit="1" customWidth="1"/>
    <col min="3" max="3" width="35.28515625" style="5" customWidth="1"/>
    <col min="4" max="4" width="11" style="5" bestFit="1" customWidth="1"/>
    <col min="5" max="5" width="10.140625" style="5" bestFit="1" customWidth="1"/>
    <col min="6" max="6" width="15.140625" style="5" customWidth="1"/>
    <col min="7" max="8" width="13.140625" style="5" customWidth="1"/>
    <col min="9" max="9" width="15.7109375" style="5" customWidth="1"/>
    <col min="10" max="10" width="2.7109375" style="83" customWidth="1"/>
    <col min="11" max="11" width="10.85546875" style="83"/>
    <col min="12" max="14" width="0" hidden="1" customWidth="1"/>
  </cols>
  <sheetData>
    <row r="1" spans="1:28" s="4" customFormat="1">
      <c r="A1" s="78" t="s">
        <v>77</v>
      </c>
      <c r="B1" s="43" t="str">
        <f>OVERALLLIGHT</f>
        <v>RED</v>
      </c>
      <c r="C1" s="251"/>
      <c r="D1" s="5"/>
      <c r="E1" s="5"/>
      <c r="F1" s="5"/>
      <c r="G1" s="5"/>
      <c r="H1" s="5"/>
      <c r="I1" s="5"/>
      <c r="J1" s="83"/>
      <c r="K1" s="83"/>
    </row>
    <row r="2" spans="1:28" s="4" customFormat="1">
      <c r="A2" s="79" t="s">
        <v>167</v>
      </c>
      <c r="B2" s="44" t="str">
        <f>MILESTONELIGHT</f>
        <v>GREEN</v>
      </c>
      <c r="C2" s="38"/>
      <c r="D2" s="5"/>
      <c r="E2" s="5"/>
      <c r="F2" s="5"/>
      <c r="G2" s="5"/>
      <c r="H2" s="5"/>
      <c r="I2" s="5"/>
      <c r="J2" s="83"/>
      <c r="K2" s="83"/>
    </row>
    <row r="3" spans="1:28" s="4" customFormat="1">
      <c r="A3" s="79" t="s">
        <v>72</v>
      </c>
      <c r="B3" s="44" t="str">
        <f>ISSUELIGHT</f>
        <v>GREEN</v>
      </c>
      <c r="C3" s="38"/>
      <c r="D3" s="5"/>
      <c r="E3" s="5"/>
      <c r="F3" s="5"/>
      <c r="G3" s="5"/>
      <c r="H3" s="5"/>
      <c r="I3" s="5"/>
      <c r="J3" s="83"/>
      <c r="K3" s="83"/>
    </row>
    <row r="4" spans="1:28" s="4" customFormat="1">
      <c r="A4" s="79" t="s">
        <v>78</v>
      </c>
      <c r="B4" s="44" t="str">
        <f>RISKLIGHT</f>
        <v>RED</v>
      </c>
      <c r="C4" s="38"/>
      <c r="D4" s="5"/>
      <c r="E4" s="5"/>
      <c r="F4" s="5"/>
      <c r="G4" s="5"/>
      <c r="H4" s="5"/>
      <c r="I4" s="5"/>
      <c r="J4" s="83"/>
      <c r="K4" s="83"/>
    </row>
    <row r="5" spans="1:28" s="4" customFormat="1">
      <c r="A5" s="79" t="s">
        <v>79</v>
      </c>
      <c r="B5" s="44" t="str">
        <f>CHANGELIGHT</f>
        <v>GREEN</v>
      </c>
      <c r="C5" s="38"/>
      <c r="D5" s="5"/>
      <c r="E5" s="5"/>
      <c r="F5" s="5"/>
      <c r="G5" s="5"/>
      <c r="H5" s="5"/>
      <c r="I5" s="5"/>
      <c r="J5" s="83"/>
      <c r="K5" s="83"/>
    </row>
    <row r="6" spans="1:28" s="4" customFormat="1">
      <c r="A6" s="79" t="s">
        <v>73</v>
      </c>
      <c r="B6" s="45" t="str">
        <f>DEPENDENCYLIGHT</f>
        <v/>
      </c>
      <c r="C6" s="38"/>
      <c r="D6" s="5"/>
      <c r="E6" s="5"/>
      <c r="F6" s="5"/>
      <c r="G6" s="5"/>
      <c r="H6" s="5"/>
      <c r="I6" s="5"/>
      <c r="J6" s="83"/>
      <c r="K6" s="83"/>
    </row>
    <row r="7" spans="1:28" s="4" customFormat="1">
      <c r="A7" s="79" t="s">
        <v>74</v>
      </c>
      <c r="B7" s="45" t="str">
        <f>MEASURELIGHT</f>
        <v/>
      </c>
      <c r="C7" s="38"/>
      <c r="D7" s="5"/>
      <c r="E7" s="5"/>
      <c r="F7" s="5"/>
      <c r="G7" s="5"/>
      <c r="H7" s="5"/>
      <c r="I7" s="5"/>
      <c r="J7" s="83"/>
      <c r="K7" s="83"/>
    </row>
    <row r="8" spans="1:28" s="4" customFormat="1" ht="15">
      <c r="A8" s="79" t="s">
        <v>75</v>
      </c>
      <c r="B8" s="44" t="str">
        <f>COMMUNICATIONLIGHT</f>
        <v>GREEN</v>
      </c>
      <c r="C8" s="38"/>
      <c r="D8" s="5"/>
      <c r="E8" s="18"/>
      <c r="F8" s="5"/>
      <c r="G8" s="5"/>
      <c r="H8" s="5"/>
      <c r="I8" s="5"/>
      <c r="J8" s="83"/>
      <c r="K8" s="83"/>
    </row>
    <row r="9" spans="1:28" s="4" customFormat="1" ht="15">
      <c r="A9" s="79" t="s">
        <v>76</v>
      </c>
      <c r="B9" s="46" t="str">
        <f>FINANCELIGHT</f>
        <v>RED</v>
      </c>
      <c r="C9" s="38"/>
      <c r="D9" s="5"/>
      <c r="E9" s="18"/>
      <c r="F9" s="5"/>
      <c r="G9" s="5"/>
      <c r="H9" s="5"/>
      <c r="I9" s="5"/>
      <c r="J9" s="83"/>
      <c r="K9" s="83"/>
    </row>
    <row r="10" spans="1:28" s="5" customFormat="1">
      <c r="A10" s="79"/>
      <c r="B10" s="175"/>
      <c r="C10" s="38"/>
      <c r="O10" s="11"/>
    </row>
    <row r="11" spans="1:28" s="5" customFormat="1" ht="17.25">
      <c r="A11" s="79"/>
      <c r="B11" s="173" t="str">
        <f>ProjNo</f>
        <v>RT029</v>
      </c>
      <c r="C11" s="174"/>
      <c r="D11" s="174" t="str">
        <f>ProjName</f>
        <v>Cloud Based Bioinformatics Tools</v>
      </c>
      <c r="O11" s="11"/>
    </row>
    <row r="12" spans="1:28" s="5" customFormat="1" ht="17.25">
      <c r="A12" s="79"/>
      <c r="B12" s="171" t="s">
        <v>111</v>
      </c>
      <c r="C12" s="169"/>
      <c r="D12" s="176">
        <f>ReportFrom</f>
        <v>41011</v>
      </c>
      <c r="E12" s="168"/>
      <c r="O12" s="11"/>
    </row>
    <row r="13" spans="1:28" s="5" customFormat="1" ht="17.25">
      <c r="A13" s="79"/>
      <c r="B13" s="172" t="s">
        <v>112</v>
      </c>
      <c r="C13" s="252"/>
      <c r="D13" s="177">
        <f>LastDateReport</f>
        <v>41061</v>
      </c>
      <c r="E13" s="168"/>
      <c r="O13" s="11"/>
    </row>
    <row r="14" spans="1:28" s="5" customFormat="1" ht="6" customHeight="1">
      <c r="A14" s="79"/>
      <c r="B14" s="169"/>
      <c r="C14" s="169"/>
      <c r="D14" s="170"/>
      <c r="E14" s="168"/>
      <c r="O14" s="11"/>
    </row>
    <row r="15" spans="1:28" s="4" customFormat="1" ht="19.5">
      <c r="B15" s="13" t="s">
        <v>10</v>
      </c>
      <c r="C15" s="13"/>
      <c r="D15" s="13"/>
      <c r="E15" s="13"/>
      <c r="F15" s="13"/>
      <c r="G15" s="13"/>
      <c r="H15" s="13" t="s">
        <v>96</v>
      </c>
      <c r="I15" s="13" t="str">
        <f>CHANGELIGHT</f>
        <v>GREEN</v>
      </c>
      <c r="J15" s="120"/>
      <c r="K15" s="120"/>
      <c r="L15" s="1" t="s">
        <v>38</v>
      </c>
      <c r="M15" s="1"/>
      <c r="N15" s="1">
        <f>B29</f>
        <v>0</v>
      </c>
      <c r="AB15" s="2"/>
    </row>
    <row r="16" spans="1:28" s="4" customFormat="1" ht="17.25">
      <c r="B16" s="52" t="s">
        <v>11</v>
      </c>
      <c r="C16" s="238"/>
      <c r="D16" s="52"/>
      <c r="E16" s="52"/>
      <c r="F16" s="52"/>
      <c r="G16" s="52"/>
      <c r="H16" s="52"/>
      <c r="I16" s="52"/>
      <c r="J16" s="117"/>
      <c r="K16" s="117"/>
      <c r="L16" s="1" t="s">
        <v>37</v>
      </c>
      <c r="M16" s="1"/>
      <c r="N16" s="1" t="str">
        <f>K29</f>
        <v/>
      </c>
      <c r="AB16" s="2"/>
    </row>
    <row r="17" spans="1:28" s="4" customFormat="1" ht="13.5" thickBot="1">
      <c r="B17" s="38"/>
      <c r="C17" s="38"/>
      <c r="D17" s="38"/>
      <c r="E17" s="38"/>
      <c r="F17" s="38"/>
      <c r="G17" s="38"/>
      <c r="H17" s="38"/>
      <c r="I17" s="38"/>
      <c r="J17" s="81"/>
      <c r="K17" s="81"/>
      <c r="L17" s="1" t="s">
        <v>36</v>
      </c>
      <c r="M17" s="1"/>
      <c r="N17" s="1">
        <f>G29</f>
        <v>1</v>
      </c>
      <c r="AB17" s="2"/>
    </row>
    <row r="18" spans="1:28" s="4" customFormat="1" ht="30" customHeight="1">
      <c r="B18" s="58" t="s">
        <v>13</v>
      </c>
      <c r="C18" s="253" t="s">
        <v>157</v>
      </c>
      <c r="D18" s="59" t="s">
        <v>40</v>
      </c>
      <c r="E18" s="59" t="s">
        <v>41</v>
      </c>
      <c r="F18" s="59" t="s">
        <v>14</v>
      </c>
      <c r="G18" s="59" t="s">
        <v>15</v>
      </c>
      <c r="H18" s="59" t="s">
        <v>139</v>
      </c>
      <c r="I18" s="60" t="s">
        <v>16</v>
      </c>
      <c r="J18" s="121"/>
      <c r="K18" s="122" t="s">
        <v>39</v>
      </c>
      <c r="AB18" s="2"/>
    </row>
    <row r="19" spans="1:28" s="4" customFormat="1" ht="27.95" customHeight="1">
      <c r="A19" s="23" t="s">
        <v>80</v>
      </c>
      <c r="B19" s="61" t="s">
        <v>225</v>
      </c>
      <c r="C19" s="254" t="s">
        <v>226</v>
      </c>
      <c r="D19" s="24"/>
      <c r="E19" s="180"/>
      <c r="F19" s="57">
        <v>41053</v>
      </c>
      <c r="G19" s="229" t="str">
        <f>IF(ISBLANK(I19),IF(ISBLANK(B19),"","open"),"closed")</f>
        <v>open</v>
      </c>
      <c r="H19" s="42">
        <f>IF(F19&gt;0,F19+28,"")</f>
        <v>41081</v>
      </c>
      <c r="I19" s="62"/>
      <c r="J19" s="123"/>
      <c r="K19" s="124" t="str">
        <f t="shared" ref="K19:K27" si="0">IF(ISBLANK(I19),"",I19-F19)</f>
        <v/>
      </c>
      <c r="L19" s="4" t="str">
        <f t="shared" ref="L19:L27" si="1">IF(G19="OPEN",IF(H19&lt;LastDateReport+1,"DUE","NOT DUE"),"")</f>
        <v>NOT DUE</v>
      </c>
      <c r="M19" s="4" t="str">
        <f t="shared" ref="M19:M27" si="2">IF(L19="DUE",IF(LastDateReport-H19&gt;28,"RED",IF(LastDateReport-H19=1,"GREEN","AMBER")),"")</f>
        <v/>
      </c>
      <c r="AB19" s="2"/>
    </row>
    <row r="20" spans="1:28" s="4" customFormat="1" ht="27.95" customHeight="1">
      <c r="B20" s="63"/>
      <c r="C20" s="255"/>
      <c r="D20" s="24"/>
      <c r="E20" s="181"/>
      <c r="F20" s="57"/>
      <c r="G20" s="229" t="str">
        <f t="shared" ref="G20:G27" si="3">IF(ISBLANK(I20),IF(ISBLANK(B20),"","open"),"closed")</f>
        <v/>
      </c>
      <c r="H20" s="42" t="str">
        <f t="shared" ref="H20:H27" si="4">IF(F20&gt;0,F20+28,"")</f>
        <v/>
      </c>
      <c r="I20" s="62"/>
      <c r="J20" s="123"/>
      <c r="K20" s="124" t="str">
        <f t="shared" si="0"/>
        <v/>
      </c>
      <c r="L20" s="5" t="str">
        <f t="shared" si="1"/>
        <v/>
      </c>
      <c r="M20" s="5" t="str">
        <f t="shared" si="2"/>
        <v/>
      </c>
      <c r="AB20" s="2"/>
    </row>
    <row r="21" spans="1:28" s="4" customFormat="1" ht="27.95" customHeight="1">
      <c r="B21" s="63"/>
      <c r="C21" s="255"/>
      <c r="D21" s="24"/>
      <c r="E21" s="181"/>
      <c r="F21" s="57"/>
      <c r="G21" s="229" t="str">
        <f t="shared" si="3"/>
        <v/>
      </c>
      <c r="H21" s="42" t="str">
        <f t="shared" si="4"/>
        <v/>
      </c>
      <c r="I21" s="62"/>
      <c r="J21" s="123"/>
      <c r="K21" s="124" t="str">
        <f t="shared" si="0"/>
        <v/>
      </c>
      <c r="L21" s="5" t="str">
        <f t="shared" si="1"/>
        <v/>
      </c>
      <c r="M21" s="5" t="str">
        <f t="shared" si="2"/>
        <v/>
      </c>
      <c r="AB21" s="2"/>
    </row>
    <row r="22" spans="1:28" s="4" customFormat="1" ht="27.95" customHeight="1">
      <c r="B22" s="63"/>
      <c r="C22" s="255"/>
      <c r="D22" s="24"/>
      <c r="E22" s="181"/>
      <c r="F22" s="57"/>
      <c r="G22" s="229" t="str">
        <f t="shared" si="3"/>
        <v/>
      </c>
      <c r="H22" s="42" t="str">
        <f t="shared" si="4"/>
        <v/>
      </c>
      <c r="I22" s="62"/>
      <c r="J22" s="123"/>
      <c r="K22" s="124" t="str">
        <f t="shared" si="0"/>
        <v/>
      </c>
      <c r="L22" s="5" t="str">
        <f t="shared" si="1"/>
        <v/>
      </c>
      <c r="M22" s="5" t="str">
        <f t="shared" si="2"/>
        <v/>
      </c>
      <c r="AB22" s="2"/>
    </row>
    <row r="23" spans="1:28" s="4" customFormat="1" ht="27.95" customHeight="1">
      <c r="B23" s="63"/>
      <c r="C23" s="255"/>
      <c r="D23" s="24"/>
      <c r="E23" s="181"/>
      <c r="F23" s="57"/>
      <c r="G23" s="229" t="str">
        <f t="shared" si="3"/>
        <v/>
      </c>
      <c r="H23" s="42" t="str">
        <f t="shared" si="4"/>
        <v/>
      </c>
      <c r="I23" s="62"/>
      <c r="J23" s="123"/>
      <c r="K23" s="124" t="str">
        <f t="shared" si="0"/>
        <v/>
      </c>
      <c r="L23" s="5" t="str">
        <f t="shared" si="1"/>
        <v/>
      </c>
      <c r="M23" s="5" t="str">
        <f t="shared" si="2"/>
        <v/>
      </c>
      <c r="AB23" s="2"/>
    </row>
    <row r="24" spans="1:28" s="4" customFormat="1" ht="27.95" customHeight="1">
      <c r="B24" s="63"/>
      <c r="C24" s="255"/>
      <c r="D24" s="24"/>
      <c r="E24" s="181"/>
      <c r="F24" s="57"/>
      <c r="G24" s="229" t="str">
        <f t="shared" si="3"/>
        <v/>
      </c>
      <c r="H24" s="42" t="str">
        <f t="shared" si="4"/>
        <v/>
      </c>
      <c r="I24" s="62"/>
      <c r="J24" s="123"/>
      <c r="K24" s="124" t="str">
        <f t="shared" si="0"/>
        <v/>
      </c>
      <c r="L24" s="5" t="str">
        <f t="shared" si="1"/>
        <v/>
      </c>
      <c r="M24" s="5" t="str">
        <f t="shared" si="2"/>
        <v/>
      </c>
      <c r="AB24" s="2"/>
    </row>
    <row r="25" spans="1:28" s="4" customFormat="1" ht="27.95" customHeight="1">
      <c r="B25" s="63"/>
      <c r="C25" s="255"/>
      <c r="D25" s="24"/>
      <c r="E25" s="181"/>
      <c r="F25" s="57"/>
      <c r="G25" s="229" t="str">
        <f t="shared" si="3"/>
        <v/>
      </c>
      <c r="H25" s="42" t="str">
        <f t="shared" si="4"/>
        <v/>
      </c>
      <c r="I25" s="62"/>
      <c r="J25" s="123"/>
      <c r="K25" s="124" t="str">
        <f t="shared" si="0"/>
        <v/>
      </c>
      <c r="L25" s="5" t="str">
        <f t="shared" si="1"/>
        <v/>
      </c>
      <c r="M25" s="5" t="str">
        <f t="shared" si="2"/>
        <v/>
      </c>
      <c r="AB25" s="2"/>
    </row>
    <row r="26" spans="1:28" s="4" customFormat="1" ht="27.95" customHeight="1">
      <c r="B26" s="63"/>
      <c r="C26" s="255"/>
      <c r="D26" s="24"/>
      <c r="E26" s="181"/>
      <c r="F26" s="57"/>
      <c r="G26" s="229" t="str">
        <f t="shared" si="3"/>
        <v/>
      </c>
      <c r="H26" s="42" t="str">
        <f t="shared" si="4"/>
        <v/>
      </c>
      <c r="I26" s="62"/>
      <c r="J26" s="123"/>
      <c r="K26" s="124" t="str">
        <f t="shared" si="0"/>
        <v/>
      </c>
      <c r="L26" s="5" t="str">
        <f t="shared" si="1"/>
        <v/>
      </c>
      <c r="M26" s="5" t="str">
        <f t="shared" si="2"/>
        <v/>
      </c>
      <c r="AB26" s="2"/>
    </row>
    <row r="27" spans="1:28" s="4" customFormat="1" ht="27.95" customHeight="1" thickBot="1">
      <c r="B27" s="64"/>
      <c r="C27" s="256"/>
      <c r="D27" s="65"/>
      <c r="E27" s="182"/>
      <c r="F27" s="66"/>
      <c r="G27" s="229" t="str">
        <f t="shared" si="3"/>
        <v/>
      </c>
      <c r="H27" s="67" t="str">
        <f t="shared" si="4"/>
        <v/>
      </c>
      <c r="I27" s="68"/>
      <c r="J27" s="123"/>
      <c r="K27" s="124" t="str">
        <f t="shared" si="0"/>
        <v/>
      </c>
      <c r="L27" s="5" t="str">
        <f t="shared" si="1"/>
        <v/>
      </c>
      <c r="M27" s="5" t="str">
        <f t="shared" si="2"/>
        <v/>
      </c>
      <c r="AB27" s="2"/>
    </row>
    <row r="28" spans="1:28" s="4" customFormat="1" ht="13.5" thickBot="1">
      <c r="B28" s="41" t="s">
        <v>42</v>
      </c>
      <c r="C28" s="41"/>
      <c r="D28" s="38"/>
      <c r="E28" s="38"/>
      <c r="F28" s="38"/>
      <c r="G28" s="41" t="s">
        <v>43</v>
      </c>
      <c r="H28" s="34"/>
      <c r="I28" s="38"/>
      <c r="J28" s="81"/>
      <c r="K28" s="125" t="s">
        <v>44</v>
      </c>
      <c r="M28" s="37" t="str">
        <f>IF(COUNTIF(M19:M27,"RED")&gt;0,"RED",IF(COUNTIF(M19:M27,"AMBER")&gt;0,"AMBER","GREEN"))</f>
        <v>GREEN</v>
      </c>
      <c r="AB28" s="2"/>
    </row>
    <row r="29" spans="1:28" s="4" customFormat="1">
      <c r="B29" s="39">
        <f>COUNT(B19:B27)</f>
        <v>0</v>
      </c>
      <c r="C29" s="39"/>
      <c r="D29" s="38"/>
      <c r="E29" s="38"/>
      <c r="F29" s="38"/>
      <c r="G29" s="39">
        <f>COUNTIF(G19:G27,"open")</f>
        <v>1</v>
      </c>
      <c r="H29" s="75"/>
      <c r="I29" s="38"/>
      <c r="J29" s="81"/>
      <c r="K29" s="124" t="str">
        <f>IFERROR(AVERAGE(K19:K27),"")</f>
        <v/>
      </c>
      <c r="AB29" s="2"/>
    </row>
    <row r="32" spans="1:28" ht="14.1" customHeight="1">
      <c r="B32" s="309" t="s">
        <v>152</v>
      </c>
      <c r="C32" s="309"/>
      <c r="D32" s="309"/>
      <c r="E32" s="309"/>
    </row>
    <row r="34" spans="2:4">
      <c r="D34" s="19"/>
    </row>
    <row r="35" spans="2:4">
      <c r="D35" s="20"/>
    </row>
    <row r="36" spans="2:4">
      <c r="D36" s="19"/>
    </row>
    <row r="37" spans="2:4">
      <c r="D37" s="19"/>
    </row>
    <row r="38" spans="2:4">
      <c r="D38" s="19"/>
    </row>
    <row r="39" spans="2:4">
      <c r="D39" s="19"/>
    </row>
    <row r="40" spans="2:4">
      <c r="D40" s="19"/>
    </row>
    <row r="41" spans="2:4">
      <c r="D41" s="19"/>
    </row>
    <row r="42" spans="2:4">
      <c r="D42" s="19"/>
    </row>
    <row r="43" spans="2:4">
      <c r="B43" s="19"/>
      <c r="C43" s="19"/>
    </row>
    <row r="44" spans="2:4">
      <c r="B44" s="19"/>
      <c r="C44" s="19"/>
    </row>
    <row r="45" spans="2:4">
      <c r="B45" s="19"/>
      <c r="C45" s="19"/>
    </row>
    <row r="46" spans="2:4">
      <c r="B46" s="19"/>
      <c r="C46" s="19"/>
    </row>
    <row r="47" spans="2:4">
      <c r="B47" s="19"/>
      <c r="C47" s="19"/>
    </row>
    <row r="48" spans="2:4">
      <c r="B48" s="19"/>
      <c r="C48" s="19"/>
    </row>
    <row r="49" spans="2:3">
      <c r="B49" s="19"/>
      <c r="C49" s="19"/>
    </row>
    <row r="50" spans="2:3">
      <c r="B50" s="19"/>
      <c r="C50" s="19"/>
    </row>
    <row r="51" spans="2:3">
      <c r="B51" s="19"/>
      <c r="C51" s="19"/>
    </row>
  </sheetData>
  <sheetProtection sheet="1" objects="1" scenarios="1" selectLockedCells="1"/>
  <mergeCells count="1">
    <mergeCell ref="B32:E32"/>
  </mergeCells>
  <phoneticPr fontId="7" type="noConversion"/>
  <conditionalFormatting sqref="G19:H27">
    <cfRule type="containsText" dxfId="98" priority="20" operator="containsText" text="open">
      <formula>NOT(ISERROR(SEARCH("open",G19)))</formula>
    </cfRule>
  </conditionalFormatting>
  <conditionalFormatting sqref="G19:G27">
    <cfRule type="containsText" dxfId="97" priority="19" operator="containsText" text="open">
      <formula>NOT(ISERROR(SEARCH("open",G19)))</formula>
    </cfRule>
  </conditionalFormatting>
  <conditionalFormatting sqref="B1:C1 B15:N31 B33:N34 F32:N32">
    <cfRule type="cellIs" dxfId="96" priority="7" operator="equal">
      <formula>"AMBER"</formula>
    </cfRule>
    <cfRule type="cellIs" dxfId="95" priority="8" operator="equal">
      <formula>"RED"</formula>
    </cfRule>
    <cfRule type="cellIs" dxfId="94" priority="9" operator="equal">
      <formula>"GREEN"</formula>
    </cfRule>
  </conditionalFormatting>
  <conditionalFormatting sqref="D2:N9">
    <cfRule type="cellIs" dxfId="93" priority="16" operator="equal">
      <formula>"AMBER"</formula>
    </cfRule>
    <cfRule type="cellIs" dxfId="92" priority="17" operator="equal">
      <formula>"RED"</formula>
    </cfRule>
    <cfRule type="cellIs" dxfId="91" priority="18" operator="equal">
      <formula>"GREEN"</formula>
    </cfRule>
  </conditionalFormatting>
  <conditionalFormatting sqref="B1:C9">
    <cfRule type="cellIs" dxfId="90" priority="10" operator="equal">
      <formula>"AMBER"</formula>
    </cfRule>
    <cfRule type="cellIs" dxfId="89" priority="11" operator="equal">
      <formula>"RED"</formula>
    </cfRule>
    <cfRule type="cellIs" dxfId="88" priority="12" operator="equal">
      <formula>"GREEN"</formula>
    </cfRule>
  </conditionalFormatting>
  <conditionalFormatting sqref="E12:J14 D10:J11">
    <cfRule type="cellIs" dxfId="87" priority="4" operator="equal">
      <formula>"AMBER"</formula>
    </cfRule>
    <cfRule type="cellIs" dxfId="86" priority="5" operator="equal">
      <formula>"RED"</formula>
    </cfRule>
    <cfRule type="cellIs" dxfId="85" priority="6" operator="equal">
      <formula>"GREEN"</formula>
    </cfRule>
  </conditionalFormatting>
  <conditionalFormatting sqref="B10:C11">
    <cfRule type="cellIs" dxfId="84" priority="1" operator="equal">
      <formula>"AMBER"</formula>
    </cfRule>
    <cfRule type="cellIs" dxfId="83" priority="2" operator="equal">
      <formula>"RED"</formula>
    </cfRule>
    <cfRule type="cellIs" dxfId="82" priority="3" operator="equal">
      <formula>"GREEN"</formula>
    </cfRule>
  </conditionalFormatting>
  <dataValidations count="2">
    <dataValidation type="whole" allowBlank="1" showInputMessage="1" showErrorMessage="1" errorTitle="Oops" error="Please enter number of whole days only. Use - (minus) to represent a change that will shorten the length of the project." promptTitle="No. of days" prompt="Number of whole days impact. 1 week equals 7 days. -7 means reducing the total length by a week." sqref="D19:D27">
      <formula1>-1000</formula1>
      <formula2>1000</formula2>
    </dataValidation>
    <dataValidation type="whole" allowBlank="1" showInputMessage="1" showErrorMessage="1" promptTitle="Dollars impact" prompt="No. of whole dollars impact on the whole project. Use - (minus) if the project will cost less." sqref="E19:E27">
      <formula1>-1000000</formula1>
      <formula2>1000000</formula2>
    </dataValidation>
  </dataValidations>
  <hyperlinks>
    <hyperlink ref="A1" location="'1.Header'!A1" display="1.Header"/>
    <hyperlink ref="A2" location="'2.Milestones'!MILESTONESTART" display="2.Milestones"/>
    <hyperlink ref="A3" location="'2.Milestones'!ISSUESTART" display="3.Issues"/>
    <hyperlink ref="A4" location="'4.Risks'!RISKSTART" display="4.Risks"/>
    <hyperlink ref="A5" location="'5.Changes'!CHANGESTART" display="5.Changes"/>
    <hyperlink ref="A6" location="'6.Dependencies'!DEPENDENCYSTART" display="6.Dependencies"/>
    <hyperlink ref="A7" location="'7.Measures'!MEASURESTART" display="7.Measures"/>
    <hyperlink ref="A8" location="'8.Communications'!COMMUNICATIONSTART" display="8.Communications"/>
    <hyperlink ref="A9" location="'9.Finance'!FINANCESTART" display="9.Finance"/>
    <hyperlink ref="B32" location="Legend!A1" display="See Legend"/>
  </hyperlinks>
  <pageMargins left="0.75" right="0.75" top="1" bottom="1" header="0.5" footer="0.5"/>
  <pageSetup paperSize="9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6.xml><?xml version="1.0" encoding="utf-8"?>
<worksheet xmlns="http://schemas.openxmlformats.org/spreadsheetml/2006/main" xmlns:r="http://schemas.openxmlformats.org/officeDocument/2006/relationships">
  <sheetPr enableFormatConditionsCalculation="0">
    <tabColor theme="4" tint="0.59999389629810485"/>
    <pageSetUpPr fitToPage="1"/>
  </sheetPr>
  <dimension ref="A1:O60"/>
  <sheetViews>
    <sheetView showGridLines="0" workbookViewId="0">
      <selection activeCell="F20" sqref="F20"/>
    </sheetView>
  </sheetViews>
  <sheetFormatPr defaultColWidth="10.85546875" defaultRowHeight="12.75"/>
  <cols>
    <col min="1" max="1" width="14" style="83" bestFit="1" customWidth="1"/>
    <col min="2" max="2" width="30.42578125" style="83" bestFit="1" customWidth="1"/>
    <col min="3" max="3" width="15.85546875" style="83" bestFit="1" customWidth="1"/>
    <col min="4" max="4" width="11.85546875" style="83" bestFit="1" customWidth="1"/>
    <col min="5" max="5" width="31.42578125" style="83" bestFit="1" customWidth="1"/>
    <col min="6" max="6" width="31.42578125" style="83" customWidth="1"/>
    <col min="7" max="7" width="15.28515625" style="83" hidden="1" customWidth="1"/>
    <col min="8" max="16384" width="10.85546875" style="83"/>
  </cols>
  <sheetData>
    <row r="1" spans="1:15">
      <c r="A1" s="78" t="s">
        <v>77</v>
      </c>
      <c r="B1" s="257" t="str">
        <f>OVERALLLIGHT</f>
        <v>RED</v>
      </c>
    </row>
    <row r="2" spans="1:15">
      <c r="A2" s="79" t="s">
        <v>167</v>
      </c>
      <c r="B2" s="258" t="str">
        <f>MILESTONELIGHT</f>
        <v>GREEN</v>
      </c>
    </row>
    <row r="3" spans="1:15">
      <c r="A3" s="79" t="s">
        <v>72</v>
      </c>
      <c r="B3" s="258" t="str">
        <f>ISSUELIGHT</f>
        <v>GREEN</v>
      </c>
    </row>
    <row r="4" spans="1:15">
      <c r="A4" s="79" t="s">
        <v>78</v>
      </c>
      <c r="B4" s="258" t="str">
        <f>RISKLIGHT</f>
        <v>RED</v>
      </c>
    </row>
    <row r="5" spans="1:15">
      <c r="A5" s="79" t="s">
        <v>79</v>
      </c>
      <c r="B5" s="258" t="str">
        <f>CHANGELIGHT</f>
        <v>GREEN</v>
      </c>
    </row>
    <row r="6" spans="1:15">
      <c r="A6" s="79" t="s">
        <v>73</v>
      </c>
      <c r="B6" s="259" t="str">
        <f>DEPENDENCYLIGHT</f>
        <v/>
      </c>
    </row>
    <row r="7" spans="1:15">
      <c r="A7" s="79" t="s">
        <v>74</v>
      </c>
      <c r="B7" s="259" t="str">
        <f>MEASURELIGHT</f>
        <v/>
      </c>
    </row>
    <row r="8" spans="1:15" ht="15">
      <c r="A8" s="79" t="s">
        <v>75</v>
      </c>
      <c r="B8" s="258" t="str">
        <f>COMMUNICATIONLIGHT</f>
        <v>GREEN</v>
      </c>
      <c r="D8" s="128"/>
    </row>
    <row r="9" spans="1:15" ht="15">
      <c r="A9" s="79" t="s">
        <v>76</v>
      </c>
      <c r="B9" s="260" t="str">
        <f>FINANCELIGHT</f>
        <v>RED</v>
      </c>
      <c r="D9" s="128"/>
    </row>
    <row r="10" spans="1:15">
      <c r="A10" s="90"/>
      <c r="B10" s="261"/>
      <c r="O10" s="89"/>
    </row>
    <row r="11" spans="1:15" ht="17.25">
      <c r="A11" s="90"/>
      <c r="B11" s="262" t="str">
        <f>ProjNo</f>
        <v>RT029</v>
      </c>
      <c r="C11" s="263" t="str">
        <f>ProjName</f>
        <v>Cloud Based Bioinformatics Tools</v>
      </c>
      <c r="O11" s="89"/>
    </row>
    <row r="12" spans="1:15" ht="17.25">
      <c r="A12" s="90"/>
      <c r="B12" s="264" t="s">
        <v>111</v>
      </c>
      <c r="C12" s="265">
        <f>ReportFrom</f>
        <v>41011</v>
      </c>
      <c r="D12" s="266"/>
      <c r="O12" s="89"/>
    </row>
    <row r="13" spans="1:15" ht="17.25">
      <c r="A13" s="90"/>
      <c r="B13" s="267" t="s">
        <v>112</v>
      </c>
      <c r="C13" s="268">
        <f>LastDateReport</f>
        <v>41061</v>
      </c>
      <c r="D13" s="266"/>
      <c r="O13" s="89"/>
    </row>
    <row r="14" spans="1:15" ht="6" customHeight="1">
      <c r="A14" s="90"/>
      <c r="B14" s="269"/>
      <c r="C14" s="270"/>
      <c r="D14" s="266"/>
      <c r="O14" s="89"/>
    </row>
    <row r="15" spans="1:15" ht="19.5">
      <c r="B15" s="120" t="s">
        <v>168</v>
      </c>
      <c r="C15" s="120"/>
      <c r="D15" s="120"/>
      <c r="E15" s="120"/>
      <c r="F15" s="120"/>
    </row>
    <row r="16" spans="1:15" ht="17.25">
      <c r="B16" s="313" t="s">
        <v>224</v>
      </c>
      <c r="C16" s="313"/>
      <c r="D16" s="313"/>
      <c r="E16" s="313"/>
      <c r="F16" s="117"/>
    </row>
    <row r="17" spans="1:7" ht="17.25">
      <c r="B17" s="314"/>
      <c r="C17" s="314"/>
      <c r="D17" s="314"/>
      <c r="E17" s="314"/>
      <c r="F17" s="271"/>
    </row>
    <row r="18" spans="1:7" ht="14.1" customHeight="1">
      <c r="B18" s="296" t="s">
        <v>17</v>
      </c>
      <c r="C18" s="296" t="s">
        <v>18</v>
      </c>
      <c r="D18" s="296" t="s">
        <v>19</v>
      </c>
      <c r="E18" s="296" t="s">
        <v>20</v>
      </c>
      <c r="F18" s="296" t="s">
        <v>27</v>
      </c>
      <c r="G18" s="272" t="s">
        <v>92</v>
      </c>
    </row>
    <row r="19" spans="1:7" ht="26.25">
      <c r="A19" s="135" t="s">
        <v>80</v>
      </c>
      <c r="B19" s="189" t="s">
        <v>213</v>
      </c>
      <c r="C19" s="189" t="s">
        <v>214</v>
      </c>
      <c r="D19" s="184">
        <v>41000</v>
      </c>
      <c r="E19" s="189" t="s">
        <v>175</v>
      </c>
      <c r="F19" s="183" t="s">
        <v>238</v>
      </c>
      <c r="G19" s="122"/>
    </row>
    <row r="20" spans="1:7" ht="39">
      <c r="B20" s="189" t="s">
        <v>215</v>
      </c>
      <c r="C20" s="189" t="s">
        <v>216</v>
      </c>
      <c r="D20" s="184">
        <v>41122</v>
      </c>
      <c r="E20" s="189" t="s">
        <v>217</v>
      </c>
      <c r="F20" s="183"/>
      <c r="G20" s="122"/>
    </row>
    <row r="21" spans="1:7" ht="60">
      <c r="B21" s="189" t="s">
        <v>218</v>
      </c>
      <c r="C21" s="189" t="s">
        <v>219</v>
      </c>
      <c r="D21" s="184"/>
      <c r="E21" s="189" t="s">
        <v>190</v>
      </c>
      <c r="F21" s="183" t="s">
        <v>239</v>
      </c>
      <c r="G21" s="122"/>
    </row>
    <row r="22" spans="1:7" ht="26.25">
      <c r="B22" s="189" t="s">
        <v>220</v>
      </c>
      <c r="C22" s="189" t="s">
        <v>221</v>
      </c>
      <c r="D22" s="184">
        <v>41122</v>
      </c>
      <c r="E22" s="189" t="s">
        <v>217</v>
      </c>
      <c r="F22" s="183"/>
      <c r="G22" s="122"/>
    </row>
    <row r="23" spans="1:7" ht="75">
      <c r="B23" s="189" t="s">
        <v>222</v>
      </c>
      <c r="C23" s="189" t="s">
        <v>223</v>
      </c>
      <c r="D23" s="184">
        <v>41091</v>
      </c>
      <c r="E23" s="189" t="s">
        <v>217</v>
      </c>
      <c r="F23" s="183" t="s">
        <v>240</v>
      </c>
      <c r="G23" s="122"/>
    </row>
    <row r="24" spans="1:7" ht="27.95" customHeight="1">
      <c r="B24" s="183"/>
      <c r="C24" s="183"/>
      <c r="D24" s="184"/>
      <c r="E24" s="183"/>
      <c r="F24" s="183"/>
      <c r="G24" s="122" t="str">
        <f t="shared" ref="G24:G28" si="0">IF(B24&gt;0,"New Dependency","")</f>
        <v/>
      </c>
    </row>
    <row r="25" spans="1:7" ht="27.95" customHeight="1">
      <c r="B25" s="183"/>
      <c r="C25" s="183"/>
      <c r="D25" s="184"/>
      <c r="E25" s="183"/>
      <c r="F25" s="183"/>
      <c r="G25" s="122" t="str">
        <f t="shared" si="0"/>
        <v/>
      </c>
    </row>
    <row r="26" spans="1:7" ht="27.95" customHeight="1">
      <c r="B26" s="183"/>
      <c r="C26" s="183"/>
      <c r="D26" s="184"/>
      <c r="E26" s="183"/>
      <c r="F26" s="183"/>
      <c r="G26" s="122" t="str">
        <f t="shared" si="0"/>
        <v/>
      </c>
    </row>
    <row r="27" spans="1:7" ht="27.95" customHeight="1">
      <c r="B27" s="183"/>
      <c r="C27" s="183"/>
      <c r="D27" s="184"/>
      <c r="E27" s="183"/>
      <c r="F27" s="183"/>
      <c r="G27" s="122" t="str">
        <f t="shared" si="0"/>
        <v/>
      </c>
    </row>
    <row r="28" spans="1:7" ht="27.95" customHeight="1">
      <c r="B28" s="274"/>
      <c r="C28" s="274"/>
      <c r="D28" s="274"/>
      <c r="E28" s="274"/>
      <c r="F28" s="274"/>
      <c r="G28" s="122" t="str">
        <f t="shared" si="0"/>
        <v/>
      </c>
    </row>
    <row r="29" spans="1:7">
      <c r="B29" s="126"/>
      <c r="C29" s="126"/>
      <c r="D29" s="126"/>
      <c r="E29" s="126"/>
      <c r="F29" s="126"/>
    </row>
    <row r="30" spans="1:7" ht="14.1" customHeight="1">
      <c r="B30" s="309" t="s">
        <v>152</v>
      </c>
      <c r="C30" s="309"/>
      <c r="D30" s="309"/>
      <c r="E30" s="309"/>
    </row>
    <row r="42" spans="3:3">
      <c r="C42" s="90"/>
    </row>
    <row r="43" spans="3:3">
      <c r="C43" s="273"/>
    </row>
    <row r="44" spans="3:3">
      <c r="C44" s="90"/>
    </row>
    <row r="45" spans="3:3">
      <c r="C45" s="90"/>
    </row>
    <row r="46" spans="3:3">
      <c r="C46" s="90"/>
    </row>
    <row r="47" spans="3:3">
      <c r="C47" s="90"/>
    </row>
    <row r="48" spans="3:3">
      <c r="C48" s="90"/>
    </row>
    <row r="49" spans="2:3">
      <c r="C49" s="90"/>
    </row>
    <row r="50" spans="2:3">
      <c r="C50" s="90"/>
    </row>
    <row r="52" spans="2:3">
      <c r="B52" s="90"/>
    </row>
    <row r="53" spans="2:3">
      <c r="B53" s="90"/>
    </row>
    <row r="54" spans="2:3">
      <c r="B54" s="90"/>
    </row>
    <row r="55" spans="2:3">
      <c r="B55" s="90"/>
    </row>
    <row r="56" spans="2:3">
      <c r="B56" s="90"/>
    </row>
    <row r="57" spans="2:3">
      <c r="B57" s="90"/>
    </row>
    <row r="58" spans="2:3">
      <c r="B58" s="90"/>
    </row>
    <row r="59" spans="2:3">
      <c r="B59" s="90"/>
    </row>
    <row r="60" spans="2:3">
      <c r="B60" s="90"/>
    </row>
  </sheetData>
  <sheetProtection sheet="1" objects="1" scenarios="1" selectLockedCells="1"/>
  <mergeCells count="3">
    <mergeCell ref="B16:E16"/>
    <mergeCell ref="B17:E17"/>
    <mergeCell ref="B30:E30"/>
  </mergeCells>
  <phoneticPr fontId="7" type="noConversion"/>
  <conditionalFormatting sqref="B28:F29">
    <cfRule type="notContainsBlanks" dxfId="81" priority="19">
      <formula>LEN(TRIM(B28))&gt;0</formula>
    </cfRule>
  </conditionalFormatting>
  <conditionalFormatting sqref="B1:B9">
    <cfRule type="cellIs" dxfId="80" priority="10" operator="equal">
      <formula>"AMBER"</formula>
    </cfRule>
    <cfRule type="cellIs" dxfId="79" priority="11" operator="equal">
      <formula>"RED"</formula>
    </cfRule>
    <cfRule type="cellIs" dxfId="78" priority="12" operator="equal">
      <formula>"GREEN"</formula>
    </cfRule>
  </conditionalFormatting>
  <conditionalFormatting sqref="B1">
    <cfRule type="cellIs" dxfId="77" priority="7" operator="equal">
      <formula>"AMBER"</formula>
    </cfRule>
    <cfRule type="cellIs" dxfId="76" priority="8" operator="equal">
      <formula>"RED"</formula>
    </cfRule>
    <cfRule type="cellIs" dxfId="75" priority="9" operator="equal">
      <formula>"GREEN"</formula>
    </cfRule>
  </conditionalFormatting>
  <conditionalFormatting sqref="D12:J14 C10:J11">
    <cfRule type="cellIs" dxfId="74" priority="4" operator="equal">
      <formula>"AMBER"</formula>
    </cfRule>
    <cfRule type="cellIs" dxfId="73" priority="5" operator="equal">
      <formula>"RED"</formula>
    </cfRule>
    <cfRule type="cellIs" dxfId="72" priority="6" operator="equal">
      <formula>"GREEN"</formula>
    </cfRule>
  </conditionalFormatting>
  <conditionalFormatting sqref="B10:B11">
    <cfRule type="cellIs" dxfId="71" priority="1" operator="equal">
      <formula>"AMBER"</formula>
    </cfRule>
    <cfRule type="cellIs" dxfId="70" priority="2" operator="equal">
      <formula>"RED"</formula>
    </cfRule>
    <cfRule type="cellIs" dxfId="69" priority="3" operator="equal">
      <formula>"GREEN"</formula>
    </cfRule>
  </conditionalFormatting>
  <hyperlinks>
    <hyperlink ref="A1" location="'1.Header'!A1" display="1.Header"/>
    <hyperlink ref="A2" location="'2.Milestones'!MILESTONESTART" display="2.Milestones"/>
    <hyperlink ref="A3" location="'2.Milestones'!ISSUESTART" display="3.Issues"/>
    <hyperlink ref="A4" location="'4.Risks'!RISKSTART" display="4.Risks"/>
    <hyperlink ref="A5" location="'5.Changes'!CHANGESTART" display="5.Changes"/>
    <hyperlink ref="A6" location="'6.Dependencies'!DEPENDENCYSTART" display="6.Dependencies"/>
    <hyperlink ref="A7" location="'7.Measures'!MEASURESTART" display="7.Measures"/>
    <hyperlink ref="A8" location="'8.Communications'!COMMUNICATIONSTART" display="8.Communications"/>
    <hyperlink ref="A9" location="'9.Finance'!FINANCESTART" display="9.Finance"/>
    <hyperlink ref="B30" location="Legend!A1" display="See Legend"/>
  </hyperlinks>
  <pageMargins left="0.75" right="0.75" top="1" bottom="1" header="0.5" footer="0.5"/>
  <pageSetup paperSize="9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7.xml><?xml version="1.0" encoding="utf-8"?>
<worksheet xmlns="http://schemas.openxmlformats.org/spreadsheetml/2006/main" xmlns:r="http://schemas.openxmlformats.org/officeDocument/2006/relationships">
  <sheetPr enableFormatConditionsCalculation="0">
    <tabColor theme="9" tint="0.59999389629810485"/>
    <pageSetUpPr fitToPage="1"/>
  </sheetPr>
  <dimension ref="A1:R50"/>
  <sheetViews>
    <sheetView showGridLines="0" topLeftCell="A3" workbookViewId="0">
      <selection activeCell="H22" sqref="H22"/>
    </sheetView>
  </sheetViews>
  <sheetFormatPr defaultColWidth="11.42578125" defaultRowHeight="12.75"/>
  <cols>
    <col min="1" max="1" width="14" style="4" bestFit="1" customWidth="1"/>
    <col min="2" max="2" width="11.7109375" customWidth="1"/>
    <col min="3" max="3" width="39.140625" style="4" customWidth="1"/>
    <col min="4" max="4" width="15.42578125" style="5" customWidth="1"/>
    <col min="5" max="6" width="16.28515625" style="5" customWidth="1"/>
    <col min="7" max="7" width="10.28515625" style="5" customWidth="1"/>
    <col min="8" max="8" width="10.28515625" customWidth="1"/>
    <col min="9" max="9" width="10.28515625" style="5" customWidth="1"/>
    <col min="10" max="10" width="10.28515625" customWidth="1"/>
    <col min="11" max="11" width="10.28515625" style="5" customWidth="1"/>
    <col min="12" max="12" width="10.28515625" customWidth="1"/>
  </cols>
  <sheetData>
    <row r="1" spans="1:18" s="4" customFormat="1">
      <c r="A1" s="78" t="s">
        <v>77</v>
      </c>
      <c r="B1" s="43" t="str">
        <f>OVERALLLIGHT</f>
        <v>RED</v>
      </c>
      <c r="D1" s="5"/>
      <c r="E1" s="5"/>
      <c r="F1" s="5"/>
      <c r="G1" s="5"/>
      <c r="I1" s="5"/>
      <c r="K1" s="5"/>
    </row>
    <row r="2" spans="1:18" s="4" customFormat="1">
      <c r="A2" s="79" t="s">
        <v>167</v>
      </c>
      <c r="B2" s="44" t="str">
        <f>MILESTONELIGHT</f>
        <v>GREEN</v>
      </c>
      <c r="D2" s="5"/>
      <c r="E2" s="5"/>
      <c r="F2" s="5"/>
      <c r="G2" s="5"/>
      <c r="I2" s="5"/>
      <c r="K2" s="5"/>
    </row>
    <row r="3" spans="1:18" s="4" customFormat="1">
      <c r="A3" s="79" t="s">
        <v>72</v>
      </c>
      <c r="B3" s="44" t="str">
        <f>ISSUELIGHT</f>
        <v>GREEN</v>
      </c>
      <c r="D3" s="5"/>
      <c r="E3" s="5"/>
      <c r="F3" s="5"/>
      <c r="G3" s="5"/>
      <c r="I3" s="5"/>
      <c r="K3" s="5"/>
    </row>
    <row r="4" spans="1:18" s="4" customFormat="1">
      <c r="A4" s="79" t="s">
        <v>78</v>
      </c>
      <c r="B4" s="44" t="str">
        <f>RISKLIGHT</f>
        <v>RED</v>
      </c>
      <c r="D4" s="5"/>
      <c r="E4" s="5"/>
      <c r="F4" s="5"/>
      <c r="G4" s="5"/>
      <c r="I4" s="5"/>
      <c r="K4" s="5"/>
    </row>
    <row r="5" spans="1:18" s="4" customFormat="1">
      <c r="A5" s="79" t="s">
        <v>79</v>
      </c>
      <c r="B5" s="44" t="str">
        <f>CHANGELIGHT</f>
        <v>GREEN</v>
      </c>
      <c r="D5" s="5"/>
      <c r="E5" s="5"/>
      <c r="F5" s="5"/>
      <c r="G5" s="5"/>
      <c r="I5" s="5"/>
      <c r="K5" s="5"/>
    </row>
    <row r="6" spans="1:18" s="4" customFormat="1">
      <c r="A6" s="79" t="s">
        <v>73</v>
      </c>
      <c r="B6" s="45" t="str">
        <f>DEPENDENCYLIGHT</f>
        <v/>
      </c>
      <c r="D6" s="5"/>
      <c r="E6" s="5"/>
      <c r="F6" s="5"/>
      <c r="G6" s="5"/>
      <c r="I6" s="5"/>
      <c r="K6" s="5"/>
    </row>
    <row r="7" spans="1:18" s="4" customFormat="1">
      <c r="A7" s="79" t="s">
        <v>74</v>
      </c>
      <c r="B7" s="45" t="str">
        <f>MEASURELIGHT</f>
        <v/>
      </c>
      <c r="D7" s="5"/>
      <c r="E7" s="5"/>
      <c r="F7" s="5"/>
      <c r="G7" s="5"/>
      <c r="I7" s="5"/>
      <c r="K7" s="5"/>
    </row>
    <row r="8" spans="1:18" s="4" customFormat="1" ht="15">
      <c r="A8" s="79" t="s">
        <v>75</v>
      </c>
      <c r="B8" s="44" t="str">
        <f>COMMUNICATIONLIGHT</f>
        <v>GREEN</v>
      </c>
      <c r="D8" s="5"/>
      <c r="E8" s="5"/>
      <c r="F8" s="5"/>
      <c r="G8" s="5"/>
      <c r="H8" s="18"/>
      <c r="I8" s="18"/>
      <c r="K8" s="5"/>
    </row>
    <row r="9" spans="1:18" s="4" customFormat="1" ht="15">
      <c r="A9" s="79" t="s">
        <v>76</v>
      </c>
      <c r="B9" s="46" t="str">
        <f>FINANCELIGHT</f>
        <v>RED</v>
      </c>
      <c r="D9" s="5"/>
      <c r="E9" s="5"/>
      <c r="F9" s="5"/>
      <c r="G9" s="5"/>
      <c r="H9" s="18"/>
      <c r="I9" s="18"/>
      <c r="K9" s="5"/>
    </row>
    <row r="10" spans="1:18" s="5" customFormat="1">
      <c r="A10" s="79"/>
      <c r="B10" s="175"/>
      <c r="R10" s="11"/>
    </row>
    <row r="11" spans="1:18" s="5" customFormat="1" ht="25.5">
      <c r="A11" s="23" t="s">
        <v>80</v>
      </c>
      <c r="B11" s="173" t="str">
        <f>ProjNo</f>
        <v>RT029</v>
      </c>
      <c r="C11" s="174" t="str">
        <f>ProjName</f>
        <v>Cloud Based Bioinformatics Tools</v>
      </c>
      <c r="D11" s="169"/>
      <c r="E11" s="169"/>
      <c r="F11" s="169"/>
      <c r="G11" s="169"/>
      <c r="R11" s="11"/>
    </row>
    <row r="12" spans="1:18" s="5" customFormat="1" ht="17.25">
      <c r="A12" s="79"/>
      <c r="B12" s="171" t="s">
        <v>111</v>
      </c>
      <c r="C12" s="176">
        <f>ReportFrom</f>
        <v>41011</v>
      </c>
      <c r="D12" s="176"/>
      <c r="E12" s="176"/>
      <c r="F12" s="176"/>
      <c r="G12" s="176"/>
      <c r="H12" s="168"/>
      <c r="I12" s="168"/>
      <c r="R12" s="11"/>
    </row>
    <row r="13" spans="1:18" s="5" customFormat="1" ht="17.25">
      <c r="A13" s="79"/>
      <c r="B13" s="172" t="s">
        <v>112</v>
      </c>
      <c r="C13" s="177">
        <f>LastDateReport</f>
        <v>41061</v>
      </c>
      <c r="D13" s="176"/>
      <c r="E13" s="176"/>
      <c r="F13" s="176"/>
      <c r="G13" s="176"/>
      <c r="H13" s="168"/>
      <c r="I13" s="168"/>
      <c r="R13" s="11"/>
    </row>
    <row r="14" spans="1:18" s="5" customFormat="1" ht="6" customHeight="1">
      <c r="A14" s="79"/>
      <c r="B14" s="169"/>
      <c r="C14" s="170"/>
      <c r="D14" s="170"/>
      <c r="E14" s="170"/>
      <c r="F14" s="170"/>
      <c r="G14" s="170"/>
      <c r="H14" s="168"/>
      <c r="I14" s="168"/>
      <c r="R14" s="11"/>
    </row>
    <row r="15" spans="1:18" ht="19.5">
      <c r="B15" s="13" t="s">
        <v>158</v>
      </c>
      <c r="C15" s="13"/>
      <c r="D15" s="13"/>
      <c r="E15" s="13"/>
      <c r="F15" s="13"/>
      <c r="G15" s="13"/>
      <c r="H15" s="35"/>
      <c r="I15" s="35"/>
    </row>
    <row r="16" spans="1:18" ht="17.25">
      <c r="B16" s="319" t="s">
        <v>21</v>
      </c>
      <c r="C16" s="319"/>
      <c r="D16" s="319"/>
      <c r="E16" s="319"/>
      <c r="F16" s="319"/>
      <c r="G16" s="319"/>
      <c r="H16" s="319"/>
      <c r="I16" s="167"/>
    </row>
    <row r="17" spans="2:18" s="4" customFormat="1" ht="15.75" thickBot="1">
      <c r="B17" s="185"/>
      <c r="C17" s="185"/>
      <c r="D17" s="185"/>
      <c r="E17" s="185"/>
      <c r="F17" s="185"/>
      <c r="G17" s="185"/>
      <c r="H17" s="186"/>
      <c r="I17" s="186"/>
      <c r="K17" s="5"/>
    </row>
    <row r="18" spans="2:18" s="5" customFormat="1" ht="33.950000000000003" customHeight="1">
      <c r="B18" s="185"/>
      <c r="C18" s="185"/>
      <c r="D18" s="185"/>
      <c r="E18" s="185"/>
      <c r="F18" s="185"/>
      <c r="G18" s="315" t="s">
        <v>135</v>
      </c>
      <c r="H18" s="316"/>
      <c r="I18" s="315" t="s">
        <v>136</v>
      </c>
      <c r="J18" s="316"/>
      <c r="K18" s="317" t="s">
        <v>137</v>
      </c>
      <c r="L18" s="318"/>
      <c r="M18" s="315" t="s">
        <v>148</v>
      </c>
      <c r="N18" s="316"/>
      <c r="O18" s="315" t="s">
        <v>149</v>
      </c>
      <c r="P18" s="316"/>
      <c r="Q18" s="317" t="s">
        <v>150</v>
      </c>
      <c r="R18" s="318"/>
    </row>
    <row r="19" spans="2:18" ht="51.75">
      <c r="B19" s="187" t="s">
        <v>212</v>
      </c>
      <c r="C19" s="188" t="s">
        <v>160</v>
      </c>
      <c r="D19" s="188" t="s">
        <v>132</v>
      </c>
      <c r="E19" s="192" t="s">
        <v>131</v>
      </c>
      <c r="F19" s="278" t="s">
        <v>211</v>
      </c>
      <c r="G19" s="275" t="s">
        <v>133</v>
      </c>
      <c r="H19" s="195" t="s">
        <v>134</v>
      </c>
      <c r="I19" s="194" t="s">
        <v>133</v>
      </c>
      <c r="J19" s="195" t="s">
        <v>134</v>
      </c>
      <c r="K19" s="194" t="s">
        <v>133</v>
      </c>
      <c r="L19" s="195" t="s">
        <v>134</v>
      </c>
      <c r="M19" s="194" t="s">
        <v>133</v>
      </c>
      <c r="N19" s="195" t="s">
        <v>134</v>
      </c>
      <c r="O19" s="194" t="s">
        <v>133</v>
      </c>
      <c r="P19" s="195" t="s">
        <v>134</v>
      </c>
      <c r="Q19" s="194" t="s">
        <v>133</v>
      </c>
      <c r="R19" s="195" t="s">
        <v>134</v>
      </c>
    </row>
    <row r="20" spans="2:18" s="4" customFormat="1" ht="26.25">
      <c r="B20" s="189">
        <v>1</v>
      </c>
      <c r="C20" s="189" t="s">
        <v>179</v>
      </c>
      <c r="D20" s="191">
        <v>41044</v>
      </c>
      <c r="E20" s="193">
        <v>41044</v>
      </c>
      <c r="F20" s="295">
        <v>3</v>
      </c>
      <c r="G20" s="276"/>
      <c r="H20" s="197">
        <v>5</v>
      </c>
      <c r="I20" s="196"/>
      <c r="J20" s="332" t="s">
        <v>241</v>
      </c>
      <c r="K20" s="196"/>
      <c r="L20" s="198"/>
      <c r="M20" s="196"/>
      <c r="N20" s="197"/>
      <c r="O20" s="196"/>
      <c r="P20" s="198"/>
      <c r="Q20" s="196"/>
      <c r="R20" s="198"/>
    </row>
    <row r="21" spans="2:18" ht="39">
      <c r="B21" s="189">
        <v>2</v>
      </c>
      <c r="C21" s="294" t="s">
        <v>183</v>
      </c>
      <c r="D21" s="191">
        <v>41075</v>
      </c>
      <c r="E21" s="193">
        <v>41136</v>
      </c>
      <c r="F21" s="295">
        <v>5</v>
      </c>
      <c r="G21" s="276"/>
      <c r="H21" s="197"/>
      <c r="I21" s="196"/>
      <c r="J21" s="198"/>
      <c r="K21" s="196"/>
      <c r="L21" s="198"/>
      <c r="M21" s="196"/>
      <c r="N21" s="197"/>
      <c r="O21" s="196"/>
      <c r="P21" s="198"/>
      <c r="Q21" s="196"/>
      <c r="R21" s="198"/>
    </row>
    <row r="22" spans="2:18" ht="25.5">
      <c r="B22" s="189">
        <v>3</v>
      </c>
      <c r="C22" s="189" t="s">
        <v>187</v>
      </c>
      <c r="D22" s="191">
        <v>41136</v>
      </c>
      <c r="E22" s="193">
        <v>41167</v>
      </c>
      <c r="F22" s="295">
        <v>7</v>
      </c>
      <c r="G22" s="276"/>
      <c r="H22" s="199"/>
      <c r="I22" s="196"/>
      <c r="J22" s="198"/>
      <c r="K22" s="196"/>
      <c r="L22" s="198"/>
      <c r="M22" s="196"/>
      <c r="N22" s="199"/>
      <c r="O22" s="196"/>
      <c r="P22" s="198"/>
      <c r="Q22" s="196"/>
      <c r="R22" s="198"/>
    </row>
    <row r="23" spans="2:18" ht="25.5">
      <c r="B23" s="189">
        <v>4</v>
      </c>
      <c r="C23" s="189" t="s">
        <v>189</v>
      </c>
      <c r="D23" s="191">
        <v>41136</v>
      </c>
      <c r="E23" s="193">
        <v>41167</v>
      </c>
      <c r="F23" s="295">
        <v>8</v>
      </c>
      <c r="G23" s="276"/>
      <c r="H23" s="198"/>
      <c r="I23" s="196"/>
      <c r="J23" s="198"/>
      <c r="K23" s="196"/>
      <c r="L23" s="198"/>
      <c r="M23" s="196"/>
      <c r="N23" s="198"/>
      <c r="O23" s="196"/>
      <c r="P23" s="198"/>
      <c r="Q23" s="196"/>
      <c r="R23" s="198"/>
    </row>
    <row r="24" spans="2:18" ht="25.5">
      <c r="B24" s="189">
        <v>5</v>
      </c>
      <c r="C24" s="189" t="s">
        <v>193</v>
      </c>
      <c r="D24" s="191">
        <v>41182</v>
      </c>
      <c r="E24" s="193">
        <v>41212</v>
      </c>
      <c r="F24" s="295">
        <v>10</v>
      </c>
      <c r="G24" s="276"/>
      <c r="H24" s="198"/>
      <c r="I24" s="196"/>
      <c r="J24" s="198"/>
      <c r="K24" s="196"/>
      <c r="L24" s="198"/>
      <c r="M24" s="196"/>
      <c r="N24" s="198"/>
      <c r="O24" s="196"/>
      <c r="P24" s="198"/>
      <c r="Q24" s="196"/>
      <c r="R24" s="198"/>
    </row>
    <row r="25" spans="2:18" ht="25.5">
      <c r="B25" s="189">
        <v>6</v>
      </c>
      <c r="C25" s="189" t="s">
        <v>195</v>
      </c>
      <c r="D25" s="191">
        <v>41197</v>
      </c>
      <c r="E25" s="193">
        <v>41228</v>
      </c>
      <c r="F25" s="295">
        <v>11</v>
      </c>
      <c r="G25" s="276"/>
      <c r="H25" s="198"/>
      <c r="I25" s="196"/>
      <c r="J25" s="198"/>
      <c r="K25" s="196"/>
      <c r="L25" s="198"/>
      <c r="M25" s="196"/>
      <c r="N25" s="198"/>
      <c r="O25" s="196"/>
      <c r="P25" s="198"/>
      <c r="Q25" s="196"/>
      <c r="R25" s="198"/>
    </row>
    <row r="26" spans="2:18" ht="25.5">
      <c r="B26" s="189">
        <v>7</v>
      </c>
      <c r="C26" s="189" t="s">
        <v>199</v>
      </c>
      <c r="D26" s="191">
        <v>41258</v>
      </c>
      <c r="E26" s="193">
        <v>41304</v>
      </c>
      <c r="F26" s="295">
        <v>13</v>
      </c>
      <c r="G26" s="276"/>
      <c r="H26" s="198"/>
      <c r="I26" s="196"/>
      <c r="J26" s="198"/>
      <c r="K26" s="196"/>
      <c r="L26" s="198"/>
      <c r="M26" s="196"/>
      <c r="N26" s="198"/>
      <c r="O26" s="196"/>
      <c r="P26" s="198"/>
      <c r="Q26" s="196"/>
      <c r="R26" s="198"/>
    </row>
    <row r="27" spans="2:18" ht="25.5">
      <c r="B27" s="189">
        <v>8</v>
      </c>
      <c r="C27" s="189" t="s">
        <v>201</v>
      </c>
      <c r="D27" s="191">
        <v>41258</v>
      </c>
      <c r="E27" s="193">
        <v>41304</v>
      </c>
      <c r="F27" s="295">
        <v>14</v>
      </c>
      <c r="G27" s="276"/>
      <c r="H27" s="198"/>
      <c r="I27" s="196"/>
      <c r="J27" s="198"/>
      <c r="K27" s="196"/>
      <c r="L27" s="198"/>
      <c r="M27" s="196"/>
      <c r="N27" s="198"/>
      <c r="O27" s="196"/>
      <c r="P27" s="198"/>
      <c r="Q27" s="196"/>
      <c r="R27" s="198"/>
    </row>
    <row r="28" spans="2:18" ht="25.5">
      <c r="B28" s="189">
        <v>9</v>
      </c>
      <c r="C28" s="189" t="s">
        <v>203</v>
      </c>
      <c r="D28" s="191">
        <v>41333</v>
      </c>
      <c r="E28" s="193">
        <v>41363</v>
      </c>
      <c r="F28" s="295">
        <v>15</v>
      </c>
      <c r="G28" s="276"/>
      <c r="H28" s="198"/>
      <c r="I28" s="196"/>
      <c r="J28" s="198"/>
      <c r="K28" s="196"/>
      <c r="L28" s="198"/>
      <c r="M28" s="196"/>
      <c r="N28" s="198"/>
      <c r="O28" s="196"/>
      <c r="P28" s="198"/>
      <c r="Q28" s="196"/>
      <c r="R28" s="198"/>
    </row>
    <row r="29" spans="2:18" ht="23.1" customHeight="1">
      <c r="B29" s="189"/>
      <c r="C29" s="189"/>
      <c r="D29" s="191"/>
      <c r="E29" s="193"/>
      <c r="F29" s="295"/>
      <c r="G29" s="276"/>
      <c r="H29" s="198"/>
      <c r="I29" s="196"/>
      <c r="J29" s="198"/>
      <c r="K29" s="196"/>
      <c r="L29" s="198"/>
      <c r="M29" s="196"/>
      <c r="N29" s="198"/>
      <c r="O29" s="196"/>
      <c r="P29" s="198"/>
      <c r="Q29" s="196"/>
      <c r="R29" s="198"/>
    </row>
    <row r="30" spans="2:18" ht="23.1" customHeight="1">
      <c r="B30" s="189"/>
      <c r="C30" s="189"/>
      <c r="D30" s="191"/>
      <c r="E30" s="193"/>
      <c r="F30" s="295"/>
      <c r="G30" s="276"/>
      <c r="H30" s="198"/>
      <c r="I30" s="196"/>
      <c r="J30" s="198"/>
      <c r="K30" s="196"/>
      <c r="L30" s="198"/>
      <c r="M30" s="196"/>
      <c r="N30" s="198"/>
      <c r="O30" s="196"/>
      <c r="P30" s="198"/>
      <c r="Q30" s="196"/>
      <c r="R30" s="198"/>
    </row>
    <row r="31" spans="2:18" ht="23.1" customHeight="1">
      <c r="B31" s="189"/>
      <c r="C31" s="189"/>
      <c r="D31" s="191"/>
      <c r="E31" s="193"/>
      <c r="F31" s="295"/>
      <c r="G31" s="276"/>
      <c r="H31" s="198"/>
      <c r="I31" s="196"/>
      <c r="J31" s="198"/>
      <c r="K31" s="196"/>
      <c r="L31" s="198"/>
      <c r="M31" s="196"/>
      <c r="N31" s="198"/>
      <c r="O31" s="196"/>
      <c r="P31" s="198"/>
      <c r="Q31" s="196"/>
      <c r="R31" s="198"/>
    </row>
    <row r="32" spans="2:18" ht="23.1" customHeight="1">
      <c r="B32" s="189"/>
      <c r="C32" s="189"/>
      <c r="D32" s="191"/>
      <c r="E32" s="193"/>
      <c r="F32" s="295"/>
      <c r="G32" s="276"/>
      <c r="H32" s="198"/>
      <c r="I32" s="196"/>
      <c r="J32" s="198"/>
      <c r="K32" s="196"/>
      <c r="L32" s="198"/>
      <c r="M32" s="196"/>
      <c r="N32" s="198"/>
      <c r="O32" s="196"/>
      <c r="P32" s="198"/>
      <c r="Q32" s="196"/>
      <c r="R32" s="198"/>
    </row>
    <row r="33" spans="2:18" ht="23.1" customHeight="1" thickBot="1">
      <c r="B33" s="189"/>
      <c r="C33" s="189"/>
      <c r="D33" s="191"/>
      <c r="E33" s="193"/>
      <c r="F33" s="295"/>
      <c r="G33" s="277"/>
      <c r="H33" s="201"/>
      <c r="I33" s="200"/>
      <c r="J33" s="201"/>
      <c r="K33" s="200"/>
      <c r="L33" s="201"/>
      <c r="M33" s="200"/>
      <c r="N33" s="201"/>
      <c r="O33" s="200"/>
      <c r="P33" s="201"/>
      <c r="Q33" s="200"/>
      <c r="R33" s="201"/>
    </row>
    <row r="34" spans="2:18" ht="13.5" thickBot="1"/>
    <row r="35" spans="2:18" ht="45.95" customHeight="1" thickBot="1">
      <c r="C35" s="209" t="s">
        <v>142</v>
      </c>
      <c r="D35" s="210"/>
    </row>
    <row r="36" spans="2:18">
      <c r="B36" s="19"/>
    </row>
    <row r="37" spans="2:18">
      <c r="B37" s="20" t="s">
        <v>138</v>
      </c>
    </row>
    <row r="38" spans="2:18" ht="14.1" customHeight="1">
      <c r="B38" s="309" t="s">
        <v>152</v>
      </c>
      <c r="C38" s="309"/>
      <c r="D38" s="309"/>
      <c r="E38" s="309"/>
    </row>
    <row r="39" spans="2:18">
      <c r="B39" s="19"/>
    </row>
    <row r="40" spans="2:18">
      <c r="B40" s="19"/>
    </row>
    <row r="44" spans="2:18">
      <c r="O44" s="4"/>
      <c r="P44" s="5"/>
      <c r="Q44" s="4"/>
      <c r="R44" s="4"/>
    </row>
    <row r="45" spans="2:18" ht="13.5" thickBot="1">
      <c r="P45" s="5"/>
    </row>
    <row r="46" spans="2:18" ht="13.5" thickBot="1">
      <c r="Q46" s="37" t="str">
        <f>IF(P46&gt;0,"DATA ENTERED","")</f>
        <v/>
      </c>
    </row>
    <row r="50" spans="18:18">
      <c r="R50" s="84"/>
    </row>
  </sheetData>
  <sheetProtection sheet="1" objects="1" scenarios="1" selectLockedCells="1"/>
  <mergeCells count="8">
    <mergeCell ref="B38:E38"/>
    <mergeCell ref="O18:P18"/>
    <mergeCell ref="Q18:R18"/>
    <mergeCell ref="B16:H16"/>
    <mergeCell ref="G18:H18"/>
    <mergeCell ref="I18:J18"/>
    <mergeCell ref="K18:L18"/>
    <mergeCell ref="M18:N18"/>
  </mergeCells>
  <phoneticPr fontId="7" type="noConversion"/>
  <conditionalFormatting sqref="B1:B9 H12:M14 C10:M11">
    <cfRule type="cellIs" dxfId="68" priority="10" operator="equal">
      <formula>"AMBER"</formula>
    </cfRule>
    <cfRule type="cellIs" dxfId="67" priority="11" operator="equal">
      <formula>"RED"</formula>
    </cfRule>
    <cfRule type="cellIs" dxfId="66" priority="12" operator="equal">
      <formula>"GREEN"</formula>
    </cfRule>
  </conditionalFormatting>
  <conditionalFormatting sqref="B1">
    <cfRule type="cellIs" dxfId="65" priority="7" operator="equal">
      <formula>"AMBER"</formula>
    </cfRule>
    <cfRule type="cellIs" dxfId="64" priority="8" operator="equal">
      <formula>"RED"</formula>
    </cfRule>
    <cfRule type="cellIs" dxfId="63" priority="9" operator="equal">
      <formula>"GREEN"</formula>
    </cfRule>
  </conditionalFormatting>
  <conditionalFormatting sqref="B10:B11">
    <cfRule type="cellIs" dxfId="62" priority="1" operator="equal">
      <formula>"AMBER"</formula>
    </cfRule>
    <cfRule type="cellIs" dxfId="61" priority="2" operator="equal">
      <formula>"RED"</formula>
    </cfRule>
    <cfRule type="cellIs" dxfId="60" priority="3" operator="equal">
      <formula>"GREEN"</formula>
    </cfRule>
  </conditionalFormatting>
  <dataValidations count="1">
    <dataValidation type="whole" allowBlank="1" showInputMessage="1" showErrorMessage="1" errorTitle="Whole numbers only" error="Enter integer values of the number of service levels (from your agreement) in exception. This will only be required from production assets." promptTitle="Input whole numbers" prompt="Leave blank unless an item is in production and at least one service level is not being met as agreed in the contract." sqref="D35">
      <formula1>0</formula1>
      <formula2>50</formula2>
    </dataValidation>
  </dataValidations>
  <hyperlinks>
    <hyperlink ref="A1" location="'1.Header'!A1" display="1.Header"/>
    <hyperlink ref="A2" location="'2.Milestones'!MILESTONESTART" display="2.Milestones"/>
    <hyperlink ref="A3" location="'2.Milestones'!ISSUESTART" display="3.Issues"/>
    <hyperlink ref="A4" location="'4.Risks'!RISKSTART" display="4.Risks"/>
    <hyperlink ref="A5" location="'5.Changes'!CHANGESTART" display="5.Changes"/>
    <hyperlink ref="A6" location="'6.Dependencies'!DEPENDENCYSTART" display="6.Dependencies"/>
    <hyperlink ref="A7" location="'7.Measures'!MEASURESTART" display="7.Measures"/>
    <hyperlink ref="A8" location="'8.Communications'!COMMUNICATIONSTART" display="8.Communications"/>
    <hyperlink ref="A9" location="'9.Finance'!FINANCESTART" display="9.Finance"/>
    <hyperlink ref="B38" location="Legend!A1" display="See Legend"/>
  </hyperlinks>
  <pageMargins left="0.75" right="0.75" top="1" bottom="1" header="0.5" footer="0.5"/>
  <pageSetup paperSize="9" scale="58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8.xml><?xml version="1.0" encoding="utf-8"?>
<worksheet xmlns="http://schemas.openxmlformats.org/spreadsheetml/2006/main" xmlns:r="http://schemas.openxmlformats.org/officeDocument/2006/relationships">
  <sheetPr enableFormatConditionsCalculation="0">
    <tabColor rgb="FFCCFFCC"/>
    <pageSetUpPr fitToPage="1"/>
  </sheetPr>
  <dimension ref="A1:O55"/>
  <sheetViews>
    <sheetView showGridLines="0" topLeftCell="A10" workbookViewId="0">
      <selection activeCell="E23" sqref="E23"/>
    </sheetView>
  </sheetViews>
  <sheetFormatPr defaultColWidth="11.42578125" defaultRowHeight="12.75"/>
  <cols>
    <col min="1" max="1" width="14" style="4" bestFit="1" customWidth="1"/>
    <col min="2" max="2" width="32.7109375" customWidth="1"/>
    <col min="3" max="3" width="19.140625" customWidth="1"/>
    <col min="4" max="4" width="12.7109375" style="5" customWidth="1"/>
    <col min="5" max="5" width="43.42578125" customWidth="1"/>
    <col min="6" max="6" width="6.7109375" style="83" customWidth="1"/>
    <col min="7" max="7" width="16.7109375" hidden="1" customWidth="1"/>
    <col min="8" max="8" width="10.85546875" hidden="1" customWidth="1"/>
  </cols>
  <sheetData>
    <row r="1" spans="1:15" s="4" customFormat="1">
      <c r="A1" s="78" t="s">
        <v>77</v>
      </c>
      <c r="B1" s="43" t="str">
        <f>OVERALLLIGHT</f>
        <v>RED</v>
      </c>
      <c r="D1" s="5"/>
      <c r="F1" s="83"/>
    </row>
    <row r="2" spans="1:15" s="4" customFormat="1">
      <c r="A2" s="79" t="s">
        <v>167</v>
      </c>
      <c r="B2" s="44" t="str">
        <f>MILESTONELIGHT</f>
        <v>GREEN</v>
      </c>
      <c r="D2" s="5"/>
      <c r="F2" s="83"/>
    </row>
    <row r="3" spans="1:15" s="4" customFormat="1">
      <c r="A3" s="79" t="s">
        <v>72</v>
      </c>
      <c r="B3" s="44" t="str">
        <f>ISSUELIGHT</f>
        <v>GREEN</v>
      </c>
      <c r="D3" s="5"/>
      <c r="F3" s="83"/>
    </row>
    <row r="4" spans="1:15" s="4" customFormat="1">
      <c r="A4" s="79" t="s">
        <v>78</v>
      </c>
      <c r="B4" s="44" t="str">
        <f>RISKLIGHT</f>
        <v>RED</v>
      </c>
      <c r="D4" s="5"/>
      <c r="F4" s="83"/>
    </row>
    <row r="5" spans="1:15" s="4" customFormat="1">
      <c r="A5" s="79" t="s">
        <v>79</v>
      </c>
      <c r="B5" s="44" t="str">
        <f>CHANGELIGHT</f>
        <v>GREEN</v>
      </c>
      <c r="D5" s="5"/>
      <c r="F5" s="83"/>
    </row>
    <row r="6" spans="1:15" s="4" customFormat="1">
      <c r="A6" s="79" t="s">
        <v>73</v>
      </c>
      <c r="B6" s="45" t="str">
        <f>DEPENDENCYLIGHT</f>
        <v/>
      </c>
      <c r="D6" s="5"/>
      <c r="F6" s="83"/>
    </row>
    <row r="7" spans="1:15" s="4" customFormat="1">
      <c r="A7" s="79" t="s">
        <v>74</v>
      </c>
      <c r="B7" s="45" t="str">
        <f>MEASURELIGHT</f>
        <v/>
      </c>
      <c r="D7" s="5"/>
      <c r="F7" s="83"/>
    </row>
    <row r="8" spans="1:15" s="4" customFormat="1" ht="15">
      <c r="A8" s="79" t="s">
        <v>75</v>
      </c>
      <c r="B8" s="44" t="str">
        <f>COMMUNICATIONLIGHT</f>
        <v>GREEN</v>
      </c>
      <c r="D8" s="5"/>
      <c r="E8" s="18"/>
      <c r="F8" s="128"/>
    </row>
    <row r="9" spans="1:15" s="4" customFormat="1" ht="15">
      <c r="A9" s="79" t="s">
        <v>76</v>
      </c>
      <c r="B9" s="46" t="str">
        <f>FINANCELIGHT</f>
        <v>RED</v>
      </c>
      <c r="D9" s="5"/>
      <c r="E9" s="18"/>
      <c r="F9" s="128"/>
    </row>
    <row r="10" spans="1:15" s="5" customFormat="1">
      <c r="A10" s="79"/>
      <c r="B10" s="175"/>
      <c r="O10" s="11"/>
    </row>
    <row r="11" spans="1:15" s="5" customFormat="1" ht="17.25">
      <c r="A11" s="79"/>
      <c r="B11" s="173" t="str">
        <f>ProjNo</f>
        <v>RT029</v>
      </c>
      <c r="C11" s="174" t="str">
        <f>ProjName</f>
        <v>Cloud Based Bioinformatics Tools</v>
      </c>
      <c r="D11" s="169"/>
      <c r="O11" s="11"/>
    </row>
    <row r="12" spans="1:15" s="5" customFormat="1" ht="17.25">
      <c r="A12" s="79"/>
      <c r="B12" s="171" t="s">
        <v>111</v>
      </c>
      <c r="C12" s="176">
        <f>ReportFrom</f>
        <v>41011</v>
      </c>
      <c r="D12" s="176"/>
      <c r="E12" s="168"/>
      <c r="O12" s="11"/>
    </row>
    <row r="13" spans="1:15" s="5" customFormat="1" ht="17.25">
      <c r="A13" s="79"/>
      <c r="B13" s="172" t="s">
        <v>112</v>
      </c>
      <c r="C13" s="177">
        <f>LastDateReport</f>
        <v>41061</v>
      </c>
      <c r="D13" s="176"/>
      <c r="E13" s="168"/>
      <c r="O13" s="11"/>
    </row>
    <row r="14" spans="1:15" s="5" customFormat="1" ht="6" customHeight="1">
      <c r="A14" s="79"/>
      <c r="B14" s="169"/>
      <c r="C14" s="170"/>
      <c r="D14" s="170"/>
      <c r="E14" s="168"/>
      <c r="O14" s="11"/>
    </row>
    <row r="15" spans="1:15" ht="19.5">
      <c r="B15" s="13" t="s">
        <v>29</v>
      </c>
      <c r="C15" s="13"/>
      <c r="D15" s="13"/>
      <c r="E15" s="13" t="str">
        <f>COMMUNICATIONLIGHT</f>
        <v>GREEN</v>
      </c>
      <c r="F15" s="120"/>
    </row>
    <row r="16" spans="1:15" s="5" customFormat="1" ht="20.25" thickBot="1">
      <c r="B16" s="13"/>
      <c r="C16" s="13"/>
      <c r="D16" s="13"/>
      <c r="E16" s="13"/>
      <c r="F16" s="120"/>
    </row>
    <row r="17" spans="1:7" ht="15">
      <c r="B17" s="69" t="s">
        <v>30</v>
      </c>
      <c r="C17" s="70" t="s">
        <v>31</v>
      </c>
      <c r="D17" s="279" t="s">
        <v>161</v>
      </c>
      <c r="E17" s="71" t="s">
        <v>32</v>
      </c>
      <c r="F17" s="129"/>
      <c r="G17" s="72" t="s">
        <v>107</v>
      </c>
    </row>
    <row r="18" spans="1:7" ht="27" customHeight="1">
      <c r="A18" s="23" t="s">
        <v>80</v>
      </c>
      <c r="B18" s="152" t="s">
        <v>242</v>
      </c>
      <c r="C18" s="153" t="s">
        <v>100</v>
      </c>
      <c r="D18" s="280" t="s">
        <v>162</v>
      </c>
      <c r="E18" s="154" t="s">
        <v>249</v>
      </c>
      <c r="F18" s="127"/>
      <c r="G18" s="73" t="str">
        <f>IF(B18&gt;0,"THIS PERIOD 1","")</f>
        <v>THIS PERIOD 1</v>
      </c>
    </row>
    <row r="19" spans="1:7" ht="27" customHeight="1">
      <c r="B19" s="152" t="s">
        <v>243</v>
      </c>
      <c r="C19" s="153" t="s">
        <v>105</v>
      </c>
      <c r="D19" s="280" t="s">
        <v>162</v>
      </c>
      <c r="E19" s="154"/>
      <c r="F19" s="127"/>
      <c r="G19" s="73" t="str">
        <f t="shared" ref="G19:G27" si="0">IF(B19&gt;0,"THIS PERIOD 1","")</f>
        <v>THIS PERIOD 1</v>
      </c>
    </row>
    <row r="20" spans="1:7" s="5" customFormat="1" ht="27" customHeight="1">
      <c r="B20" s="152" t="s">
        <v>244</v>
      </c>
      <c r="C20" s="153" t="s">
        <v>102</v>
      </c>
      <c r="D20" s="280" t="s">
        <v>162</v>
      </c>
      <c r="E20" s="154" t="s">
        <v>245</v>
      </c>
      <c r="F20" s="127"/>
      <c r="G20" s="73" t="str">
        <f t="shared" si="0"/>
        <v>THIS PERIOD 1</v>
      </c>
    </row>
    <row r="21" spans="1:7" s="5" customFormat="1" ht="27" customHeight="1">
      <c r="B21" s="152" t="s">
        <v>246</v>
      </c>
      <c r="C21" s="280" t="s">
        <v>105</v>
      </c>
      <c r="D21" s="280" t="s">
        <v>162</v>
      </c>
      <c r="E21" s="154"/>
      <c r="F21" s="127"/>
      <c r="G21" s="73" t="str">
        <f t="shared" si="0"/>
        <v>THIS PERIOD 1</v>
      </c>
    </row>
    <row r="22" spans="1:7" s="5" customFormat="1" ht="27" customHeight="1">
      <c r="B22" s="152"/>
      <c r="C22" s="153"/>
      <c r="D22" s="280"/>
      <c r="E22" s="154"/>
      <c r="F22" s="127"/>
      <c r="G22" s="73" t="str">
        <f t="shared" si="0"/>
        <v/>
      </c>
    </row>
    <row r="23" spans="1:7" s="5" customFormat="1" ht="27" customHeight="1">
      <c r="B23" s="152"/>
      <c r="C23" s="153"/>
      <c r="D23" s="280"/>
      <c r="E23" s="154"/>
      <c r="F23" s="127"/>
      <c r="G23" s="73" t="str">
        <f t="shared" si="0"/>
        <v/>
      </c>
    </row>
    <row r="24" spans="1:7" ht="27" customHeight="1">
      <c r="B24" s="152"/>
      <c r="C24" s="153"/>
      <c r="D24" s="280"/>
      <c r="E24" s="154"/>
      <c r="F24" s="127"/>
      <c r="G24" s="73" t="str">
        <f t="shared" si="0"/>
        <v/>
      </c>
    </row>
    <row r="25" spans="1:7" ht="27" customHeight="1">
      <c r="B25" s="152"/>
      <c r="C25" s="153"/>
      <c r="D25" s="280"/>
      <c r="E25" s="154"/>
      <c r="F25" s="127"/>
      <c r="G25" s="73" t="str">
        <f t="shared" si="0"/>
        <v/>
      </c>
    </row>
    <row r="26" spans="1:7" ht="27" customHeight="1">
      <c r="B26" s="155"/>
      <c r="C26" s="156"/>
      <c r="D26" s="250"/>
      <c r="E26" s="157"/>
      <c r="F26" s="88"/>
      <c r="G26" s="73" t="str">
        <f t="shared" si="0"/>
        <v/>
      </c>
    </row>
    <row r="27" spans="1:7" s="4" customFormat="1" ht="27" customHeight="1">
      <c r="B27" s="155"/>
      <c r="C27" s="156"/>
      <c r="D27" s="250"/>
      <c r="E27" s="157"/>
      <c r="F27" s="88"/>
      <c r="G27" s="73" t="str">
        <f t="shared" si="0"/>
        <v/>
      </c>
    </row>
    <row r="28" spans="1:7" ht="27" customHeight="1">
      <c r="B28" s="158" t="s">
        <v>33</v>
      </c>
      <c r="C28" s="28" t="s">
        <v>31</v>
      </c>
      <c r="D28" s="285"/>
      <c r="E28" s="159" t="s">
        <v>32</v>
      </c>
      <c r="F28" s="129"/>
      <c r="G28" s="74"/>
    </row>
    <row r="29" spans="1:7" ht="27" customHeight="1">
      <c r="B29" s="152" t="s">
        <v>247</v>
      </c>
      <c r="C29" s="153" t="s">
        <v>101</v>
      </c>
      <c r="D29" s="286"/>
      <c r="E29" s="283"/>
      <c r="F29" s="127"/>
      <c r="G29" s="73" t="str">
        <f>IF(B29&gt;0,"PLANNED 1","")</f>
        <v>PLANNED 1</v>
      </c>
    </row>
    <row r="30" spans="1:7" s="5" customFormat="1" ht="27" customHeight="1">
      <c r="B30" s="152" t="s">
        <v>248</v>
      </c>
      <c r="C30" s="280" t="s">
        <v>102</v>
      </c>
      <c r="D30" s="287"/>
      <c r="E30" s="283"/>
      <c r="F30" s="127"/>
      <c r="G30" s="73" t="str">
        <f t="shared" ref="G30:G38" si="1">IF(B30&gt;0,"PLANNED 1","")</f>
        <v>PLANNED 1</v>
      </c>
    </row>
    <row r="31" spans="1:7" s="5" customFormat="1" ht="27" customHeight="1">
      <c r="B31" s="160"/>
      <c r="C31" s="281"/>
      <c r="D31" s="287"/>
      <c r="E31" s="283"/>
      <c r="F31" s="127"/>
      <c r="G31" s="73" t="str">
        <f t="shared" si="1"/>
        <v/>
      </c>
    </row>
    <row r="32" spans="1:7" s="5" customFormat="1" ht="27" customHeight="1">
      <c r="B32" s="160"/>
      <c r="C32" s="281"/>
      <c r="D32" s="287"/>
      <c r="E32" s="283"/>
      <c r="F32" s="127"/>
      <c r="G32" s="73" t="str">
        <f t="shared" si="1"/>
        <v/>
      </c>
    </row>
    <row r="33" spans="2:8" s="5" customFormat="1" ht="27" customHeight="1">
      <c r="B33" s="160"/>
      <c r="C33" s="281"/>
      <c r="D33" s="287"/>
      <c r="E33" s="283"/>
      <c r="F33" s="127"/>
      <c r="G33" s="73" t="str">
        <f t="shared" si="1"/>
        <v/>
      </c>
    </row>
    <row r="34" spans="2:8" s="5" customFormat="1" ht="27" customHeight="1">
      <c r="B34" s="160"/>
      <c r="C34" s="281"/>
      <c r="D34" s="287"/>
      <c r="E34" s="283"/>
      <c r="F34" s="127"/>
      <c r="G34" s="73" t="str">
        <f t="shared" si="1"/>
        <v/>
      </c>
    </row>
    <row r="35" spans="2:8" s="5" customFormat="1" ht="27" customHeight="1">
      <c r="B35" s="160"/>
      <c r="C35" s="281"/>
      <c r="D35" s="287"/>
      <c r="E35" s="283"/>
      <c r="F35" s="127"/>
      <c r="G35" s="73" t="str">
        <f t="shared" si="1"/>
        <v/>
      </c>
    </row>
    <row r="36" spans="2:8" s="5" customFormat="1" ht="27" customHeight="1">
      <c r="B36" s="160"/>
      <c r="C36" s="281"/>
      <c r="D36" s="287"/>
      <c r="E36" s="283"/>
      <c r="F36" s="127"/>
      <c r="G36" s="73" t="str">
        <f t="shared" si="1"/>
        <v/>
      </c>
    </row>
    <row r="37" spans="2:8" ht="27" customHeight="1">
      <c r="B37" s="160"/>
      <c r="C37" s="281"/>
      <c r="D37" s="287"/>
      <c r="E37" s="283"/>
      <c r="F37" s="127"/>
      <c r="G37" s="73" t="str">
        <f t="shared" si="1"/>
        <v/>
      </c>
    </row>
    <row r="38" spans="2:8" ht="27" customHeight="1" thickBot="1">
      <c r="B38" s="161"/>
      <c r="C38" s="282"/>
      <c r="D38" s="288"/>
      <c r="E38" s="284"/>
      <c r="F38" s="127"/>
      <c r="G38" s="73" t="str">
        <f t="shared" si="1"/>
        <v/>
      </c>
    </row>
    <row r="41" spans="2:8" ht="14.1" customHeight="1">
      <c r="B41" s="309" t="s">
        <v>152</v>
      </c>
      <c r="C41" s="309"/>
      <c r="D41" s="309"/>
      <c r="E41" s="309"/>
      <c r="G41">
        <f>COUNTIF(G18:G27,"THIS PERIOD 1")</f>
        <v>4</v>
      </c>
    </row>
    <row r="42" spans="2:8" ht="13.5" thickBot="1">
      <c r="G42">
        <f>COUNTIF(G29:G38,"PLANNED 1")</f>
        <v>2</v>
      </c>
    </row>
    <row r="43" spans="2:8" ht="13.5" thickBot="1">
      <c r="H43" s="37" t="str">
        <f>IF(G41&lt;1,"RED",IF(G42&lt;1,"AMBER","GREEN"))</f>
        <v>GREEN</v>
      </c>
    </row>
    <row r="51" spans="2:2">
      <c r="B51" s="19"/>
    </row>
    <row r="52" spans="2:2">
      <c r="B52" s="20"/>
    </row>
    <row r="53" spans="2:2">
      <c r="B53" s="19"/>
    </row>
    <row r="54" spans="2:2">
      <c r="B54" s="19"/>
    </row>
    <row r="55" spans="2:2">
      <c r="B55" s="19"/>
    </row>
  </sheetData>
  <sheetProtection sheet="1" objects="1" scenarios="1" selectLockedCells="1"/>
  <mergeCells count="1">
    <mergeCell ref="B41:E41"/>
  </mergeCells>
  <phoneticPr fontId="7" type="noConversion"/>
  <conditionalFormatting sqref="B1 B15:I40 B42:I45 F41:I41">
    <cfRule type="cellIs" dxfId="59" priority="19" operator="equal">
      <formula>"AMBER"</formula>
    </cfRule>
    <cfRule type="cellIs" dxfId="58" priority="20" operator="equal">
      <formula>"RED"</formula>
    </cfRule>
    <cfRule type="cellIs" dxfId="57" priority="21" operator="equal">
      <formula>"GREEN"</formula>
    </cfRule>
  </conditionalFormatting>
  <conditionalFormatting sqref="C2:I9">
    <cfRule type="cellIs" dxfId="56" priority="28" operator="equal">
      <formula>"AMBER"</formula>
    </cfRule>
    <cfRule type="cellIs" dxfId="55" priority="29" operator="equal">
      <formula>"RED"</formula>
    </cfRule>
    <cfRule type="cellIs" dxfId="54" priority="30" operator="equal">
      <formula>"GREEN"</formula>
    </cfRule>
  </conditionalFormatting>
  <conditionalFormatting sqref="B1:B9">
    <cfRule type="cellIs" dxfId="53" priority="22" operator="equal">
      <formula>"AMBER"</formula>
    </cfRule>
    <cfRule type="cellIs" dxfId="52" priority="23" operator="equal">
      <formula>"RED"</formula>
    </cfRule>
    <cfRule type="cellIs" dxfId="51" priority="24" operator="equal">
      <formula>"GREEN"</formula>
    </cfRule>
  </conditionalFormatting>
  <conditionalFormatting sqref="E12:J14 C10:J11">
    <cfRule type="cellIs" dxfId="50" priority="16" operator="equal">
      <formula>"AMBER"</formula>
    </cfRule>
    <cfRule type="cellIs" dxfId="49" priority="17" operator="equal">
      <formula>"RED"</formula>
    </cfRule>
    <cfRule type="cellIs" dxfId="48" priority="18" operator="equal">
      <formula>"GREEN"</formula>
    </cfRule>
  </conditionalFormatting>
  <conditionalFormatting sqref="B10:B11">
    <cfRule type="cellIs" dxfId="47" priority="13" operator="equal">
      <formula>"AMBER"</formula>
    </cfRule>
    <cfRule type="cellIs" dxfId="46" priority="14" operator="equal">
      <formula>"RED"</formula>
    </cfRule>
    <cfRule type="cellIs" dxfId="45" priority="15" operator="equal">
      <formula>"GREEN"</formula>
    </cfRule>
  </conditionalFormatting>
  <conditionalFormatting sqref="B18:D20">
    <cfRule type="cellIs" dxfId="11" priority="10" operator="equal">
      <formula>"AMBER"</formula>
    </cfRule>
    <cfRule type="cellIs" dxfId="10" priority="11" operator="equal">
      <formula>"RED"</formula>
    </cfRule>
    <cfRule type="cellIs" dxfId="9" priority="12" operator="equal">
      <formula>"GREEN"</formula>
    </cfRule>
  </conditionalFormatting>
  <conditionalFormatting sqref="E20">
    <cfRule type="cellIs" dxfId="8" priority="7" operator="equal">
      <formula>"AMBER"</formula>
    </cfRule>
    <cfRule type="cellIs" dxfId="7" priority="8" operator="equal">
      <formula>"RED"</formula>
    </cfRule>
    <cfRule type="cellIs" dxfId="6" priority="9" operator="equal">
      <formula>"GREEN"</formula>
    </cfRule>
  </conditionalFormatting>
  <conditionalFormatting sqref="B21:C21">
    <cfRule type="cellIs" dxfId="5" priority="4" operator="equal">
      <formula>"AMBER"</formula>
    </cfRule>
    <cfRule type="cellIs" dxfId="4" priority="5" operator="equal">
      <formula>"RED"</formula>
    </cfRule>
    <cfRule type="cellIs" dxfId="3" priority="6" operator="equal">
      <formula>"GREEN"</formula>
    </cfRule>
  </conditionalFormatting>
  <conditionalFormatting sqref="B29:C30">
    <cfRule type="cellIs" dxfId="2" priority="1" operator="equal">
      <formula>"AMBER"</formula>
    </cfRule>
    <cfRule type="cellIs" dxfId="1" priority="2" operator="equal">
      <formula>"RED"</formula>
    </cfRule>
    <cfRule type="cellIs" dxfId="0" priority="3" operator="equal">
      <formula>"GREEN"</formula>
    </cfRule>
  </conditionalFormatting>
  <dataValidations count="2">
    <dataValidation type="list" allowBlank="1" showInputMessage="1" showErrorMessage="1" sqref="C29:D40 C18:C27">
      <formula1>CommsType</formula1>
    </dataValidation>
    <dataValidation type="list" allowBlank="1" showInputMessage="1" showErrorMessage="1" sqref="D18:D27">
      <formula1>YesNo</formula1>
    </dataValidation>
  </dataValidations>
  <hyperlinks>
    <hyperlink ref="A1" location="'1.Header'!A1" display="1.Header"/>
    <hyperlink ref="A2" location="'2.Milestones'!MILESTONESTART" display="2.Milestones"/>
    <hyperlink ref="A3" location="'2.Milestones'!ISSUESTART" display="3.Issues"/>
    <hyperlink ref="A4" location="'4.Risks'!RISKSTART" display="4.Risks"/>
    <hyperlink ref="A5" location="'5.Changes'!CHANGESTART" display="5.Changes"/>
    <hyperlink ref="A6" location="'6.Dependencies'!DEPENDENCYSTART" display="6.Dependencies"/>
    <hyperlink ref="A7" location="'7.Measures'!MEASURESTART" display="7.Measures"/>
    <hyperlink ref="A8" location="'8.Communications'!COMMUNICATIONSTART" display="8.Communications"/>
    <hyperlink ref="A9" location="'9.Finance'!FINANCESTART" display="9.Finance"/>
    <hyperlink ref="B41" location="Legend!A1" display="See Legend"/>
  </hyperlinks>
  <pageMargins left="0.75" right="0.75" top="1" bottom="1" header="0.5" footer="0.5"/>
  <pageSetup paperSize="9" scale="66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9.xml><?xml version="1.0" encoding="utf-8"?>
<worksheet xmlns="http://schemas.openxmlformats.org/spreadsheetml/2006/main" xmlns:r="http://schemas.openxmlformats.org/officeDocument/2006/relationships">
  <sheetPr enableFormatConditionsCalculation="0">
    <tabColor rgb="FFCCFFCC"/>
    <pageSetUpPr fitToPage="1"/>
  </sheetPr>
  <dimension ref="A1:V37"/>
  <sheetViews>
    <sheetView showGridLines="0" workbookViewId="0">
      <selection activeCell="B28" sqref="B28:I28"/>
    </sheetView>
  </sheetViews>
  <sheetFormatPr defaultColWidth="11.42578125" defaultRowHeight="12.75"/>
  <cols>
    <col min="1" max="1" width="14" style="4" bestFit="1" customWidth="1"/>
    <col min="2" max="2" width="28.140625" customWidth="1"/>
    <col min="3" max="3" width="18.7109375" customWidth="1"/>
    <col min="4" max="4" width="15.28515625" customWidth="1"/>
    <col min="5" max="5" width="15.140625" customWidth="1"/>
    <col min="6" max="6" width="15.140625" style="5" customWidth="1"/>
    <col min="7" max="7" width="17.140625" customWidth="1"/>
    <col min="8" max="8" width="15" customWidth="1"/>
    <col min="9" max="9" width="15" style="5" customWidth="1"/>
    <col min="11" max="11" width="0" style="5" hidden="1" customWidth="1"/>
    <col min="12" max="18" width="10.85546875" hidden="1" customWidth="1"/>
    <col min="19" max="19" width="0" hidden="1" customWidth="1"/>
  </cols>
  <sheetData>
    <row r="1" spans="1:16" s="4" customFormat="1">
      <c r="A1" s="78" t="s">
        <v>77</v>
      </c>
      <c r="B1" s="43" t="str">
        <f>OVERALLLIGHT</f>
        <v>RED</v>
      </c>
      <c r="F1" s="5"/>
      <c r="I1" s="5"/>
      <c r="K1" s="5"/>
    </row>
    <row r="2" spans="1:16" s="4" customFormat="1">
      <c r="A2" s="79" t="s">
        <v>167</v>
      </c>
      <c r="B2" s="44" t="str">
        <f>MILESTONELIGHT</f>
        <v>GREEN</v>
      </c>
      <c r="F2" s="5"/>
      <c r="I2" s="5"/>
      <c r="K2" s="5"/>
    </row>
    <row r="3" spans="1:16" s="4" customFormat="1">
      <c r="A3" s="79" t="s">
        <v>72</v>
      </c>
      <c r="B3" s="44" t="str">
        <f>ISSUELIGHT</f>
        <v>GREEN</v>
      </c>
      <c r="F3" s="5"/>
      <c r="I3" s="5"/>
      <c r="K3" s="5"/>
    </row>
    <row r="4" spans="1:16" s="4" customFormat="1">
      <c r="A4" s="79" t="s">
        <v>78</v>
      </c>
      <c r="B4" s="44" t="str">
        <f>RISKLIGHT</f>
        <v>RED</v>
      </c>
      <c r="F4" s="5"/>
      <c r="I4" s="5"/>
      <c r="K4" s="5"/>
    </row>
    <row r="5" spans="1:16" s="4" customFormat="1">
      <c r="A5" s="79" t="s">
        <v>79</v>
      </c>
      <c r="B5" s="44" t="str">
        <f>CHANGELIGHT</f>
        <v>GREEN</v>
      </c>
      <c r="F5" s="5"/>
      <c r="I5" s="5"/>
      <c r="K5" s="5"/>
    </row>
    <row r="6" spans="1:16" s="4" customFormat="1">
      <c r="A6" s="79" t="s">
        <v>73</v>
      </c>
      <c r="B6" s="45" t="str">
        <f>DEPENDENCYLIGHT</f>
        <v/>
      </c>
      <c r="F6" s="5"/>
      <c r="I6" s="5"/>
      <c r="K6" s="5"/>
    </row>
    <row r="7" spans="1:16" s="4" customFormat="1">
      <c r="A7" s="79" t="s">
        <v>74</v>
      </c>
      <c r="B7" s="45" t="str">
        <f>MEASURELIGHT</f>
        <v/>
      </c>
      <c r="F7" s="5"/>
      <c r="I7" s="5"/>
      <c r="K7" s="5"/>
    </row>
    <row r="8" spans="1:16" s="4" customFormat="1" ht="15">
      <c r="A8" s="79" t="s">
        <v>75</v>
      </c>
      <c r="B8" s="44" t="str">
        <f>COMMUNICATIONLIGHT</f>
        <v>GREEN</v>
      </c>
      <c r="D8" s="18"/>
      <c r="F8" s="5"/>
      <c r="I8" s="5"/>
      <c r="K8" s="5"/>
    </row>
    <row r="9" spans="1:16" s="4" customFormat="1" ht="15">
      <c r="A9" s="79" t="s">
        <v>76</v>
      </c>
      <c r="B9" s="46" t="str">
        <f>FINANCELIGHT</f>
        <v>RED</v>
      </c>
      <c r="D9" s="18"/>
      <c r="F9" s="5"/>
      <c r="I9" s="5"/>
      <c r="K9" s="5"/>
    </row>
    <row r="10" spans="1:16" s="5" customFormat="1">
      <c r="A10" s="79"/>
      <c r="B10" s="175"/>
      <c r="P10" s="11"/>
    </row>
    <row r="11" spans="1:16" s="5" customFormat="1" ht="17.25">
      <c r="A11" s="79"/>
      <c r="B11" s="173" t="str">
        <f>ProjNo</f>
        <v>RT029</v>
      </c>
      <c r="C11" s="174" t="str">
        <f>ProjName</f>
        <v>Cloud Based Bioinformatics Tools</v>
      </c>
      <c r="P11" s="11"/>
    </row>
    <row r="12" spans="1:16" s="5" customFormat="1" ht="17.25">
      <c r="A12" s="79"/>
      <c r="B12" s="171" t="s">
        <v>111</v>
      </c>
      <c r="C12" s="176">
        <f>ReportFrom</f>
        <v>41011</v>
      </c>
      <c r="D12" s="168"/>
      <c r="P12" s="11"/>
    </row>
    <row r="13" spans="1:16" s="5" customFormat="1" ht="17.25">
      <c r="A13" s="79"/>
      <c r="B13" s="172" t="s">
        <v>112</v>
      </c>
      <c r="C13" s="177">
        <f>LastDateReport</f>
        <v>41061</v>
      </c>
      <c r="D13" s="168"/>
      <c r="P13" s="11"/>
    </row>
    <row r="14" spans="1:16" s="5" customFormat="1" ht="6" customHeight="1">
      <c r="A14" s="79"/>
      <c r="B14" s="169"/>
      <c r="C14" s="170"/>
      <c r="D14" s="168"/>
      <c r="P14" s="11"/>
    </row>
    <row r="15" spans="1:16" ht="19.5">
      <c r="B15" s="13" t="s">
        <v>51</v>
      </c>
      <c r="C15" s="13"/>
      <c r="D15" s="13"/>
      <c r="G15" s="13" t="s">
        <v>96</v>
      </c>
      <c r="H15" s="13" t="str">
        <f>FINANCELIGHT</f>
        <v>RED</v>
      </c>
      <c r="I15" s="13"/>
      <c r="K15" s="13"/>
    </row>
    <row r="16" spans="1:16" s="5" customFormat="1" ht="19.5">
      <c r="B16" s="25" t="s">
        <v>59</v>
      </c>
      <c r="C16" s="13"/>
      <c r="D16" s="13"/>
      <c r="E16" s="13"/>
      <c r="F16" s="13"/>
      <c r="G16" s="13"/>
      <c r="H16" s="13"/>
      <c r="I16" s="13"/>
      <c r="J16" s="13"/>
      <c r="K16" s="13"/>
    </row>
    <row r="17" spans="1:22" ht="17.25">
      <c r="A17" s="83"/>
      <c r="B17" s="83"/>
      <c r="C17" s="130"/>
      <c r="D17" s="130"/>
      <c r="E17" s="130"/>
      <c r="F17" s="130"/>
      <c r="G17" s="130"/>
      <c r="H17" s="130"/>
      <c r="I17" s="130"/>
      <c r="J17" s="130"/>
      <c r="K17" s="131"/>
      <c r="L17" s="83"/>
      <c r="M17" s="83"/>
      <c r="N17" s="83"/>
      <c r="O17" s="83"/>
      <c r="P17" s="83"/>
      <c r="Q17" s="83"/>
      <c r="R17" s="83"/>
      <c r="S17" s="83"/>
      <c r="T17" s="83"/>
      <c r="U17" s="83"/>
      <c r="V17" s="83"/>
    </row>
    <row r="18" spans="1:22" ht="15.75" thickBot="1">
      <c r="A18" s="83"/>
      <c r="B18" s="132"/>
      <c r="C18" s="132"/>
      <c r="D18" s="83"/>
      <c r="E18" s="83"/>
      <c r="F18" s="83"/>
      <c r="G18" s="83"/>
      <c r="H18" s="83"/>
      <c r="I18" s="83"/>
      <c r="J18" s="86"/>
      <c r="K18" s="133"/>
      <c r="L18" s="101" t="s">
        <v>84</v>
      </c>
      <c r="M18" s="101" t="s">
        <v>85</v>
      </c>
      <c r="N18" s="101" t="s">
        <v>86</v>
      </c>
      <c r="O18" s="101" t="s">
        <v>87</v>
      </c>
      <c r="P18" s="101" t="s">
        <v>90</v>
      </c>
      <c r="Q18" s="101" t="s">
        <v>88</v>
      </c>
      <c r="R18" s="101" t="s">
        <v>89</v>
      </c>
      <c r="S18" s="83"/>
      <c r="T18" s="83"/>
      <c r="U18" s="83"/>
      <c r="V18" s="83"/>
    </row>
    <row r="19" spans="1:22" s="4" customFormat="1" ht="15.75" thickBot="1">
      <c r="A19" s="83"/>
      <c r="B19" s="132"/>
      <c r="C19" s="132"/>
      <c r="D19" s="320" t="s">
        <v>56</v>
      </c>
      <c r="E19" s="321"/>
      <c r="F19" s="322"/>
      <c r="G19" s="320" t="s">
        <v>57</v>
      </c>
      <c r="H19" s="321"/>
      <c r="I19" s="322"/>
      <c r="J19" s="86"/>
      <c r="K19" s="133"/>
      <c r="L19" s="101"/>
      <c r="M19" s="101"/>
      <c r="N19" s="101"/>
      <c r="O19" s="101"/>
      <c r="P19" s="101"/>
      <c r="Q19" s="101"/>
      <c r="R19" s="101"/>
      <c r="S19" s="83"/>
      <c r="T19" s="83"/>
      <c r="U19" s="83"/>
      <c r="V19" s="83"/>
    </row>
    <row r="20" spans="1:22" ht="15.75" thickBot="1">
      <c r="A20" s="83"/>
      <c r="B20" s="132"/>
      <c r="C20" s="132"/>
      <c r="D20" s="219" t="s">
        <v>55</v>
      </c>
      <c r="E20" s="220" t="s">
        <v>58</v>
      </c>
      <c r="F20" s="221" t="s">
        <v>151</v>
      </c>
      <c r="G20" s="219" t="s">
        <v>55</v>
      </c>
      <c r="H20" s="220" t="s">
        <v>58</v>
      </c>
      <c r="I20" s="221" t="s">
        <v>151</v>
      </c>
      <c r="J20" s="80"/>
      <c r="K20" s="134"/>
      <c r="L20" s="101"/>
      <c r="M20" s="101"/>
      <c r="N20" s="101"/>
      <c r="O20" s="101"/>
      <c r="P20" s="101"/>
      <c r="Q20" s="101"/>
      <c r="R20" s="101"/>
      <c r="S20" s="83"/>
      <c r="T20" s="83"/>
      <c r="U20" s="83"/>
      <c r="V20" s="83"/>
    </row>
    <row r="21" spans="1:22" ht="27.95" customHeight="1">
      <c r="A21" s="135" t="s">
        <v>80</v>
      </c>
      <c r="B21" s="136" t="s">
        <v>52</v>
      </c>
      <c r="C21" s="215"/>
      <c r="D21" s="226"/>
      <c r="E21" s="227"/>
      <c r="F21" s="228"/>
      <c r="G21" s="224"/>
      <c r="H21" s="218"/>
      <c r="I21" s="225"/>
      <c r="J21" s="126"/>
      <c r="K21" s="137"/>
      <c r="L21" s="101"/>
      <c r="M21" s="101"/>
      <c r="N21" s="101"/>
      <c r="O21" s="101"/>
      <c r="P21" s="101"/>
      <c r="Q21" s="101"/>
      <c r="R21" s="101"/>
      <c r="S21" s="83"/>
      <c r="T21" s="83"/>
      <c r="U21" s="83"/>
      <c r="V21" s="83"/>
    </row>
    <row r="22" spans="1:22" ht="27.95" customHeight="1">
      <c r="A22" s="83"/>
      <c r="B22" s="138" t="s">
        <v>53</v>
      </c>
      <c r="C22" s="216"/>
      <c r="D22" s="226">
        <v>52000</v>
      </c>
      <c r="E22" s="227">
        <v>1000</v>
      </c>
      <c r="F22" s="228"/>
      <c r="G22" s="224">
        <v>52000</v>
      </c>
      <c r="H22" s="218">
        <v>1000</v>
      </c>
      <c r="I22" s="225"/>
      <c r="J22" s="126"/>
      <c r="K22" s="137"/>
      <c r="L22" s="101"/>
      <c r="M22" s="101"/>
      <c r="N22" s="101"/>
      <c r="O22" s="101"/>
      <c r="P22" s="101"/>
      <c r="Q22" s="101"/>
      <c r="R22" s="101"/>
      <c r="S22" s="83"/>
      <c r="T22" s="83"/>
      <c r="U22" s="83"/>
      <c r="V22" s="83"/>
    </row>
    <row r="23" spans="1:22" ht="27.95" customHeight="1" thickBot="1">
      <c r="A23" s="83"/>
      <c r="B23" s="138" t="s">
        <v>54</v>
      </c>
      <c r="C23" s="216"/>
      <c r="D23" s="226"/>
      <c r="E23" s="227"/>
      <c r="F23" s="228">
        <v>20000</v>
      </c>
      <c r="G23" s="224"/>
      <c r="H23" s="218"/>
      <c r="I23" s="225">
        <v>0</v>
      </c>
      <c r="J23" s="126"/>
      <c r="K23" s="137"/>
      <c r="L23" s="101"/>
      <c r="M23" s="101"/>
      <c r="N23" s="101"/>
      <c r="O23" s="101"/>
      <c r="P23" s="101"/>
      <c r="Q23" s="101"/>
      <c r="R23" s="101"/>
      <c r="S23" s="83"/>
      <c r="T23" s="83"/>
      <c r="U23" s="83"/>
      <c r="V23" s="83"/>
    </row>
    <row r="24" spans="1:22" ht="27.95" customHeight="1" thickBot="1">
      <c r="A24" s="83"/>
      <c r="B24" s="139" t="s">
        <v>42</v>
      </c>
      <c r="C24" s="217"/>
      <c r="D24" s="222">
        <f t="shared" ref="D24:H24" si="0">SUM(D21:D23)</f>
        <v>52000</v>
      </c>
      <c r="E24" s="223">
        <f t="shared" si="0"/>
        <v>1000</v>
      </c>
      <c r="F24" s="140">
        <f t="shared" ref="F24" si="1">SUM(F21:F23)</f>
        <v>20000</v>
      </c>
      <c r="G24" s="222">
        <f>SUM(G21:G23)</f>
        <v>52000</v>
      </c>
      <c r="H24" s="223">
        <f t="shared" si="0"/>
        <v>1000</v>
      </c>
      <c r="I24" s="140">
        <f t="shared" ref="I24" si="2">SUM(I21:I23)</f>
        <v>0</v>
      </c>
      <c r="J24" s="141"/>
      <c r="K24" s="141"/>
      <c r="L24" s="142">
        <f>IF(ISERROR((G24/D24-1)),"",(G24/D24-1))</f>
        <v>0</v>
      </c>
      <c r="M24" s="101" t="str">
        <f>IF(ISERROR(IF(ABS(L24)&lt;0.1,"GREEN",IF(ABS(L24)&lt;0.2,"AMBER","RED"))),"",IF(ABS(L24)&lt;0.1,"GREEN",IF(ABS(L24)&lt;0.2,"AMBER","RED")))</f>
        <v>GREEN</v>
      </c>
      <c r="N24" s="101">
        <f>IF(ISERROR((((H24+I24)/(E24+F24)-1))),"",(((H24+I24)/(E24+F24)-1)))</f>
        <v>-0.95238095238095233</v>
      </c>
      <c r="O24" s="101" t="str">
        <f>IF(ISERROR(IF(ABS(N24)&lt;0.1,"GREEN",IF(ABS(N24)&lt;0.2,"AMBER","RED"))),"",IF(ABS(N24)&lt;0.1,"GREEN",IF(ABS(N24)&lt;0.2,"AMBER","RED")))</f>
        <v>RED</v>
      </c>
      <c r="P24" s="143" t="str">
        <f>IF(ISERROR(IF(M24="RED","RED",IF(O24="RED","RED",IF(M24="AMBER","AMBER",IF(O24="AMBER","AMBER","GREEN"))))),"",IF(M24="RED","RED",IF(O24="RED","RED",IF(M24="AMBER","AMBER",IF(O24="AMBER","AMBER","GREEN")))))</f>
        <v>RED</v>
      </c>
      <c r="Q24" s="101">
        <f>IF(ISERROR(L24*100),"",L24*100)</f>
        <v>0</v>
      </c>
      <c r="R24" s="101">
        <f>IF(ISERROR(N24*100),"",N24*100)</f>
        <v>-95.238095238095227</v>
      </c>
      <c r="S24" s="83"/>
      <c r="T24" s="83"/>
      <c r="U24" s="83"/>
      <c r="V24" s="83"/>
    </row>
    <row r="25" spans="1:22">
      <c r="A25" s="83"/>
      <c r="B25" s="144"/>
      <c r="C25" s="144"/>
      <c r="D25" s="132"/>
      <c r="E25" s="132"/>
      <c r="F25" s="132"/>
      <c r="G25" s="132"/>
      <c r="H25" s="132"/>
      <c r="I25" s="132"/>
      <c r="J25" s="132"/>
      <c r="K25" s="137"/>
      <c r="L25" s="83"/>
      <c r="M25" s="83"/>
      <c r="N25" s="83"/>
      <c r="O25" s="83"/>
      <c r="P25" s="83"/>
      <c r="Q25" s="83"/>
      <c r="R25" s="83"/>
      <c r="S25" s="83"/>
      <c r="T25" s="83"/>
      <c r="U25" s="83"/>
      <c r="V25" s="83"/>
    </row>
    <row r="26" spans="1:22" ht="17.25">
      <c r="A26" s="83"/>
      <c r="B26" s="131"/>
      <c r="C26" s="131"/>
      <c r="D26" s="131"/>
      <c r="E26" s="131"/>
      <c r="F26" s="131"/>
      <c r="G26" s="131"/>
      <c r="H26" s="131"/>
      <c r="I26" s="131"/>
      <c r="J26" s="131"/>
      <c r="K26" s="145"/>
      <c r="L26" s="83"/>
      <c r="M26" s="83"/>
      <c r="N26" s="83"/>
      <c r="O26" s="83"/>
      <c r="P26" s="83"/>
      <c r="Q26" s="83"/>
      <c r="R26" s="83"/>
      <c r="S26" s="83"/>
      <c r="T26" s="83"/>
      <c r="U26" s="83"/>
      <c r="V26" s="83"/>
    </row>
    <row r="27" spans="1:22" ht="15.75" thickBot="1">
      <c r="A27" s="83"/>
      <c r="B27" s="87" t="s">
        <v>27</v>
      </c>
      <c r="C27" s="127"/>
      <c r="D27" s="127"/>
      <c r="E27" s="127"/>
      <c r="F27" s="127"/>
      <c r="G27" s="127"/>
      <c r="H27" s="127"/>
      <c r="I27" s="127"/>
      <c r="J27" s="127"/>
      <c r="K27" s="137"/>
      <c r="L27" s="83"/>
      <c r="M27" s="83"/>
      <c r="N27" s="83"/>
      <c r="O27" s="83"/>
      <c r="P27" s="83"/>
      <c r="Q27" s="83"/>
      <c r="R27" s="83"/>
      <c r="S27" s="83"/>
      <c r="T27" s="83"/>
      <c r="U27" s="83"/>
      <c r="V27" s="83"/>
    </row>
    <row r="28" spans="1:22" ht="48" customHeight="1" thickBot="1">
      <c r="A28" s="83"/>
      <c r="B28" s="323" t="s">
        <v>250</v>
      </c>
      <c r="C28" s="324"/>
      <c r="D28" s="324"/>
      <c r="E28" s="324"/>
      <c r="F28" s="324"/>
      <c r="G28" s="324"/>
      <c r="H28" s="324"/>
      <c r="I28" s="325"/>
      <c r="J28" s="129"/>
      <c r="K28" s="129"/>
      <c r="L28" s="83"/>
      <c r="M28" s="83"/>
      <c r="N28" s="83"/>
      <c r="O28" s="83"/>
      <c r="P28" s="83"/>
      <c r="Q28" s="83"/>
      <c r="R28" s="83"/>
      <c r="S28" s="83"/>
      <c r="T28" s="83"/>
      <c r="U28" s="83"/>
      <c r="V28" s="83"/>
    </row>
    <row r="29" spans="1:22">
      <c r="A29" s="83"/>
      <c r="B29" s="146"/>
      <c r="C29" s="147"/>
      <c r="D29" s="147"/>
      <c r="E29" s="147"/>
      <c r="F29" s="147"/>
      <c r="G29" s="147"/>
      <c r="H29" s="127"/>
      <c r="I29" s="127"/>
      <c r="J29" s="127"/>
      <c r="K29" s="132"/>
      <c r="L29" s="83"/>
      <c r="M29" s="83"/>
      <c r="N29" s="83"/>
      <c r="O29" s="83"/>
      <c r="P29" s="83"/>
      <c r="Q29" s="83"/>
      <c r="R29" s="83"/>
      <c r="S29" s="83"/>
      <c r="T29" s="83"/>
      <c r="U29" s="83"/>
      <c r="V29" s="83"/>
    </row>
    <row r="30" spans="1:22">
      <c r="A30" s="83"/>
      <c r="B30" s="146"/>
      <c r="C30" s="147"/>
      <c r="D30" s="147"/>
      <c r="E30" s="147"/>
      <c r="F30" s="147"/>
      <c r="G30" s="147"/>
      <c r="H30" s="127"/>
      <c r="I30" s="127"/>
      <c r="J30" s="127"/>
      <c r="K30" s="132"/>
      <c r="L30" s="83"/>
      <c r="M30" s="83"/>
      <c r="N30" s="83"/>
      <c r="O30" s="83"/>
      <c r="P30" s="83"/>
      <c r="Q30" s="83"/>
      <c r="R30" s="83"/>
      <c r="S30" s="83"/>
      <c r="T30" s="83"/>
      <c r="U30" s="83"/>
      <c r="V30" s="83"/>
    </row>
    <row r="31" spans="1:22" ht="14.1" customHeight="1">
      <c r="A31" s="83"/>
      <c r="B31" s="309" t="s">
        <v>152</v>
      </c>
      <c r="C31" s="309"/>
      <c r="D31" s="309"/>
      <c r="E31" s="309"/>
      <c r="F31" s="147"/>
      <c r="G31" s="147"/>
      <c r="H31" s="127"/>
      <c r="I31" s="127"/>
      <c r="J31" s="127"/>
      <c r="K31" s="132"/>
      <c r="L31" s="83"/>
      <c r="M31" s="83"/>
      <c r="N31" s="83"/>
      <c r="O31" s="83"/>
      <c r="P31" s="83"/>
      <c r="Q31" s="83"/>
      <c r="R31" s="83"/>
      <c r="S31" s="83"/>
      <c r="T31" s="83"/>
      <c r="U31" s="83"/>
      <c r="V31" s="83"/>
    </row>
    <row r="32" spans="1:22">
      <c r="A32" s="83"/>
      <c r="B32" s="146"/>
      <c r="C32" s="147"/>
      <c r="D32" s="147"/>
      <c r="E32" s="147"/>
      <c r="F32" s="147"/>
      <c r="G32" s="147"/>
      <c r="H32" s="127"/>
      <c r="I32" s="127"/>
      <c r="J32" s="127"/>
      <c r="K32" s="132"/>
      <c r="L32" s="83"/>
      <c r="M32" s="83"/>
      <c r="N32" s="83"/>
      <c r="O32" s="83"/>
      <c r="P32" s="83"/>
      <c r="Q32" s="83"/>
      <c r="R32" s="83"/>
      <c r="S32" s="83"/>
      <c r="T32" s="83"/>
      <c r="U32" s="83"/>
      <c r="V32" s="83"/>
    </row>
    <row r="33" spans="1:22">
      <c r="A33" s="83"/>
      <c r="B33" s="80"/>
      <c r="C33" s="80"/>
      <c r="D33" s="80"/>
      <c r="E33" s="80"/>
      <c r="F33" s="80"/>
      <c r="G33" s="80"/>
      <c r="H33" s="80"/>
      <c r="I33" s="80"/>
      <c r="J33" s="80"/>
      <c r="K33" s="83"/>
      <c r="L33" s="83"/>
      <c r="M33" s="83"/>
      <c r="N33" s="83"/>
      <c r="O33" s="83"/>
      <c r="P33" s="83"/>
      <c r="Q33" s="83"/>
      <c r="R33" s="83"/>
      <c r="S33" s="83"/>
      <c r="T33" s="83"/>
      <c r="U33" s="83"/>
      <c r="V33" s="83"/>
    </row>
    <row r="34" spans="1:22">
      <c r="A34" s="83"/>
      <c r="B34" s="83"/>
      <c r="C34" s="83"/>
      <c r="D34" s="83"/>
      <c r="E34" s="83"/>
      <c r="F34" s="83"/>
      <c r="G34" s="83"/>
      <c r="H34" s="83"/>
      <c r="I34" s="83"/>
      <c r="J34" s="83"/>
      <c r="K34" s="83"/>
      <c r="L34" s="83"/>
      <c r="M34" s="83"/>
      <c r="N34" s="83"/>
      <c r="O34" s="83"/>
      <c r="P34" s="83"/>
      <c r="Q34" s="83"/>
      <c r="R34" s="83"/>
      <c r="S34" s="83"/>
      <c r="T34" s="83"/>
      <c r="U34" s="83"/>
      <c r="V34" s="83"/>
    </row>
    <row r="35" spans="1:22">
      <c r="A35" s="83"/>
      <c r="B35" s="83"/>
      <c r="C35" s="83"/>
      <c r="D35" s="83"/>
      <c r="E35" s="83"/>
      <c r="F35" s="83"/>
      <c r="G35" s="83"/>
      <c r="H35" s="83"/>
      <c r="I35" s="83"/>
      <c r="J35" s="83"/>
      <c r="K35" s="83"/>
      <c r="L35" s="83"/>
      <c r="M35" s="83"/>
      <c r="N35" s="83"/>
      <c r="O35" s="83"/>
      <c r="P35" s="83"/>
      <c r="Q35" s="83"/>
      <c r="R35" s="83"/>
      <c r="S35" s="83"/>
      <c r="T35" s="83"/>
      <c r="U35" s="83"/>
      <c r="V35" s="83"/>
    </row>
    <row r="36" spans="1:22">
      <c r="B36" s="5"/>
      <c r="C36" s="5"/>
      <c r="D36" s="5"/>
      <c r="E36" s="5"/>
      <c r="G36" s="5"/>
      <c r="H36" s="5"/>
      <c r="J36" s="5"/>
    </row>
    <row r="37" spans="1:22">
      <c r="B37" s="5"/>
      <c r="C37" s="5"/>
      <c r="D37" s="5"/>
      <c r="E37" s="5"/>
      <c r="G37" s="5"/>
      <c r="H37" s="5"/>
      <c r="J37" s="5"/>
    </row>
  </sheetData>
  <sheetProtection sheet="1" objects="1" scenarios="1" selectLockedCells="1"/>
  <mergeCells count="4">
    <mergeCell ref="D19:F19"/>
    <mergeCell ref="G19:I19"/>
    <mergeCell ref="B28:I28"/>
    <mergeCell ref="B31:E31"/>
  </mergeCells>
  <phoneticPr fontId="7" type="noConversion"/>
  <conditionalFormatting sqref="B1 B16:S18 K15:S15 B15:D15 G15:I15 B19:D19 G19 J19:S19 B20:S27">
    <cfRule type="cellIs" dxfId="44" priority="8" operator="equal">
      <formula>"AMBER"</formula>
    </cfRule>
    <cfRule type="cellIs" dxfId="43" priority="9" operator="equal">
      <formula>"RED"</formula>
    </cfRule>
    <cfRule type="cellIs" dxfId="42" priority="10" operator="equal">
      <formula>"GREEN"</formula>
    </cfRule>
  </conditionalFormatting>
  <conditionalFormatting sqref="C2:S9 B29:S30 B28 J28:S28 B32:S35 F31:S31">
    <cfRule type="cellIs" dxfId="41" priority="17" operator="equal">
      <formula>"AMBER"</formula>
    </cfRule>
    <cfRule type="cellIs" dxfId="40" priority="18" operator="equal">
      <formula>"RED"</formula>
    </cfRule>
    <cfRule type="cellIs" dxfId="39" priority="19" operator="equal">
      <formula>"GREEN"</formula>
    </cfRule>
  </conditionalFormatting>
  <conditionalFormatting sqref="B1:B9">
    <cfRule type="cellIs" dxfId="38" priority="11" operator="equal">
      <formula>"AMBER"</formula>
    </cfRule>
    <cfRule type="cellIs" dxfId="37" priority="12" operator="equal">
      <formula>"RED"</formula>
    </cfRule>
    <cfRule type="cellIs" dxfId="36" priority="13" operator="equal">
      <formula>"GREEN"</formula>
    </cfRule>
  </conditionalFormatting>
  <conditionalFormatting sqref="D12:K14 C10:K11">
    <cfRule type="cellIs" dxfId="35" priority="5" operator="equal">
      <formula>"AMBER"</formula>
    </cfRule>
    <cfRule type="cellIs" dxfId="34" priority="6" operator="equal">
      <formula>"RED"</formula>
    </cfRule>
    <cfRule type="cellIs" dxfId="33" priority="7" operator="equal">
      <formula>"GREEN"</formula>
    </cfRule>
  </conditionalFormatting>
  <conditionalFormatting sqref="B10:B11">
    <cfRule type="cellIs" dxfId="32" priority="2" operator="equal">
      <formula>"AMBER"</formula>
    </cfRule>
    <cfRule type="cellIs" dxfId="31" priority="3" operator="equal">
      <formula>"RED"</formula>
    </cfRule>
    <cfRule type="cellIs" dxfId="30" priority="4" operator="equal">
      <formula>"GREEN"</formula>
    </cfRule>
  </conditionalFormatting>
  <hyperlinks>
    <hyperlink ref="A1" location="'1.Header'!A1" display="1.Header"/>
    <hyperlink ref="A2" location="'2.Milestones'!MILESTONESTART" display="2.Milestones"/>
    <hyperlink ref="A3" location="'2.Milestones'!ISSUESTART" display="3.Issues"/>
    <hyperlink ref="A4" location="'4.Risks'!RISKSTART" display="4.Risks"/>
    <hyperlink ref="A5" location="'5.Changes'!CHANGESTART" display="5.Changes"/>
    <hyperlink ref="A6" location="'6.Dependencies'!DEPENDENCYSTART" display="6.Dependencies"/>
    <hyperlink ref="A7" location="'7.Measures'!MEASURESTART" display="7.Measures"/>
    <hyperlink ref="A8" location="'8.Communications'!COMMUNICATIONSTART" display="8.Communications"/>
    <hyperlink ref="A9" location="'9.Finance'!FINANCESTART" display="9.Finance"/>
    <hyperlink ref="B31" location="Legend!A1" display="See Legend"/>
  </hyperlinks>
  <pageMargins left="0.75" right="0.75" top="1" bottom="1" header="0.5" footer="0.5"/>
  <pageSetup paperSize="9" scale="87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47</vt:i4>
      </vt:variant>
    </vt:vector>
  </HeadingPairs>
  <TitlesOfParts>
    <vt:vector size="58" baseType="lpstr">
      <vt:lpstr>1.Header</vt:lpstr>
      <vt:lpstr>2.Milestones</vt:lpstr>
      <vt:lpstr>3.Issues</vt:lpstr>
      <vt:lpstr>4.Risks</vt:lpstr>
      <vt:lpstr>5.Changes</vt:lpstr>
      <vt:lpstr>6.Dependencies</vt:lpstr>
      <vt:lpstr>7.Measures</vt:lpstr>
      <vt:lpstr>8.Communications</vt:lpstr>
      <vt:lpstr>9.Finance</vt:lpstr>
      <vt:lpstr>Legend</vt:lpstr>
      <vt:lpstr>Data- TO BE HIDDEN</vt:lpstr>
      <vt:lpstr>AssetMeasures</vt:lpstr>
      <vt:lpstr>CHANGELIGHT</vt:lpstr>
      <vt:lpstr>CHANGESTART</vt:lpstr>
      <vt:lpstr>Check1Status</vt:lpstr>
      <vt:lpstr>Check2Status</vt:lpstr>
      <vt:lpstr>COINVESTMENTLIGHT</vt:lpstr>
      <vt:lpstr>CommsType</vt:lpstr>
      <vt:lpstr>COMMUNICATIONLIGHT</vt:lpstr>
      <vt:lpstr>COMMUNICATIONSTART</vt:lpstr>
      <vt:lpstr>DEPENDENCY</vt:lpstr>
      <vt:lpstr>DEPENDENCYLIGHT</vt:lpstr>
      <vt:lpstr>DEPENDENCYSTART</vt:lpstr>
      <vt:lpstr>EIFLIGHT</vt:lpstr>
      <vt:lpstr>FINANCELIGHT</vt:lpstr>
      <vt:lpstr>FINANCESTART</vt:lpstr>
      <vt:lpstr>ISSUELIGHT</vt:lpstr>
      <vt:lpstr>ISSUESTART</vt:lpstr>
      <vt:lpstr>LastDateReport</vt:lpstr>
      <vt:lpstr>MEASURELIGHT</vt:lpstr>
      <vt:lpstr>MeasuresNumber</vt:lpstr>
      <vt:lpstr>MEASURESTART</vt:lpstr>
      <vt:lpstr>MILESTONELIGHT</vt:lpstr>
      <vt:lpstr>MILESTONESTART</vt:lpstr>
      <vt:lpstr>'2.Milestones'!OLE_LINK6</vt:lpstr>
      <vt:lpstr>Org</vt:lpstr>
      <vt:lpstr>OVERALLLIGHT</vt:lpstr>
      <vt:lpstr>PercentageListItems</vt:lpstr>
      <vt:lpstr>'1.Header'!Print_Area</vt:lpstr>
      <vt:lpstr>'2.Milestones'!Print_Area</vt:lpstr>
      <vt:lpstr>'3.Issues'!Print_Area</vt:lpstr>
      <vt:lpstr>'4.Risks'!Print_Area</vt:lpstr>
      <vt:lpstr>'5.Changes'!Print_Area</vt:lpstr>
      <vt:lpstr>'6.Dependencies'!Print_Area</vt:lpstr>
      <vt:lpstr>'7.Measures'!Print_Area</vt:lpstr>
      <vt:lpstr>'8.Communications'!Print_Area</vt:lpstr>
      <vt:lpstr>'9.Finance'!Print_Area</vt:lpstr>
      <vt:lpstr>Legend!Print_Area</vt:lpstr>
      <vt:lpstr>ProjManager</vt:lpstr>
      <vt:lpstr>ProjName</vt:lpstr>
      <vt:lpstr>ProjNo</vt:lpstr>
      <vt:lpstr>ReportFrom</vt:lpstr>
      <vt:lpstr>ReportNo</vt:lpstr>
      <vt:lpstr>RISKLIGHT</vt:lpstr>
      <vt:lpstr>RiskRating</vt:lpstr>
      <vt:lpstr>RISKSTART</vt:lpstr>
      <vt:lpstr>statuslistitems</vt:lpstr>
      <vt:lpstr>YesNo</vt:lpstr>
    </vt:vector>
  </TitlesOfParts>
  <Company>The University Of Melbourne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 University Of Melbourne</dc:creator>
  <cp:lastModifiedBy>pwhite</cp:lastModifiedBy>
  <cp:lastPrinted>2012-05-15T02:29:38Z</cp:lastPrinted>
  <dcterms:created xsi:type="dcterms:W3CDTF">2012-03-07T21:58:04Z</dcterms:created>
  <dcterms:modified xsi:type="dcterms:W3CDTF">2012-06-13T09:49:40Z</dcterms:modified>
</cp:coreProperties>
</file>