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55" windowWidth="20775" windowHeight="9405" tabRatio="801" activeTab="14"/>
  </bookViews>
  <sheets>
    <sheet name="1.Header" sheetId="1" r:id="rId1"/>
    <sheet name="2.Milestones" sheetId="2" r:id="rId2"/>
    <sheet name="3.Issues" sheetId="3" r:id="rId3"/>
    <sheet name="4.Risks" sheetId="4" r:id="rId4"/>
    <sheet name="5.Changes" sheetId="5" r:id="rId5"/>
    <sheet name="6.Dependencies" sheetId="6" r:id="rId6"/>
    <sheet name="7.Measures" sheetId="7" r:id="rId7"/>
    <sheet name="8.Communications" sheetId="8" r:id="rId8"/>
    <sheet name="9.Finance" sheetId="9" state="hidden" r:id="rId9"/>
    <sheet name="Legend" sheetId="10" r:id="rId10"/>
    <sheet name="Data- TO BE HIDDEN" sheetId="11" state="hidden" r:id="rId11"/>
    <sheet name="ReportInformation" sheetId="12" state="hidden" r:id="rId12"/>
    <sheet name="10.Assets" sheetId="13" r:id="rId13"/>
    <sheet name="Sheet1" sheetId="14" state="hidden" r:id="rId14"/>
    <sheet name="RT029" sheetId="16" r:id="rId15"/>
  </sheets>
  <externalReferences>
    <externalReference r:id="rId16"/>
    <externalReference r:id="rId17"/>
    <externalReference r:id="rId18"/>
  </externalReferences>
  <definedNames>
    <definedName name="ActualCumulativeCo">ReportInformation!$X$11</definedName>
    <definedName name="ActualCumulativeEIF">ReportInformation!$W$11</definedName>
    <definedName name="AssetMeasures">'7.Measures'!$H$20:$L$33</definedName>
    <definedName name="AssetTypeItems">'Data- TO BE HIDDEN'!$I$2:$I$4</definedName>
    <definedName name="CHANGELIGHT">'5.Changes'!$M$28</definedName>
    <definedName name="CHANGESTART">'5.Changes'!$B$19</definedName>
    <definedName name="Check1">'1.Header'!$D$37</definedName>
    <definedName name="Check1Status">'1.Header'!$T$38</definedName>
    <definedName name="Check2">'1.Header'!$D$39</definedName>
    <definedName name="Check2Status">'1.Header'!$T$40</definedName>
    <definedName name="COINVESTMENTLIGHT">'9.Finance'!$AD$24</definedName>
    <definedName name="CommsType">'Data- TO BE HIDDEN'!$C$2:$C$9</definedName>
    <definedName name="COMMUNICATIONLIGHT">'8.Communications'!$H$43</definedName>
    <definedName name="COMMUNICATIONSTART">'8.Communications'!$B$18</definedName>
    <definedName name="DEPENDENCY">'6.Dependencies'!$B$28</definedName>
    <definedName name="DEPENDENCYLIGHT">'6.Dependencies'!$G$24</definedName>
    <definedName name="DEPENDENCYSTART">'6.Dependencies'!$B$19</definedName>
    <definedName name="EarliestDate">'Data- TO BE HIDDEN'!$F$2</definedName>
    <definedName name="EIFLIGHT">'9.Finance'!$AB$24</definedName>
    <definedName name="FINANCELIGHT" localSheetId="14">'RT029'!$T$29</definedName>
    <definedName name="FINANCELIGHT">'[1]Finance 2'!$T$29</definedName>
    <definedName name="FINANCESTART">'[1]Finance 2'!$D$25</definedName>
    <definedName name="ISSUELIGHT">'3.Issues'!$K$28</definedName>
    <definedName name="ISSUESTART">'3.Issues'!$B$19</definedName>
    <definedName name="LastDateReport" localSheetId="14">[2]RT029!$C$13</definedName>
    <definedName name="LastDateReport">'1.Header'!$G$16</definedName>
    <definedName name="LASTQUARTER" localSheetId="14">'RT029'!$I$29</definedName>
    <definedName name="LASTQUARTER">'[1]Finance 2'!$I$29</definedName>
    <definedName name="LatestDate">'Data- TO BE HIDDEN'!$G$2</definedName>
    <definedName name="MEASURELIGHT">'7.Measures'!$Q$46</definedName>
    <definedName name="MeasuresNumber">'7.Measures'!$C$21</definedName>
    <definedName name="MEASURESTART">'7.Measures'!$H$20</definedName>
    <definedName name="MILESTONELIGHT">'2.Milestones'!$P$37</definedName>
    <definedName name="MILESTONESTART">'2.Milestones'!$G$19</definedName>
    <definedName name="OLE_LINK6" localSheetId="1">'2.Milestones'!$D$26</definedName>
    <definedName name="Org">'1.Header'!$G$19</definedName>
    <definedName name="OVERALLLIGHT">'1.Header'!$AE$32</definedName>
    <definedName name="PercentageListItems">'Data- TO BE HIDDEN'!$B$2:$B$6</definedName>
    <definedName name="_xlnm.Print_Area" localSheetId="0">'1.Header'!$B$11:$N$42</definedName>
    <definedName name="_xlnm.Print_Area" localSheetId="12">'10.Assets'!$B$11:$J$36</definedName>
    <definedName name="_xlnm.Print_Area" localSheetId="1">'2.Milestones'!$B$11:$M$38</definedName>
    <definedName name="_xlnm.Print_Area" localSheetId="2">'3.Issues'!$B$11:$F$29</definedName>
    <definedName name="_xlnm.Print_Area" localSheetId="3">'4.Risks'!$B$11:$E$23</definedName>
    <definedName name="_xlnm.Print_Area" localSheetId="4">'5.Changes'!$B$11:$I$29</definedName>
    <definedName name="_xlnm.Print_Area" localSheetId="5">'6.Dependencies'!$B$11:$F$28</definedName>
    <definedName name="_xlnm.Print_Area" localSheetId="6">'7.Measures'!$B$11:$R$45</definedName>
    <definedName name="_xlnm.Print_Area" localSheetId="7">'8.Communications'!$B$11:$E$38</definedName>
    <definedName name="_xlnm.Print_Area" localSheetId="8">'9.Finance'!$B$11:$I$29</definedName>
    <definedName name="_xlnm.Print_Area" localSheetId="9">Legend!$C$10:$F$22</definedName>
    <definedName name="ProjManager">'1.Header'!$G$18</definedName>
    <definedName name="ProjName">'1.Header'!$G$14</definedName>
    <definedName name="ProjNo">'1.Header'!$D$14</definedName>
    <definedName name="ReportFrom">'1.Header'!$G$15</definedName>
    <definedName name="ReportNo">'1.Header'!$D$15</definedName>
    <definedName name="RISKLIGHT">'4.Risks'!$G$25</definedName>
    <definedName name="RiskRating">'Data- TO BE HIDDEN'!$D$2:$D$4</definedName>
    <definedName name="RISKSTART">'4.Risks'!$B$19</definedName>
    <definedName name="StartOfProject">ReportInformation!$D$2</definedName>
    <definedName name="StatusItems">'Data- TO BE HIDDEN'!$H$2:$H$4</definedName>
    <definedName name="statuslistitems">'Data- TO BE HIDDEN'!$A$2:$A$3</definedName>
    <definedName name="TOTALEIF" localSheetId="14">[2]RT029!$E$20</definedName>
    <definedName name="TOTALEIF">'[1]Finance 2'!$E$20</definedName>
    <definedName name="YesNo">'Data- TO BE HIDDEN'!$E$2:$E$3</definedName>
  </definedNames>
  <calcPr calcId="125725"/>
</workbook>
</file>

<file path=xl/calcChain.xml><?xml version="1.0" encoding="utf-8"?>
<calcChain xmlns="http://schemas.openxmlformats.org/spreadsheetml/2006/main">
  <c r="H33" i="2"/>
  <c r="I29" i="16" l="1"/>
  <c r="M26" l="1"/>
  <c r="M25"/>
  <c r="I26"/>
  <c r="I25"/>
  <c r="H25"/>
  <c r="E49" s="1"/>
  <c r="L25"/>
  <c r="S25"/>
  <c r="B26"/>
  <c r="H26"/>
  <c r="P26" s="1"/>
  <c r="L26"/>
  <c r="Q26" s="1"/>
  <c r="B27"/>
  <c r="H27"/>
  <c r="P27" s="1"/>
  <c r="L27"/>
  <c r="Q27" s="1"/>
  <c r="U27"/>
  <c r="B28"/>
  <c r="H28"/>
  <c r="P28" s="1"/>
  <c r="L28"/>
  <c r="Q28" s="1"/>
  <c r="S28"/>
  <c r="U28"/>
  <c r="B29"/>
  <c r="H29"/>
  <c r="L29"/>
  <c r="Q29"/>
  <c r="B30"/>
  <c r="H30"/>
  <c r="N30" s="1"/>
  <c r="L30"/>
  <c r="Q30"/>
  <c r="B31"/>
  <c r="H31"/>
  <c r="N31" s="1"/>
  <c r="L31"/>
  <c r="Q31"/>
  <c r="B32"/>
  <c r="H32"/>
  <c r="N32" s="1"/>
  <c r="L32"/>
  <c r="Q32"/>
  <c r="B33"/>
  <c r="H33"/>
  <c r="N33" s="1"/>
  <c r="L33"/>
  <c r="Q33"/>
  <c r="B34"/>
  <c r="H34"/>
  <c r="N34" s="1"/>
  <c r="L34"/>
  <c r="Q34"/>
  <c r="B35"/>
  <c r="H35"/>
  <c r="N35" s="1"/>
  <c r="L35"/>
  <c r="Q35"/>
  <c r="B36"/>
  <c r="H36"/>
  <c r="I36" s="1"/>
  <c r="L36"/>
  <c r="M36"/>
  <c r="Q36" s="1"/>
  <c r="N36"/>
  <c r="B37"/>
  <c r="H37"/>
  <c r="I37" s="1"/>
  <c r="L37"/>
  <c r="M37"/>
  <c r="Q37" s="1"/>
  <c r="N37"/>
  <c r="D38"/>
  <c r="F20" s="1"/>
  <c r="E38"/>
  <c r="F38"/>
  <c r="G38"/>
  <c r="J38"/>
  <c r="K38"/>
  <c r="F41"/>
  <c r="E45"/>
  <c r="E51" s="1"/>
  <c r="F45"/>
  <c r="F51" s="1"/>
  <c r="G45"/>
  <c r="G50" s="1"/>
  <c r="H45"/>
  <c r="I45"/>
  <c r="I51" s="1"/>
  <c r="J45"/>
  <c r="J51" s="1"/>
  <c r="K45"/>
  <c r="K50" s="1"/>
  <c r="L45"/>
  <c r="M45"/>
  <c r="M51" s="1"/>
  <c r="N45"/>
  <c r="N51" s="1"/>
  <c r="O45"/>
  <c r="O50" s="1"/>
  <c r="P45"/>
  <c r="Q45"/>
  <c r="Q51" s="1"/>
  <c r="E46"/>
  <c r="F46" s="1"/>
  <c r="G46" s="1"/>
  <c r="H46" s="1"/>
  <c r="I46" s="1"/>
  <c r="J46" s="1"/>
  <c r="K46" s="1"/>
  <c r="L46" s="1"/>
  <c r="M46" s="1"/>
  <c r="N46" s="1"/>
  <c r="O46" s="1"/>
  <c r="P46" s="1"/>
  <c r="Q46" s="1"/>
  <c r="R46" s="1"/>
  <c r="E20" s="1"/>
  <c r="F47"/>
  <c r="G47"/>
  <c r="H47"/>
  <c r="F49"/>
  <c r="G49"/>
  <c r="H49"/>
  <c r="K49"/>
  <c r="O49"/>
  <c r="H50"/>
  <c r="I50"/>
  <c r="L50"/>
  <c r="M50"/>
  <c r="P50"/>
  <c r="Q50"/>
  <c r="G51"/>
  <c r="H51"/>
  <c r="K51"/>
  <c r="L51"/>
  <c r="O51"/>
  <c r="P51"/>
  <c r="R51"/>
  <c r="H52"/>
  <c r="I52" s="1"/>
  <c r="J52" s="1"/>
  <c r="K52" s="1"/>
  <c r="L52" s="1"/>
  <c r="M52" s="1"/>
  <c r="N52" s="1"/>
  <c r="O52" s="1"/>
  <c r="P52" s="1"/>
  <c r="Q52" s="1"/>
  <c r="R52" s="1"/>
  <c r="J20" s="1"/>
  <c r="F53"/>
  <c r="G53"/>
  <c r="H53"/>
  <c r="I53"/>
  <c r="J53"/>
  <c r="K53"/>
  <c r="L53"/>
  <c r="M53"/>
  <c r="N53"/>
  <c r="O53"/>
  <c r="P53"/>
  <c r="E55"/>
  <c r="E56" s="1"/>
  <c r="F55"/>
  <c r="G55"/>
  <c r="I55"/>
  <c r="J55"/>
  <c r="K55"/>
  <c r="L55"/>
  <c r="M55"/>
  <c r="N55"/>
  <c r="O55"/>
  <c r="P55"/>
  <c r="Q55"/>
  <c r="G56"/>
  <c r="H56"/>
  <c r="I56"/>
  <c r="K56"/>
  <c r="L56"/>
  <c r="M56"/>
  <c r="O56"/>
  <c r="P56"/>
  <c r="Q56"/>
  <c r="H30" i="2"/>
  <c r="U26" i="16" l="1"/>
  <c r="Q38"/>
  <c r="Q25"/>
  <c r="I39"/>
  <c r="H20"/>
  <c r="U36"/>
  <c r="P47"/>
  <c r="E50"/>
  <c r="Q47"/>
  <c r="U37"/>
  <c r="E53"/>
  <c r="M38"/>
  <c r="N28"/>
  <c r="N27"/>
  <c r="N26"/>
  <c r="P25"/>
  <c r="U25"/>
  <c r="N50"/>
  <c r="J50"/>
  <c r="F50"/>
  <c r="P49"/>
  <c r="L49"/>
  <c r="L38"/>
  <c r="H38"/>
  <c r="P36"/>
  <c r="I35"/>
  <c r="I34"/>
  <c r="I33"/>
  <c r="I32"/>
  <c r="I31"/>
  <c r="I30"/>
  <c r="N56"/>
  <c r="J56"/>
  <c r="F56"/>
  <c r="H55"/>
  <c r="R55" s="1"/>
  <c r="Q49"/>
  <c r="M49"/>
  <c r="I49"/>
  <c r="R49" s="1"/>
  <c r="P37"/>
  <c r="N29"/>
  <c r="Q53"/>
  <c r="N49"/>
  <c r="J49"/>
  <c r="C13" i="13"/>
  <c r="C12"/>
  <c r="C11"/>
  <c r="B11"/>
  <c r="Q10" i="12"/>
  <c r="P10"/>
  <c r="Q9"/>
  <c r="P9"/>
  <c r="Q8"/>
  <c r="P8"/>
  <c r="Q7"/>
  <c r="P7"/>
  <c r="Q6"/>
  <c r="P6"/>
  <c r="Q5"/>
  <c r="P5"/>
  <c r="Q4"/>
  <c r="P4"/>
  <c r="Q3"/>
  <c r="P3"/>
  <c r="Y2"/>
  <c r="X2"/>
  <c r="X3" s="1"/>
  <c r="X4" s="1"/>
  <c r="X5" s="1"/>
  <c r="X6" s="1"/>
  <c r="X7" s="1"/>
  <c r="X8" s="1"/>
  <c r="X9" s="1"/>
  <c r="X10" s="1"/>
  <c r="W2"/>
  <c r="S2"/>
  <c r="S3" s="1"/>
  <c r="S4" s="1"/>
  <c r="S5" s="1"/>
  <c r="S6" s="1"/>
  <c r="S7" s="1"/>
  <c r="S8" s="1"/>
  <c r="S9" s="1"/>
  <c r="S10" s="1"/>
  <c r="R2"/>
  <c r="R3" s="1"/>
  <c r="Q2"/>
  <c r="P2"/>
  <c r="V24" i="9"/>
  <c r="L24"/>
  <c r="Q24" s="1"/>
  <c r="I24"/>
  <c r="H24"/>
  <c r="G24"/>
  <c r="F24"/>
  <c r="E24"/>
  <c r="D24"/>
  <c r="C13"/>
  <c r="C12"/>
  <c r="C11"/>
  <c r="B11"/>
  <c r="G38" i="8"/>
  <c r="G37"/>
  <c r="G36"/>
  <c r="G35"/>
  <c r="G34"/>
  <c r="G33"/>
  <c r="G32"/>
  <c r="G31"/>
  <c r="G30"/>
  <c r="G29"/>
  <c r="G42" s="1"/>
  <c r="G27"/>
  <c r="G26"/>
  <c r="G25"/>
  <c r="G24"/>
  <c r="G23"/>
  <c r="G22"/>
  <c r="G21"/>
  <c r="G20"/>
  <c r="G19"/>
  <c r="G18"/>
  <c r="G41" s="1"/>
  <c r="C13"/>
  <c r="C12"/>
  <c r="C11"/>
  <c r="B11"/>
  <c r="Q46" i="7"/>
  <c r="C13"/>
  <c r="C12"/>
  <c r="C11"/>
  <c r="B11"/>
  <c r="B7"/>
  <c r="G28" i="6"/>
  <c r="G27"/>
  <c r="G26"/>
  <c r="G25"/>
  <c r="G24"/>
  <c r="B6" i="8" s="1"/>
  <c r="C13" i="6"/>
  <c r="C12"/>
  <c r="C11"/>
  <c r="B11"/>
  <c r="B7"/>
  <c r="B29" i="5"/>
  <c r="N15" s="1"/>
  <c r="L27"/>
  <c r="M27" s="1"/>
  <c r="K27"/>
  <c r="H27"/>
  <c r="G27"/>
  <c r="L26"/>
  <c r="M26" s="1"/>
  <c r="K26"/>
  <c r="H26"/>
  <c r="G26"/>
  <c r="K25"/>
  <c r="H25"/>
  <c r="G25"/>
  <c r="L25" s="1"/>
  <c r="M25" s="1"/>
  <c r="K24"/>
  <c r="H24"/>
  <c r="G24"/>
  <c r="L24" s="1"/>
  <c r="M24" s="1"/>
  <c r="L23"/>
  <c r="M23" s="1"/>
  <c r="K23"/>
  <c r="H23"/>
  <c r="G23"/>
  <c r="L22"/>
  <c r="M22" s="1"/>
  <c r="K22"/>
  <c r="H22"/>
  <c r="G22"/>
  <c r="K21"/>
  <c r="H21"/>
  <c r="G21"/>
  <c r="L21" s="1"/>
  <c r="M21" s="1"/>
  <c r="K20"/>
  <c r="H20"/>
  <c r="G20"/>
  <c r="L19"/>
  <c r="M19" s="1"/>
  <c r="K19"/>
  <c r="H19"/>
  <c r="G19"/>
  <c r="G29" s="1"/>
  <c r="N17" s="1"/>
  <c r="D13"/>
  <c r="D12"/>
  <c r="D11"/>
  <c r="B11"/>
  <c r="B7"/>
  <c r="G25" i="4"/>
  <c r="B4" i="13" s="1"/>
  <c r="G23" i="4"/>
  <c r="G22"/>
  <c r="G21"/>
  <c r="G20"/>
  <c r="G19"/>
  <c r="C13"/>
  <c r="C12"/>
  <c r="C11"/>
  <c r="B11"/>
  <c r="B7"/>
  <c r="F29" i="3"/>
  <c r="D29" s="1"/>
  <c r="B29"/>
  <c r="K27"/>
  <c r="J26"/>
  <c r="K26" s="1"/>
  <c r="I26"/>
  <c r="H26"/>
  <c r="J25"/>
  <c r="K25" s="1"/>
  <c r="I25"/>
  <c r="H25"/>
  <c r="J24"/>
  <c r="K24" s="1"/>
  <c r="I24"/>
  <c r="H24"/>
  <c r="J23"/>
  <c r="K23" s="1"/>
  <c r="I23"/>
  <c r="H23"/>
  <c r="J22"/>
  <c r="K22" s="1"/>
  <c r="I22"/>
  <c r="H22"/>
  <c r="J21"/>
  <c r="K21" s="1"/>
  <c r="I21"/>
  <c r="H21"/>
  <c r="J20"/>
  <c r="K20" s="1"/>
  <c r="I20"/>
  <c r="H20"/>
  <c r="J19"/>
  <c r="K19" s="1"/>
  <c r="I19"/>
  <c r="C29" s="1"/>
  <c r="H19"/>
  <c r="C13"/>
  <c r="C12"/>
  <c r="C11"/>
  <c r="B11"/>
  <c r="B7"/>
  <c r="B4"/>
  <c r="O36" i="2"/>
  <c r="P36" s="1"/>
  <c r="I36"/>
  <c r="H36"/>
  <c r="O35"/>
  <c r="P35" s="1"/>
  <c r="H35"/>
  <c r="I35" s="1"/>
  <c r="H34"/>
  <c r="I34" s="1"/>
  <c r="I33"/>
  <c r="O33"/>
  <c r="I32"/>
  <c r="O31"/>
  <c r="P31" s="1"/>
  <c r="H31"/>
  <c r="I31" s="1"/>
  <c r="I30"/>
  <c r="I29"/>
  <c r="H29"/>
  <c r="O29" s="1"/>
  <c r="H28"/>
  <c r="I28" s="1"/>
  <c r="I27"/>
  <c r="O26"/>
  <c r="O25"/>
  <c r="P25" s="1"/>
  <c r="I25"/>
  <c r="O24"/>
  <c r="P24" s="1"/>
  <c r="I24"/>
  <c r="O23"/>
  <c r="P23" s="1"/>
  <c r="I23"/>
  <c r="O22"/>
  <c r="P22" s="1"/>
  <c r="I22"/>
  <c r="O21"/>
  <c r="P21" s="1"/>
  <c r="I21"/>
  <c r="O20"/>
  <c r="P20" s="1"/>
  <c r="I20"/>
  <c r="O19"/>
  <c r="P19" s="1"/>
  <c r="I19"/>
  <c r="D13"/>
  <c r="D12"/>
  <c r="D11"/>
  <c r="B11"/>
  <c r="B7"/>
  <c r="B43" i="1"/>
  <c r="T40"/>
  <c r="T38"/>
  <c r="I28"/>
  <c r="B7"/>
  <c r="B4"/>
  <c r="O32" i="2" l="1"/>
  <c r="P32" s="1"/>
  <c r="K29" i="5"/>
  <c r="N16" s="1"/>
  <c r="L20"/>
  <c r="M20" s="1"/>
  <c r="N36" i="2"/>
  <c r="T41" i="1"/>
  <c r="U33" i="16"/>
  <c r="M47"/>
  <c r="P33"/>
  <c r="G20"/>
  <c r="R50"/>
  <c r="T24"/>
  <c r="T27"/>
  <c r="U32"/>
  <c r="L47"/>
  <c r="P32"/>
  <c r="E47"/>
  <c r="N25"/>
  <c r="U31"/>
  <c r="K47"/>
  <c r="P31"/>
  <c r="U35"/>
  <c r="O47"/>
  <c r="P35"/>
  <c r="E54"/>
  <c r="F54" s="1"/>
  <c r="G54" s="1"/>
  <c r="H54" s="1"/>
  <c r="I54" s="1"/>
  <c r="J54" s="1"/>
  <c r="K54" s="1"/>
  <c r="L54" s="1"/>
  <c r="M54" s="1"/>
  <c r="N54" s="1"/>
  <c r="O54" s="1"/>
  <c r="P54" s="1"/>
  <c r="Q54" s="1"/>
  <c r="R53"/>
  <c r="J47"/>
  <c r="U30"/>
  <c r="P30"/>
  <c r="N47"/>
  <c r="U34"/>
  <c r="P34"/>
  <c r="K20"/>
  <c r="L20" s="1"/>
  <c r="R54"/>
  <c r="R56"/>
  <c r="N19" i="2"/>
  <c r="N21"/>
  <c r="N22"/>
  <c r="N23"/>
  <c r="N24"/>
  <c r="K28" i="3"/>
  <c r="B3" i="8" s="1"/>
  <c r="M28" i="5"/>
  <c r="N20" i="2"/>
  <c r="N25"/>
  <c r="O28"/>
  <c r="O27"/>
  <c r="P27" s="1"/>
  <c r="P26"/>
  <c r="N26"/>
  <c r="P29"/>
  <c r="N29"/>
  <c r="H43" i="8"/>
  <c r="P33" i="2"/>
  <c r="N33"/>
  <c r="R4" i="12"/>
  <c r="T3"/>
  <c r="B6" i="6"/>
  <c r="I27" i="1"/>
  <c r="B6" i="2"/>
  <c r="O30"/>
  <c r="N31"/>
  <c r="B6" i="1"/>
  <c r="B6" i="3"/>
  <c r="B6" i="4"/>
  <c r="E15"/>
  <c r="B6" i="5"/>
  <c r="B4" i="6"/>
  <c r="B6" i="7"/>
  <c r="B4" i="8"/>
  <c r="B7" i="9"/>
  <c r="N24"/>
  <c r="B7" i="10"/>
  <c r="W3" i="12"/>
  <c r="X11"/>
  <c r="X24" i="9" s="1"/>
  <c r="AC24" s="1"/>
  <c r="AD24" s="1"/>
  <c r="B7" i="13"/>
  <c r="B4" i="7"/>
  <c r="O34" i="2"/>
  <c r="N35"/>
  <c r="I25" i="1"/>
  <c r="B4" i="2"/>
  <c r="I26"/>
  <c r="I38" s="1"/>
  <c r="B7" i="8"/>
  <c r="B6" i="9"/>
  <c r="M24"/>
  <c r="P24" s="1"/>
  <c r="B6" i="10"/>
  <c r="T2" i="12"/>
  <c r="B6" i="13"/>
  <c r="B4" i="4"/>
  <c r="B4" i="5"/>
  <c r="B4" i="9"/>
  <c r="B4" i="10"/>
  <c r="B5" i="6" l="1"/>
  <c r="N32" i="2"/>
  <c r="B5" i="13"/>
  <c r="F15" i="3"/>
  <c r="I15" i="5"/>
  <c r="B3"/>
  <c r="I24" i="1"/>
  <c r="B5" i="3"/>
  <c r="B3" i="2"/>
  <c r="B3" i="9"/>
  <c r="B3" i="3"/>
  <c r="B5" i="8"/>
  <c r="B3" i="1"/>
  <c r="B3" i="7"/>
  <c r="B3" i="13"/>
  <c r="I26" i="1"/>
  <c r="B5" i="5"/>
  <c r="B3" i="4"/>
  <c r="B3" i="10"/>
  <c r="B3" i="6"/>
  <c r="E48" i="16"/>
  <c r="F48" s="1"/>
  <c r="G48" s="1"/>
  <c r="H48" s="1"/>
  <c r="B5" i="2"/>
  <c r="B5" i="1"/>
  <c r="B5" i="7"/>
  <c r="B5" i="10"/>
  <c r="B5" i="9"/>
  <c r="B5" i="4"/>
  <c r="P28" i="2"/>
  <c r="N28"/>
  <c r="N27"/>
  <c r="N34"/>
  <c r="P34"/>
  <c r="P30"/>
  <c r="N30"/>
  <c r="W4" i="12"/>
  <c r="Y3"/>
  <c r="R5"/>
  <c r="T4"/>
  <c r="B8" i="13"/>
  <c r="B8" i="10"/>
  <c r="B8" i="9"/>
  <c r="B8" i="7"/>
  <c r="B8" i="4"/>
  <c r="B8" i="2"/>
  <c r="I29" i="1"/>
  <c r="E15" i="8"/>
  <c r="B8"/>
  <c r="B8" i="6"/>
  <c r="B8" i="5"/>
  <c r="B8" i="3"/>
  <c r="B8" i="1"/>
  <c r="O24" i="9"/>
  <c r="R24"/>
  <c r="P37" i="2" l="1"/>
  <c r="R6" i="12"/>
  <c r="T5"/>
  <c r="Y4"/>
  <c r="W5"/>
  <c r="J15" i="2" l="1"/>
  <c r="B2"/>
  <c r="B2" i="6"/>
  <c r="B2" i="5"/>
  <c r="I23" i="1"/>
  <c r="U33" s="1"/>
  <c r="B2" i="13"/>
  <c r="B2" i="4"/>
  <c r="B2" i="8"/>
  <c r="B2" i="10"/>
  <c r="B2" i="3"/>
  <c r="B2" i="9"/>
  <c r="B2" i="1"/>
  <c r="B2" i="7"/>
  <c r="R7" i="12"/>
  <c r="T6"/>
  <c r="W6"/>
  <c r="Y5"/>
  <c r="B9" i="8"/>
  <c r="B9" i="6"/>
  <c r="B9" i="10"/>
  <c r="H15" i="9"/>
  <c r="B9" i="7"/>
  <c r="B9" i="5"/>
  <c r="B9" i="4"/>
  <c r="B9" i="3"/>
  <c r="B9" i="1"/>
  <c r="B9" i="2"/>
  <c r="I30" i="1"/>
  <c r="B9" i="13"/>
  <c r="B9" i="9"/>
  <c r="V33" i="1" l="1"/>
  <c r="W33"/>
  <c r="V34"/>
  <c r="U34"/>
  <c r="U35" s="1"/>
  <c r="AE32" s="1"/>
  <c r="W34"/>
  <c r="R8" i="12"/>
  <c r="T7"/>
  <c r="W7"/>
  <c r="Y6"/>
  <c r="V35" i="1" l="1"/>
  <c r="W35"/>
  <c r="B1" i="8"/>
  <c r="B1" i="6"/>
  <c r="B1" i="7"/>
  <c r="B1" i="5"/>
  <c r="B1" i="4"/>
  <c r="B1" i="3"/>
  <c r="B1" i="1"/>
  <c r="I31"/>
  <c r="B1" i="10"/>
  <c r="B1" i="2"/>
  <c r="M12" i="1"/>
  <c r="B1" i="13"/>
  <c r="B1" i="9"/>
  <c r="W8" i="12"/>
  <c r="Y7"/>
  <c r="R9"/>
  <c r="T8"/>
  <c r="R10" l="1"/>
  <c r="T10" s="1"/>
  <c r="T9"/>
  <c r="W9"/>
  <c r="Y8"/>
  <c r="W10" l="1"/>
  <c r="Y9"/>
  <c r="Y10" l="1"/>
  <c r="W11"/>
  <c r="Y11" l="1"/>
  <c r="W24" i="9"/>
  <c r="AA24" l="1"/>
  <c r="AB24" s="1"/>
  <c r="AE24" s="1"/>
  <c r="Y24"/>
  <c r="T25" i="16"/>
  <c r="T28"/>
  <c r="T26"/>
  <c r="U29"/>
  <c r="R47"/>
  <c r="P29"/>
  <c r="P38" s="1"/>
  <c r="I47"/>
  <c r="I48" s="1"/>
  <c r="J48" s="1"/>
  <c r="K48" s="1"/>
  <c r="L48" s="1"/>
  <c r="M48" s="1"/>
  <c r="N48" s="1"/>
  <c r="O48" s="1"/>
  <c r="P48" s="1"/>
  <c r="Q48" s="1"/>
  <c r="R48" s="1"/>
  <c r="I38"/>
  <c r="T23" s="1"/>
  <c r="I20" l="1"/>
  <c r="T29"/>
  <c r="J15" s="1"/>
</calcChain>
</file>

<file path=xl/comments1.xml><?xml version="1.0" encoding="utf-8"?>
<comments xmlns="http://schemas.openxmlformats.org/spreadsheetml/2006/main">
  <authors>
    <author>The University Of Melbourne</author>
  </authors>
  <commentList>
    <comment ref="Q11" authorId="0">
      <text>
        <r>
          <rPr>
            <b/>
            <sz val="9"/>
            <color rgb="FF000000"/>
            <rFont val="Calibri"/>
            <family val="2"/>
          </rPr>
          <t>The University Of Melbourne:</t>
        </r>
        <r>
          <rPr>
            <sz val="9"/>
            <color rgb="FF000000"/>
            <rFont val="Calibri"/>
            <family val="2"/>
          </rPr>
          <t xml:space="preserve">
 TO set up for a new project.
1. Proj No.
 Proj. Name
Period From
Period To
Proj Manager
Contracting Org
2. MILESTONES SHEET
Add all deliverables (if multiple deliverable for a milestone, list each deliverable on a separate line.
DELETE any blank rows.
If more rows required, ensure you copy all formulas.
LOCK SHEET
3. CHANGES
If there is an open change, list it.
4. DEPENDENCIES
Add all known external dependencies from table in proposal. See comment re modifying DEPENDENCYLIGHT. Hide col G. LOCK SHEET
5. MEASURES
Add all known services and dates from table near 7.2 in proposal.
LOCK SHEET
6. FINANCE
Add finance data for THIS REPORTING PERIOD.
Add planned cumulative totals (from report information sheet - will eventually be automatic) to T24,U24.
LOCK SHEET
FINANCE 2
CHECK FINANCE 2 Sheet for instructions.
7. REPORT INFORMATION
Complete report dates and planned finance.
HIDE SHEET
8. ON HEADER SHEET, HIDE COL Q (THIS COMMENT) LOCK SHEET
DONE</t>
        </r>
      </text>
    </comment>
  </commentList>
</comments>
</file>

<file path=xl/comments2.xml><?xml version="1.0" encoding="utf-8"?>
<comments xmlns="http://schemas.openxmlformats.org/spreadsheetml/2006/main">
  <authors>
    <author>The University Of Melbourne</author>
  </authors>
  <commentList>
    <comment ref="G24" authorId="0">
      <text>
        <r>
          <rPr>
            <b/>
            <sz val="9"/>
            <color rgb="FF000000"/>
            <rFont val="Calibri"/>
            <family val="2"/>
          </rPr>
          <t>The University Of Melbourne:</t>
        </r>
        <r>
          <rPr>
            <sz val="9"/>
            <color rgb="FF000000"/>
            <rFont val="Calibri"/>
            <family val="2"/>
          </rPr>
          <t xml:space="preserve">
1. Add known dependencies from table in the proposal.
2. Put in style "prepopulated" (Blue)
3. Ensure code in "new dependency" column (G) is there for all new dependency rows (not existing)
4. Modify dependencylight to 1st new dependency row (e.g if there are 3 known dependencies, put it on 4th row)
5. Hide Col G
</t>
        </r>
      </text>
    </comment>
  </commentList>
</comments>
</file>

<file path=xl/comments3.xml><?xml version="1.0" encoding="utf-8"?>
<comments xmlns="http://schemas.openxmlformats.org/spreadsheetml/2006/main">
  <authors>
    <author>The University Of Melbourne</author>
  </authors>
  <commentList>
    <comment ref="U2" authorId="0">
      <text>
        <r>
          <rPr>
            <b/>
            <sz val="9"/>
            <color rgb="FF000000"/>
            <rFont val="Calibri"/>
            <family val="2"/>
          </rPr>
          <t>The University Of Melbourne:</t>
        </r>
        <r>
          <rPr>
            <sz val="9"/>
            <color rgb="FF000000"/>
            <rFont val="Calibri"/>
            <family val="2"/>
          </rPr>
          <t xml:space="preserve">
These fields are to come from the database. On creating report 2, report 1 data will be included in the actual EIF and Actual Co row against report 1.</t>
        </r>
      </text>
    </comment>
  </commentList>
</comments>
</file>

<file path=xl/comments4.xml><?xml version="1.0" encoding="utf-8"?>
<comments xmlns="http://schemas.openxmlformats.org/spreadsheetml/2006/main">
  <authors>
    <author>mecolesm</author>
  </authors>
  <commentList>
    <comment ref="O19" authorId="0">
      <text>
        <r>
          <rPr>
            <b/>
            <sz val="8"/>
            <color indexed="81"/>
            <rFont val="Tahoma"/>
            <family val="2"/>
          </rPr>
          <t>mecolesm:</t>
        </r>
        <r>
          <rPr>
            <sz val="8"/>
            <color indexed="81"/>
            <rFont val="Tahoma"/>
            <family val="2"/>
          </rPr>
          <t xml:space="preserve">
TO setup the sheet:
OPTIONAL
A. Modify dates B25-B37 as required.
 ONLY IF A. CHANGED
 B. Change named cell "LASTQUARTER" which is currently in H29 if dates are modified above. If the last quarter is modified, then this needs to reflect the new last quarter.
(LASTQUARTER is used in the status lights. See columns R and S)
ESSENTIAL
1. Add baseline amounts to row 44 and row 50.
2. HIDE rows 43-55
3. HIDE columns M-S
4. Protect Sheet (no password, allow select locked cells; select unlocked cells.)
DONE
*NOTE the #N/A in rows 48,49,54 are to remove dates not yet passed (based on the end date of the report) from showing in the graphs. They are not errors.</t>
        </r>
      </text>
    </comment>
  </commentList>
</comments>
</file>

<file path=xl/sharedStrings.xml><?xml version="1.0" encoding="utf-8"?>
<sst xmlns="http://schemas.openxmlformats.org/spreadsheetml/2006/main" count="680" uniqueCount="399">
  <si>
    <t>1.Header</t>
  </si>
  <si>
    <t>2.Deliverables</t>
  </si>
  <si>
    <t>3.Issues</t>
  </si>
  <si>
    <t>4.Risks</t>
  </si>
  <si>
    <t>5.Changes</t>
  </si>
  <si>
    <t>6.Dependencies</t>
  </si>
  <si>
    <t>7.Measures</t>
  </si>
  <si>
    <t>8.Communications</t>
  </si>
  <si>
    <t>9.Finance</t>
  </si>
  <si>
    <t>Nectar Project Report</t>
  </si>
  <si>
    <t>1. Header</t>
  </si>
  <si>
    <t>OVERALL STATUS</t>
  </si>
  <si>
    <t>Proj No.</t>
  </si>
  <si>
    <t>RT029</t>
  </si>
  <si>
    <t>Proj. Name.</t>
  </si>
  <si>
    <t>Cloud Based Bioinformatics Tools</t>
  </si>
  <si>
    <t>Report No.</t>
  </si>
  <si>
    <t>Report Period From:</t>
  </si>
  <si>
    <t>Report Period To:</t>
  </si>
  <si>
    <t>Proj Manager:</t>
  </si>
  <si>
    <t>Paul White</t>
  </si>
  <si>
    <t>Contracting Org:</t>
  </si>
  <si>
    <t>University of Western Australia</t>
  </si>
  <si>
    <t>STATUS FOR REPORTING PERIOD</t>
  </si>
  <si>
    <t>Complete the white boxes in each tab 2-9 noting that tabs 5 and 6 are as needed and tab 7 is when operational. The Status Lights will change in response to your data. 
Final signoff is on this tab.</t>
  </si>
  <si>
    <t>LEGEND</t>
  </si>
  <si>
    <t>As needed</t>
  </si>
  <si>
    <t>Once operational</t>
  </si>
  <si>
    <t>See Legend</t>
  </si>
  <si>
    <t>RED</t>
  </si>
  <si>
    <t>AMBER</t>
  </si>
  <si>
    <t>GREEN</t>
  </si>
  <si>
    <t xml:space="preserve">                  </t>
  </si>
  <si>
    <t>Optional Comment</t>
  </si>
  <si>
    <t>Fin</t>
  </si>
  <si>
    <t>Total</t>
  </si>
  <si>
    <t>Signoff</t>
  </si>
  <si>
    <t>This is a true and fair representation of the state of the project for the reporting period.</t>
  </si>
  <si>
    <t>Checked?</t>
  </si>
  <si>
    <t>We will seek the approval of NeCTAR for any changes to the agreed key personnel in this project.</t>
  </si>
  <si>
    <t>Name of authorised officer:</t>
  </si>
  <si>
    <t>Date:</t>
  </si>
  <si>
    <t>From</t>
  </si>
  <si>
    <t>To</t>
  </si>
  <si>
    <t>Deliverables</t>
  </si>
  <si>
    <t>STATUS</t>
  </si>
  <si>
    <t>From proposal section 7.2</t>
  </si>
  <si>
    <t>Updated with RFC N1009</t>
  </si>
  <si>
    <t>Scroll up
 for navigation</t>
  </si>
  <si>
    <t>Milestone</t>
  </si>
  <si>
    <t>Deliverable</t>
  </si>
  <si>
    <t>Title</t>
  </si>
  <si>
    <t>Target date of completion of milestone</t>
  </si>
  <si>
    <t>% Complete</t>
  </si>
  <si>
    <t>Actual Date of completion of milestone</t>
  </si>
  <si>
    <t>Delay
(No. Days Lag)</t>
  </si>
  <si>
    <t>Funding Milestone?</t>
  </si>
  <si>
    <t xml:space="preserve">Asset?
 </t>
  </si>
  <si>
    <t>COMMENT and Remedial action for delayed milestones</t>
  </si>
  <si>
    <t>Completion Status</t>
  </si>
  <si>
    <t>Sub-contract signed (Linked to Funding Milestone 1)</t>
  </si>
  <si>
    <t>Sub-contract</t>
  </si>
  <si>
    <t>Funding Milestone 1</t>
  </si>
  <si>
    <t>Linked to Milestone 1</t>
  </si>
  <si>
    <t>y</t>
  </si>
  <si>
    <t>Established Support Tools &amp; Processes (Linked to Funding Milestone 2)</t>
  </si>
  <si>
    <t>Support Tools &amp; Processes</t>
  </si>
  <si>
    <t>Project Initiation complete (Linked to Funding Milestone 2)</t>
  </si>
  <si>
    <t>Communications plan prepared and sent to NeCTAR (Signed contract + two months).</t>
  </si>
  <si>
    <t>Integrated existing application with AAF Authentication Services (Linked to Funding Milestone 2)</t>
  </si>
  <si>
    <t>Integrate existing application with AAF Authentication Services</t>
  </si>
  <si>
    <t>Functionality completed, system tested and deployed from Development to Test. Demonstration to Nik Zeps, Steering Committee member, scheduled for 14 June 2012 for signoff.</t>
  </si>
  <si>
    <t>Funding Milestone 2</t>
  </si>
  <si>
    <t>Linked to Milestone 3, 4 and 5</t>
  </si>
  <si>
    <t>Funding milestone completed</t>
  </si>
  <si>
    <t>Integrated Invoicing &amp; Billing Complete (Linked to Funding Milestone 3)</t>
  </si>
  <si>
    <t>Integrated Invoicing &amp; Billing Module</t>
  </si>
  <si>
    <t>Completed Coding and Testing - will submit for final Steering Committee signoff along with initial Production Research Cloud Deployment for Funding Milestone 3</t>
  </si>
  <si>
    <t>Initial Production Research Cloud Deployed (Linked to Funding Milestone 3)</t>
  </si>
  <si>
    <t>Initial Production Research Cloud Deployment</t>
  </si>
  <si>
    <t>Funding Milestone 3</t>
  </si>
  <si>
    <t>Linked to Milestone 7 and 8</t>
  </si>
  <si>
    <t>Implemented Data Extraction for Analysis Module (Linked to Funding Milestone 4)</t>
  </si>
  <si>
    <t>Data Extraction for Analysis Module</t>
  </si>
  <si>
    <t>Implemented Pedigree Storage &amp; Visualisation Module (Linked to Funding Milestone 4)</t>
  </si>
  <si>
    <t>Pedigree Storage &amp; Visualisation Module</t>
  </si>
  <si>
    <t>Have completed design work and database schema changes. Have also identified suitable pedigree visualisation tool for integration.</t>
  </si>
  <si>
    <t>Funding Milestone 4</t>
  </si>
  <si>
    <t>Linked to Milestone 10 and 11</t>
  </si>
  <si>
    <t>Approx 40% complete as Data Extraction is the majority of this milestone.</t>
  </si>
  <si>
    <t>Enhanced Data Linkage &amp; Reporting Module Complete (Linked to Funding Milestone 5)</t>
  </si>
  <si>
    <t>Enhanced Data Linkage &amp; Reporting Module</t>
  </si>
  <si>
    <t>Implemented Registry Management Module (Linked to Funding Milestone 5)</t>
  </si>
  <si>
    <t>Registry Management Module</t>
  </si>
  <si>
    <t>Integrated Genotypic Data Management Capability (Linked to Funding Milestone 5)</t>
  </si>
  <si>
    <t>Integrate Genotypic Data Management Capability</t>
  </si>
  <si>
    <t>Funding Milestone 5</t>
  </si>
  <si>
    <t>Linked to Milestone 13, 14 and 15
Note that all development should be completed by 30 Jan 2013</t>
  </si>
  <si>
    <t>Final Admin Closure
(Funding Milestone 6)</t>
  </si>
  <si>
    <t>Post-implementation Review (PIR) conducted and sent to NeCTAR.Practical Completion Certificate accepted by NeCTAR.</t>
  </si>
  <si>
    <t>Operations to June 2014</t>
  </si>
  <si>
    <t>Service Levels met and reported to NeCTAR as defined.</t>
  </si>
  <si>
    <t>Av lag</t>
  </si>
  <si>
    <t>OVERALL</t>
  </si>
  <si>
    <t>Issues</t>
  </si>
  <si>
    <t>High impact issues only. Closed issues will be removed automatically for the next report template.</t>
  </si>
  <si>
    <r>
      <t xml:space="preserve">ID from your issues log
</t>
    </r>
    <r>
      <rPr>
        <b/>
        <sz val="12"/>
        <color rgb="FF1F497D"/>
        <rFont val="Calibri"/>
        <family val="2"/>
      </rPr>
      <t>*Required Field</t>
    </r>
  </si>
  <si>
    <t>Issue</t>
  </si>
  <si>
    <t>Date 
opened</t>
  </si>
  <si>
    <t>Expected date closed</t>
  </si>
  <si>
    <t>Date closed</t>
  </si>
  <si>
    <t>No. Days
 between open and closed</t>
  </si>
  <si>
    <t>No. Days 
between expected close and close</t>
  </si>
  <si>
    <t>Status</t>
  </si>
  <si>
    <t>No.</t>
  </si>
  <si>
    <t>Av days b/n exp close and close</t>
  </si>
  <si>
    <t>Total Open</t>
  </si>
  <si>
    <t>Total Closed</t>
  </si>
  <si>
    <t>Risks</t>
  </si>
  <si>
    <t>Top five risks. Once a risk has occurred, please move it to an Issue and replace with another risk.</t>
  </si>
  <si>
    <r>
      <t xml:space="preserve">ID from your risk log
</t>
    </r>
    <r>
      <rPr>
        <b/>
        <sz val="12"/>
        <color rgb="FF1F497D"/>
        <rFont val="Calibri"/>
        <family val="2"/>
      </rPr>
      <t>* Required Field</t>
    </r>
  </si>
  <si>
    <t>Brief description of risk</t>
  </si>
  <si>
    <t>Mitigation</t>
  </si>
  <si>
    <t>Residual risk rating</t>
  </si>
  <si>
    <t>Ark-628</t>
  </si>
  <si>
    <t>The impact of the reduced $ and delay of the GVL project on genomics storage is unknown</t>
  </si>
  <si>
    <t>Amber</t>
  </si>
  <si>
    <t xml:space="preserve">Availability of appropriately skilled development resources. </t>
  </si>
  <si>
    <t>Green</t>
  </si>
  <si>
    <t>Ongoing availability of partner organisation resources.</t>
  </si>
  <si>
    <t>Resourcing is not currently an issue.</t>
  </si>
  <si>
    <t>Availability RDSI, AAF and the Research Cloud.</t>
  </si>
  <si>
    <t>NSP stability is good. UWA will support use of UWA AAF services for production authentication.</t>
  </si>
  <si>
    <t>Completeness of configuration documentation for new studies</t>
  </si>
  <si>
    <t>Pushing back on deployment dates to ensure clients have clearly documented their configuration requirements</t>
  </si>
  <si>
    <t>Changes</t>
  </si>
  <si>
    <t>Number of changes:</t>
  </si>
  <si>
    <t>All changes formally requested through a Request For Change (RFC).</t>
  </si>
  <si>
    <t>Average days to approve:</t>
  </si>
  <si>
    <t>Number of open changes:</t>
  </si>
  <si>
    <r>
      <rPr>
        <b/>
        <sz val="10"/>
        <color rgb="FF1F497D"/>
        <rFont val="Calibri"/>
        <family val="2"/>
      </rPr>
      <t>No. (in Nectar register)</t>
    </r>
    <r>
      <rPr>
        <b/>
        <sz val="11"/>
        <color rgb="FF1F497D"/>
        <rFont val="Calibri"/>
        <family val="2"/>
      </rPr>
      <t xml:space="preserve">
</t>
    </r>
    <r>
      <rPr>
        <b/>
        <sz val="14"/>
        <color rgb="FF1F497D"/>
        <rFont val="Calibri"/>
        <family val="2"/>
      </rPr>
      <t>* Req'd Field</t>
    </r>
  </si>
  <si>
    <t>Change Title</t>
  </si>
  <si>
    <t>Time impact
 (+/- days)</t>
  </si>
  <si>
    <t>Cost impact 
(+/- $)</t>
  </si>
  <si>
    <t>Date requested</t>
  </si>
  <si>
    <t>Anticipated Close (+28days)</t>
  </si>
  <si>
    <t>Date approved</t>
  </si>
  <si>
    <t>No. of days to approve</t>
  </si>
  <si>
    <t>N1009</t>
  </si>
  <si>
    <t>RT029 Milestone Changes</t>
  </si>
  <si>
    <t>Average</t>
  </si>
  <si>
    <t>External Dependencies</t>
  </si>
  <si>
    <t>List of External Dependencies. Add new rows as required.</t>
  </si>
  <si>
    <t>External party</t>
  </si>
  <si>
    <t>Capability required</t>
  </si>
  <si>
    <t>Date required</t>
  </si>
  <si>
    <t>Milestone dependent on that capability</t>
  </si>
  <si>
    <t>New dependency?</t>
  </si>
  <si>
    <t>AAF</t>
  </si>
  <si>
    <t>ARCS Access Service</t>
  </si>
  <si>
    <t>Integrated exist</t>
  </si>
  <si>
    <t>RDSI</t>
  </si>
  <si>
    <t>Research Data Service Infrastructure</t>
  </si>
  <si>
    <t>Integrated Genot</t>
  </si>
  <si>
    <t>The Research Cloud</t>
  </si>
  <si>
    <t>Application and database hosting</t>
  </si>
  <si>
    <t>Initial Producti</t>
  </si>
  <si>
    <t>We already have access to National Server Program servers so this is not a critical requirement</t>
  </si>
  <si>
    <t>IVEC</t>
  </si>
  <si>
    <t>HPC Infrastructure &amp; Services</t>
  </si>
  <si>
    <t>IVEC resource assigned to assist with implementation</t>
  </si>
  <si>
    <t xml:space="preserve">Genomics Virtual Laboratory Project </t>
  </si>
  <si>
    <t>Interface Definitions</t>
  </si>
  <si>
    <t>Measures of uptake</t>
  </si>
  <si>
    <t>From production infrastructure</t>
  </si>
  <si>
    <t>No. of registered users</t>
  </si>
  <si>
    <t>Average frequency of use</t>
  </si>
  <si>
    <t>Number of phenotypic data sets</t>
  </si>
  <si>
    <t>Biospecimen Counts</t>
  </si>
  <si>
    <t>Active Studies</t>
  </si>
  <si>
    <t>Subject Counts</t>
  </si>
  <si>
    <t>Service No</t>
  </si>
  <si>
    <t>Service</t>
  </si>
  <si>
    <t>Expected Pilot Date</t>
  </si>
  <si>
    <t>Expected Production Date</t>
  </si>
  <si>
    <t>Milestone No</t>
  </si>
  <si>
    <t>Last period</t>
  </si>
  <si>
    <t>This period</t>
  </si>
  <si>
    <t>3</t>
  </si>
  <si>
    <t>Daily</t>
  </si>
  <si>
    <t>5</t>
  </si>
  <si>
    <t>7</t>
  </si>
  <si>
    <t>8</t>
  </si>
  <si>
    <t>10</t>
  </si>
  <si>
    <t>11</t>
  </si>
  <si>
    <t>13</t>
  </si>
  <si>
    <t>14</t>
  </si>
  <si>
    <t>15</t>
  </si>
  <si>
    <t>Number of Service Levels in Exception</t>
  </si>
  <si>
    <t>* Not all measures will be relevant for a particular asset. Only complete details for the appropriate measures.</t>
  </si>
  <si>
    <t>1.       Registered Users – The number of users which have been registered to use the system. This can be extracted using a simple SQL query against each system instance.</t>
  </si>
  <si>
    <t>2.       Average Use Frequency – The average frequency of use for registered users. This can be extracted using a simple SQL query against each system instance. This query would be against the user authentication logs.</t>
  </si>
  <si>
    <t>3.       Phenotypic Datasets – The number of phenotypic/questionnaire/clinical datasets that have been created. This can be extracted using a simple SQL query against each system instance.</t>
  </si>
  <si>
    <t>4.       Biospecimen Counts – The total number of physical biospecimens under management by the system. This can be extracted using a simple SQL query against each system instance.</t>
  </si>
  <si>
    <t>5.       Active Studies – The number of active biobanks, research studies, cohorts, registries and trials for which the system is being used.  This can be extracted using a simple SQL query against each system instance.</t>
  </si>
  <si>
    <t>6.       Subject Counts – The number of participants/subjects for which data is being managed across the different studies. This can be extracted using a simple SQL query against each system instance.</t>
  </si>
  <si>
    <t>Communications</t>
  </si>
  <si>
    <t>Activities this period</t>
  </si>
  <si>
    <t>Type</t>
  </si>
  <si>
    <t>Has Occurred?</t>
  </si>
  <si>
    <t>URL</t>
  </si>
  <si>
    <t>Activity</t>
  </si>
  <si>
    <t>Broadly distributed email showcasing production projects and the software capabilities</t>
  </si>
  <si>
    <t>event</t>
  </si>
  <si>
    <t>No</t>
  </si>
  <si>
    <t>Second Steering Committee meeting</t>
  </si>
  <si>
    <t>Yes</t>
  </si>
  <si>
    <t>Activities upcoming</t>
  </si>
  <si>
    <t>Finance</t>
  </si>
  <si>
    <t>Totals for this reporting period</t>
  </si>
  <si>
    <t>THIS REPORT</t>
  </si>
  <si>
    <t>CUMULATIVE</t>
  </si>
  <si>
    <t>EIFdiff</t>
  </si>
  <si>
    <t>EIF VALUE</t>
  </si>
  <si>
    <t>Co-investDiff</t>
  </si>
  <si>
    <t>Co-inv value</t>
  </si>
  <si>
    <t>OVERALLFIN</t>
  </si>
  <si>
    <t>% Diff EIF</t>
  </si>
  <si>
    <t>% Diff Co</t>
  </si>
  <si>
    <t>Planned</t>
  </si>
  <si>
    <t>Actual</t>
  </si>
  <si>
    <t>Planned Cumulative</t>
  </si>
  <si>
    <t>Actual Cumulative</t>
  </si>
  <si>
    <t>EIF Diff</t>
  </si>
  <si>
    <t>Co DIFF</t>
  </si>
  <si>
    <t>Co VALUE</t>
  </si>
  <si>
    <t>EIF</t>
  </si>
  <si>
    <t>In-kind</t>
  </si>
  <si>
    <t>Cash</t>
  </si>
  <si>
    <t>Coinvestment</t>
  </si>
  <si>
    <t>Equipment</t>
  </si>
  <si>
    <t>Personnel</t>
  </si>
  <si>
    <t>Other</t>
  </si>
  <si>
    <t>Outstanding Commitments (if relevant)</t>
  </si>
  <si>
    <t>Red</t>
  </si>
  <si>
    <t>Displays OVERALL Status</t>
  </si>
  <si>
    <t>No more than 7 days late</t>
  </si>
  <si>
    <t>Between 8 and 28 days late</t>
  </si>
  <si>
    <t xml:space="preserve"> More than 28 days late</t>
  </si>
  <si>
    <t>More than 28 days late</t>
  </si>
  <si>
    <t>5 identified</t>
  </si>
  <si>
    <t>4 identified</t>
  </si>
  <si>
    <t>0-3 identified</t>
  </si>
  <si>
    <t>N/A</t>
  </si>
  <si>
    <t>At least 1 activity planned AND
at least 1 activity this period</t>
  </si>
  <si>
    <t>No activity planned</t>
  </si>
  <si>
    <t>No activity this period</t>
  </si>
  <si>
    <t>Total PM Estimate = EIF Allocated (H38); AND
20% or less of total EIF spend is allocated to the final quarter</t>
  </si>
  <si>
    <t>Total PM Estimate = EIF Allocated (H38); AND
Between 20 and 30 percent of total EIF spend is allocated to the final quarter</t>
  </si>
  <si>
    <t>Total PM Estimate does not equal (&lt;&gt;) EIF Allocated (H38); AND/OR
more than 30% of total EIF spend is allocated to the final quarter</t>
  </si>
  <si>
    <t>OVERALL STATUS 
(Excludes comms and changes)</t>
  </si>
  <si>
    <t>0 sections RED AND 
no more than 1 section AMBER AND 
Finance AND Deliverables are GREEN</t>
  </si>
  <si>
    <t>3 or more sections AMBER; OR 
Finance or Deliverables are AMBER; OR 
1 section  RED</t>
  </si>
  <si>
    <t>2 or more sections RED</t>
  </si>
  <si>
    <t>Percentage</t>
  </si>
  <si>
    <t>CommsType</t>
  </si>
  <si>
    <t>RiskRating</t>
  </si>
  <si>
    <t>YesNo</t>
  </si>
  <si>
    <t>EarliestDate</t>
  </si>
  <si>
    <t>LatestDate</t>
  </si>
  <si>
    <t>StatusItems</t>
  </si>
  <si>
    <t>AssetType</t>
  </si>
  <si>
    <t>open</t>
  </si>
  <si>
    <t>e-news</t>
  </si>
  <si>
    <t>Pilot</t>
  </si>
  <si>
    <t>Hardware</t>
  </si>
  <si>
    <t>closed</t>
  </si>
  <si>
    <t>press release</t>
  </si>
  <si>
    <t>Production</t>
  </si>
  <si>
    <t>Software</t>
  </si>
  <si>
    <t>radio item</t>
  </si>
  <si>
    <t>Out of Service</t>
  </si>
  <si>
    <t>Document</t>
  </si>
  <si>
    <t>television item</t>
  </si>
  <si>
    <t>article</t>
  </si>
  <si>
    <t>presentation</t>
  </si>
  <si>
    <t>social media</t>
  </si>
  <si>
    <t>Funding?</t>
  </si>
  <si>
    <t>Report</t>
  </si>
  <si>
    <t>Start Date</t>
  </si>
  <si>
    <t>Report Date</t>
  </si>
  <si>
    <t>Due By</t>
  </si>
  <si>
    <t>Planned EIF Spend
Equipment</t>
  </si>
  <si>
    <t>Planned EIF Spend
Personnel</t>
  </si>
  <si>
    <t>Planned EIF Spend
Other</t>
  </si>
  <si>
    <t>Planned In-kind Spend
Equipment</t>
  </si>
  <si>
    <t>Planned In-kind Spend
Personnel</t>
  </si>
  <si>
    <t>Planned In-kind Spend
Other</t>
  </si>
  <si>
    <t>Planned Coinvestment Cash Spend
Equipment</t>
  </si>
  <si>
    <t>Planned Coinvestment Cash Spend Personnel</t>
  </si>
  <si>
    <t>Planned Coinvestment Cash Spend 
Other</t>
  </si>
  <si>
    <t>Planned Total EIF</t>
  </si>
  <si>
    <t>Planned Total Co</t>
  </si>
  <si>
    <t>Planned cumulative EIF</t>
  </si>
  <si>
    <t>Planned cumulative co</t>
  </si>
  <si>
    <t>Planned cumulative total</t>
  </si>
  <si>
    <t>Actual EIF</t>
  </si>
  <si>
    <t>Actual Co</t>
  </si>
  <si>
    <t>Actual Cumulative EIF</t>
  </si>
  <si>
    <t>Actual Cumulative Coinvestment</t>
  </si>
  <si>
    <t>Actual Cumulative Total</t>
  </si>
  <si>
    <t>Values for these fields will now come from Finance 2 cells - ask Judd for advice</t>
  </si>
  <si>
    <t>Assets</t>
  </si>
  <si>
    <t>Complete a row in the table below for any assets delivered</t>
  </si>
  <si>
    <t>Select a cell for further information.</t>
  </si>
  <si>
    <t>Ref</t>
  </si>
  <si>
    <t>Asset Type</t>
  </si>
  <si>
    <t>Name</t>
  </si>
  <si>
    <t>Version Number</t>
  </si>
  <si>
    <t>Owner/
Custodian</t>
  </si>
  <si>
    <t>Value</t>
  </si>
  <si>
    <t>Location</t>
  </si>
  <si>
    <t>Local Asset Tag</t>
  </si>
  <si>
    <t>Integrated Billing &amp; Invoicing</t>
  </si>
  <si>
    <t>1.1.1</t>
  </si>
  <si>
    <t>UWA</t>
  </si>
  <si>
    <t>Atlassian Subversion Repository</t>
  </si>
  <si>
    <t>Approved Nectar Funds</t>
  </si>
  <si>
    <t>Approved Co-investment</t>
  </si>
  <si>
    <t>FOR YOUR INFORMATION</t>
  </si>
  <si>
    <t>Total Approved Nectar Funds</t>
  </si>
  <si>
    <t>Actual Nectar Funds PAID to Project</t>
  </si>
  <si>
    <t>Actual Project Expenditure Reported</t>
  </si>
  <si>
    <t>Estimated Cost to complete</t>
  </si>
  <si>
    <t>Nectar Cash Flow amount to be allocated</t>
  </si>
  <si>
    <t>Total Approved Co-investment Funds</t>
  </si>
  <si>
    <t>Actual Co-investment and in-Kind Expenditure Reported</t>
  </si>
  <si>
    <t>Estimated Co-investment to Complete</t>
  </si>
  <si>
    <t>This column holds the values to put in the warning box in row 40</t>
  </si>
  <si>
    <t>FinanceLight Element</t>
  </si>
  <si>
    <t>Financial Reporting Period ID</t>
  </si>
  <si>
    <t>Financial Reporting Period</t>
  </si>
  <si>
    <t>Nectar Funds RECEIVED</t>
  </si>
  <si>
    <t>Expenditure: Actual Nectar Funds</t>
  </si>
  <si>
    <t>Project Manager's Nectar Funds FORECAST</t>
  </si>
  <si>
    <t>Expenditure: Actual Co-investment</t>
  </si>
  <si>
    <t>Project Manager's Co-investment FORECAST</t>
  </si>
  <si>
    <t>Estimated Project Cash Flow EIF
- Shows Actuals where available</t>
  </si>
  <si>
    <t>Project Manager's Estimated Project Cash Flow Co-investment</t>
  </si>
  <si>
    <t>PM estimate = EIF Allocated</t>
  </si>
  <si>
    <t>Total Project Manager's Nectar and Co-investment ACTUAL and FORECASTED Expenditure</t>
  </si>
  <si>
    <t>End Date</t>
  </si>
  <si>
    <t>Cash Contribution</t>
  </si>
  <si>
    <t>In-Kind Contribution</t>
  </si>
  <si>
    <t>30% of funds</t>
  </si>
  <si>
    <t>Last Quarter</t>
  </si>
  <si>
    <t>20% of funds</t>
  </si>
  <si>
    <t>FINANCE LIGHT</t>
  </si>
  <si>
    <t>TOTAL</t>
  </si>
  <si>
    <t>Nectar Allocated</t>
  </si>
  <si>
    <t>Nectar Proposal Budget</t>
  </si>
  <si>
    <t>PM Nectar Forecast</t>
  </si>
  <si>
    <t>PM Nectar Forecast (Accum)</t>
  </si>
  <si>
    <t>Nectar Actual</t>
  </si>
  <si>
    <t>Nectar Actual (Accum)</t>
  </si>
  <si>
    <t>Nectar Paid (Accum)</t>
  </si>
  <si>
    <t>Co Inv Proposal Budget</t>
  </si>
  <si>
    <t>PM Co inv Forecast</t>
  </si>
  <si>
    <t>PM Co inv Forecast (Accum)</t>
  </si>
  <si>
    <t>Co Inv Actuals</t>
  </si>
  <si>
    <t>Co Inv Actuals (Accum)</t>
  </si>
  <si>
    <t>Have completed a number of the required reporting enhancements
ADDITIONAL COMMENT</t>
  </si>
  <si>
    <t>Questionnaire &amp; LIMS Modules</t>
  </si>
  <si>
    <t>Have received UWA permission to use one of the Universities service allocation of 12 services for use in production</t>
  </si>
  <si>
    <t>Cloud-based Bioinformatics Tools</t>
  </si>
  <si>
    <t xml:space="preserve"> Genomic Data Repository (installed at UNSW) determined not to be suitable so will be developing a solution in-house.  GVL project continues to be delayed.</t>
  </si>
  <si>
    <t>N1045</t>
  </si>
  <si>
    <t>This project has now been signed off by NeCTAR so we are moving forward to determine solution fit.  GVL is behind schedule, so alternative in house solutions may be need in the interim?</t>
  </si>
  <si>
    <t>Initial Production Research Cloud Deployed</t>
  </si>
  <si>
    <t>1.1.1c</t>
  </si>
  <si>
    <t>Added NeCTARCloud-basedBioinformaticsToolsOverviewLatest.pdf latest communications document to project page</t>
  </si>
  <si>
    <t>ARK_1.1.1</t>
  </si>
  <si>
    <t>ARK_1.1.1a</t>
  </si>
  <si>
    <t>ARK_1.1.1c</t>
  </si>
  <si>
    <t>ARK_1.1.1b</t>
  </si>
  <si>
    <t>completed, signed off, paid</t>
  </si>
  <si>
    <t>Some delay due to team member illness and reprioritisation of milestones to commence work on Data Extraction for Analysis module earlier. 
ADDITIONAL COMMENT Note the dates are wrong due to cell validation rules...actual date was 28/03/2013</t>
  </si>
  <si>
    <t xml:space="preserve"> Note the dates are wrong due to cell validation rules...actual date was 28/03/2013</t>
  </si>
  <si>
    <t>Work is approximately 70-75% complete and on track for completion for release in End of April 2013.</t>
  </si>
  <si>
    <t>Implemented and tested sub-study management capability to allow subjects from a parent study to be allocated to sub-studies without duplicating core subject data.  Subproject concept is documented and within the UAT documents for Nik Zeps and ATR.  Travis believes this may need separate UAT document, but this functionality has been coded, tested and signed off as part of initial production release by WARTN Team.    Note the dates are wrong due to cell validation rules...actual date was 28/03/2013</t>
  </si>
  <si>
    <t>Registry Module</t>
  </si>
  <si>
    <t>One developer has been ill and may need extended sick leave.  Have submitted an RFC to adjust milestone dates and have identified another part time develop to assist.  Developer did take leave, cannot be sure of the future availability of developer, but as of today he is back.  Another developer has taken up project management duties in addition to coding duties.  A tight timeline still exists, and part-time developer has not had the time available initially indicated to us. In the interim an increased output from some key members has allowed the project to make up for this shortfall as staff roll back into productivity</t>
  </si>
  <si>
    <t>New project manager access to blog now and has begun blogging.  Very preliminary so far, just letting people know that we are still moving.  Intention is to have a minimum of one blog per month, and much \more as we have information to share (We will be seeking permission of system users to publicise their use of the system)</t>
  </si>
  <si>
    <t>http://thearktools.blogspot.com.au/</t>
  </si>
  <si>
    <t>Monthly blog (may synch with twitter)</t>
  </si>
  <si>
    <t>Press Release once we have permission from some of our current users.</t>
  </si>
  <si>
    <t xml:space="preserve">Have done my best to indicate where the validation of this document did not allow the information I intended to relay.  </t>
  </si>
  <si>
    <t>Travis Endersby,  Systems Development Manager</t>
  </si>
  <si>
    <t>please note that none of these dates take into account the change request we submitted, but we are back on target for those amended dates</t>
  </si>
</sst>
</file>

<file path=xl/styles.xml><?xml version="1.0" encoding="utf-8"?>
<styleSheet xmlns="http://schemas.openxmlformats.org/spreadsheetml/2006/main">
  <numFmts count="9">
    <numFmt numFmtId="6" formatCode="&quot;$&quot;#,##0;[Red]\-&quot;$&quot;#,##0"/>
    <numFmt numFmtId="8" formatCode="&quot;$&quot;#,##0.00;[Red]\-&quot;$&quot;#,##0.00"/>
    <numFmt numFmtId="44" formatCode="_-&quot;$&quot;* #,##0.00_-;\-&quot;$&quot;* #,##0.00_-;_-&quot;$&quot;* &quot;-&quot;??_-;_-@_-"/>
    <numFmt numFmtId="164" formatCode="[$-C09]dd\-mmm\-yy;@"/>
    <numFmt numFmtId="165" formatCode="&quot;$&quot;#,##0.00"/>
    <numFmt numFmtId="166" formatCode="[$-C09]dd\-mmmm\-yyyy;@"/>
    <numFmt numFmtId="167" formatCode="&quot;$&quot;#,##0.00;[Red]&quot;$&quot;#,##0.00"/>
    <numFmt numFmtId="168" formatCode="[&gt;=1000]#,##0,&quot;&quot;;0"/>
    <numFmt numFmtId="169" formatCode="[$-C09]d\ mmmm\ yyyy;@"/>
  </numFmts>
  <fonts count="56">
    <font>
      <sz val="10"/>
      <color rgb="FF000000"/>
      <name val="Calibri"/>
    </font>
    <font>
      <sz val="11"/>
      <color theme="1"/>
      <name val="Calibri"/>
      <family val="2"/>
      <scheme val="minor"/>
    </font>
    <font>
      <sz val="10"/>
      <color rgb="FF7F7F7F"/>
      <name val="Calibri"/>
      <family val="2"/>
    </font>
    <font>
      <sz val="12"/>
      <color rgb="FFFFFFFF"/>
      <name val="Calibri"/>
      <family val="2"/>
    </font>
    <font>
      <b/>
      <sz val="13"/>
      <color rgb="FF1F497D"/>
      <name val="Calibri"/>
      <family val="2"/>
    </font>
    <font>
      <b/>
      <sz val="15"/>
      <color rgb="FF1F497D"/>
      <name val="Calibri"/>
      <family val="2"/>
    </font>
    <font>
      <b/>
      <sz val="10"/>
      <color rgb="FF000000"/>
      <name val="Calibri"/>
      <family val="2"/>
    </font>
    <font>
      <b/>
      <sz val="18"/>
      <color rgb="FF1F497D"/>
      <name val="Cambria"/>
      <family val="1"/>
    </font>
    <font>
      <sz val="11"/>
      <color rgb="FF000000"/>
      <name val="Calibri"/>
      <family val="2"/>
    </font>
    <font>
      <u/>
      <sz val="10"/>
      <color rgb="FF0000FF"/>
      <name val="Calibri"/>
      <family val="2"/>
    </font>
    <font>
      <b/>
      <u/>
      <sz val="10"/>
      <color rgb="FF0000FF"/>
      <name val="Calibri"/>
      <family val="2"/>
    </font>
    <font>
      <b/>
      <sz val="11"/>
      <color rgb="FF1F497D"/>
      <name val="Calibri"/>
      <family val="2"/>
    </font>
    <font>
      <b/>
      <sz val="9"/>
      <color rgb="FF1F497D"/>
      <name val="Calibri"/>
      <family val="2"/>
    </font>
    <font>
      <sz val="11"/>
      <color rgb="FF1F497D"/>
      <name val="Calibri"/>
      <family val="2"/>
    </font>
    <font>
      <sz val="12"/>
      <color rgb="FF006100"/>
      <name val="Calibri"/>
      <family val="2"/>
    </font>
    <font>
      <sz val="12"/>
      <color rgb="FF9C6500"/>
      <name val="Calibri"/>
      <family val="2"/>
    </font>
    <font>
      <sz val="12"/>
      <color rgb="FF9C0006"/>
      <name val="Calibri"/>
      <family val="2"/>
    </font>
    <font>
      <b/>
      <sz val="12"/>
      <color rgb="FF000000"/>
      <name val="Calibri"/>
      <family val="2"/>
    </font>
    <font>
      <b/>
      <sz val="12"/>
      <color rgb="FF006100"/>
      <name val="Calibri"/>
      <family val="2"/>
    </font>
    <font>
      <b/>
      <sz val="12"/>
      <color rgb="FF9C6500"/>
      <name val="Calibri"/>
      <family val="2"/>
    </font>
    <font>
      <b/>
      <sz val="12"/>
      <color rgb="FF9C0006"/>
      <name val="Calibri"/>
      <family val="2"/>
    </font>
    <font>
      <sz val="10"/>
      <color rgb="FFFFFFFF"/>
      <name val="Calibri"/>
      <family val="2"/>
    </font>
    <font>
      <b/>
      <sz val="12"/>
      <color rgb="FF3F3F3F"/>
      <name val="Calibri"/>
      <family val="2"/>
    </font>
    <font>
      <sz val="24"/>
      <color rgb="FF000000"/>
      <name val="Calibri"/>
      <family val="2"/>
    </font>
    <font>
      <b/>
      <sz val="12"/>
      <color rgb="FFFFFFFF"/>
      <name val="Calibri"/>
      <family val="2"/>
    </font>
    <font>
      <b/>
      <sz val="10"/>
      <color rgb="FF7F7F7F"/>
      <name val="Calibri"/>
      <family val="2"/>
    </font>
    <font>
      <sz val="12"/>
      <color rgb="FF000000"/>
      <name val="Calibri"/>
      <family val="2"/>
    </font>
    <font>
      <i/>
      <sz val="12"/>
      <color rgb="FF7F7F7F"/>
      <name val="Calibri"/>
      <family val="2"/>
    </font>
    <font>
      <b/>
      <sz val="10"/>
      <color rgb="FF1F497D"/>
      <name val="Calibri"/>
      <family val="2"/>
    </font>
    <font>
      <u/>
      <sz val="14"/>
      <color rgb="FF0000FF"/>
      <name val="Calibri"/>
      <family val="2"/>
    </font>
    <font>
      <b/>
      <sz val="12"/>
      <color rgb="FF1F497D"/>
      <name val="Calibri"/>
      <family val="2"/>
    </font>
    <font>
      <b/>
      <sz val="14"/>
      <color rgb="FF1F497D"/>
      <name val="Calibri"/>
      <family val="2"/>
    </font>
    <font>
      <b/>
      <sz val="9"/>
      <color rgb="FF000000"/>
      <name val="Calibri"/>
      <family val="2"/>
    </font>
    <font>
      <sz val="9"/>
      <color rgb="FF000000"/>
      <name val="Calibri"/>
      <family val="2"/>
    </font>
    <font>
      <sz val="10"/>
      <color rgb="FF000000"/>
      <name val="Calibri"/>
      <family val="2"/>
    </font>
    <font>
      <sz val="12"/>
      <color rgb="FF000000"/>
      <name val="Calibri"/>
      <family val="2"/>
    </font>
    <font>
      <b/>
      <sz val="15"/>
      <color theme="3"/>
      <name val="Calibri"/>
      <family val="2"/>
      <scheme val="minor"/>
    </font>
    <font>
      <b/>
      <sz val="13"/>
      <color theme="3"/>
      <name val="Calibri"/>
      <family val="2"/>
      <scheme val="minor"/>
    </font>
    <font>
      <b/>
      <sz val="11"/>
      <color theme="3"/>
      <name val="Calibri"/>
      <family val="2"/>
      <scheme val="minor"/>
    </font>
    <font>
      <b/>
      <sz val="11"/>
      <color theme="1"/>
      <name val="Calibri"/>
      <family val="2"/>
      <scheme val="minor"/>
    </font>
    <font>
      <sz val="10"/>
      <color theme="0" tint="-0.499984740745262"/>
      <name val="Calibri"/>
      <family val="2"/>
      <scheme val="minor"/>
    </font>
    <font>
      <sz val="10"/>
      <color theme="1"/>
      <name val="Calibri"/>
      <family val="2"/>
      <scheme val="minor"/>
    </font>
    <font>
      <b/>
      <i/>
      <sz val="14"/>
      <color rgb="FFFF0000"/>
      <name val="Calibri"/>
      <family val="2"/>
      <scheme val="minor"/>
    </font>
    <font>
      <b/>
      <sz val="10"/>
      <color theme="0"/>
      <name val="Calibri"/>
      <family val="2"/>
      <scheme val="minor"/>
    </font>
    <font>
      <b/>
      <sz val="9"/>
      <color theme="3"/>
      <name val="Calibri"/>
      <family val="2"/>
      <scheme val="minor"/>
    </font>
    <font>
      <b/>
      <sz val="10"/>
      <color theme="3"/>
      <name val="Calibri"/>
      <family val="2"/>
      <scheme val="minor"/>
    </font>
    <font>
      <b/>
      <sz val="8"/>
      <color theme="1"/>
      <name val="Calibri"/>
      <family val="2"/>
      <scheme val="minor"/>
    </font>
    <font>
      <u/>
      <sz val="10"/>
      <color theme="10"/>
      <name val="Calibri"/>
      <family val="2"/>
      <scheme val="minor"/>
    </font>
    <font>
      <sz val="11"/>
      <color rgb="FF000000"/>
      <name val="Calibri"/>
      <family val="2"/>
      <scheme val="minor"/>
    </font>
    <font>
      <b/>
      <sz val="10"/>
      <color theme="1"/>
      <name val="Calibri"/>
      <family val="2"/>
      <scheme val="minor"/>
    </font>
    <font>
      <b/>
      <sz val="8"/>
      <color indexed="81"/>
      <name val="Tahoma"/>
      <family val="2"/>
    </font>
    <font>
      <sz val="8"/>
      <color indexed="81"/>
      <name val="Tahoma"/>
      <family val="2"/>
    </font>
    <font>
      <sz val="12"/>
      <color theme="1"/>
      <name val="Calibri"/>
      <family val="2"/>
      <scheme val="minor"/>
    </font>
    <font>
      <sz val="12"/>
      <color theme="0"/>
      <name val="Calibri"/>
      <family val="2"/>
      <scheme val="minor"/>
    </font>
    <font>
      <sz val="10"/>
      <name val="Verdana"/>
      <family val="2"/>
    </font>
    <font>
      <u/>
      <sz val="10"/>
      <color theme="10"/>
      <name val="Calibri"/>
    </font>
  </fonts>
  <fills count="19">
    <fill>
      <patternFill patternType="none"/>
    </fill>
    <fill>
      <patternFill patternType="gray125"/>
    </fill>
    <fill>
      <patternFill patternType="none"/>
    </fill>
    <fill>
      <patternFill patternType="solid">
        <fgColor rgb="FFF2F2F2"/>
        <bgColor rgb="FFFFFFFF"/>
      </patternFill>
    </fill>
    <fill>
      <patternFill patternType="solid">
        <fgColor rgb="FFDBE5F1"/>
        <bgColor rgb="FFFFFFFF"/>
      </patternFill>
    </fill>
    <fill>
      <patternFill patternType="solid">
        <fgColor rgb="FFFFFFFF"/>
        <bgColor rgb="FFFFFFFF"/>
      </patternFill>
    </fill>
    <fill>
      <patternFill patternType="solid">
        <fgColor rgb="FFC6EFCE"/>
        <bgColor rgb="FF000000"/>
      </patternFill>
    </fill>
    <fill>
      <patternFill patternType="solid">
        <fgColor rgb="FFFFEB9C"/>
        <bgColor rgb="FF000000"/>
      </patternFill>
    </fill>
    <fill>
      <patternFill patternType="solid">
        <fgColor rgb="FFFFC7CE"/>
        <bgColor rgb="FF000000"/>
      </patternFill>
    </fill>
    <fill>
      <patternFill patternType="solid">
        <fgColor rgb="FFF2F2F2"/>
        <bgColor rgb="FF000000"/>
      </patternFill>
    </fill>
    <fill>
      <patternFill patternType="solid">
        <fgColor rgb="FFA5A5A5"/>
        <bgColor rgb="FF000000"/>
      </patternFill>
    </fill>
    <fill>
      <patternFill patternType="solid">
        <fgColor rgb="FFD8D8D8"/>
        <bgColor rgb="FFFFFFFF"/>
      </patternFill>
    </fill>
    <fill>
      <patternFill patternType="solid">
        <fgColor rgb="FFFFFFCC"/>
        <bgColor rgb="FF000000"/>
      </patternFill>
    </fill>
    <fill>
      <patternFill patternType="solid">
        <fgColor theme="4"/>
      </patternFill>
    </fill>
    <fill>
      <patternFill patternType="solid">
        <fgColor theme="4" tint="0.79998168889431442"/>
        <bgColor indexed="65"/>
      </patternFill>
    </fill>
    <fill>
      <patternFill patternType="solid">
        <fgColor theme="0" tint="-4.9989318521683403E-2"/>
        <bgColor indexed="65"/>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s>
  <borders count="125">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ck">
        <color rgb="FF4F81BD"/>
      </bottom>
      <diagonal/>
    </border>
    <border>
      <left style="thin">
        <color rgb="FF000000"/>
      </left>
      <right style="thin">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style="thin">
        <color rgb="FF3F3F3F"/>
      </left>
      <right style="thin">
        <color rgb="FF3F3F3F"/>
      </right>
      <top style="thin">
        <color rgb="FF3F3F3F"/>
      </top>
      <bottom style="thin">
        <color rgb="FF3F3F3F"/>
      </bottom>
      <diagonal/>
    </border>
    <border>
      <left/>
      <right/>
      <top/>
      <bottom style="medium">
        <color rgb="FF000000"/>
      </bottom>
      <diagonal/>
    </border>
    <border>
      <left/>
      <right style="thin">
        <color rgb="FF000000"/>
      </right>
      <top style="medium">
        <color rgb="FF000000"/>
      </top>
      <bottom style="thin">
        <color rgb="FF000000"/>
      </bottom>
      <diagonal/>
    </border>
    <border>
      <left/>
      <right style="thin">
        <color rgb="FF000000"/>
      </right>
      <top/>
      <bottom/>
      <diagonal/>
    </border>
    <border>
      <left style="thin">
        <color rgb="FF000000"/>
      </left>
      <right/>
      <top style="medium">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A6BFDD"/>
      </top>
      <bottom style="thin">
        <color rgb="FF000000"/>
      </bottom>
      <diagonal/>
    </border>
    <border>
      <left style="thin">
        <color rgb="FFB2B2B2"/>
      </left>
      <right style="thin">
        <color rgb="FFB2B2B2"/>
      </right>
      <top style="thin">
        <color rgb="FFB2B2B2"/>
      </top>
      <bottom style="thin">
        <color rgb="FFB2B2B2"/>
      </bottom>
      <diagonal/>
    </border>
    <border>
      <left style="medium">
        <color rgb="FF000000"/>
      </left>
      <right style="thin">
        <color rgb="FF000000"/>
      </right>
      <top style="medium">
        <color rgb="FF000000"/>
      </top>
      <bottom style="thin">
        <color rgb="FFA6BFDD"/>
      </bottom>
      <diagonal/>
    </border>
    <border>
      <left style="thin">
        <color rgb="FF000000"/>
      </left>
      <right style="medium">
        <color rgb="FF000000"/>
      </right>
      <top style="medium">
        <color rgb="FF000000"/>
      </top>
      <bottom style="thin">
        <color rgb="FFA6BFDD"/>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medium">
        <color theme="4" tint="0.39997558519241921"/>
      </top>
      <bottom/>
      <diagonal/>
    </border>
    <border>
      <left style="thin">
        <color indexed="64"/>
      </left>
      <right style="thin">
        <color indexed="64"/>
      </right>
      <top style="thin">
        <color indexed="64"/>
      </top>
      <bottom style="thin">
        <color indexed="64"/>
      </bottom>
      <diagonal/>
    </border>
    <border>
      <left/>
      <right/>
      <top style="medium">
        <color theme="4" tint="0.39997558519241921"/>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Dashed">
        <color indexed="64"/>
      </left>
      <right style="mediumDashed">
        <color indexed="64"/>
      </right>
      <top/>
      <bottom style="mediumDashed">
        <color indexed="64"/>
      </bottom>
      <diagonal/>
    </border>
    <border>
      <left style="thin">
        <color indexed="64"/>
      </left>
      <right/>
      <top style="thin">
        <color indexed="64"/>
      </top>
      <bottom style="medium">
        <color indexed="64"/>
      </bottom>
      <diagonal/>
    </border>
    <border>
      <left style="medium">
        <color indexed="64"/>
      </left>
      <right/>
      <top/>
      <bottom style="medium">
        <color indexed="64"/>
      </bottom>
      <diagonal/>
    </border>
    <border>
      <left style="mediumDashed">
        <color indexed="64"/>
      </left>
      <right style="mediumDashed">
        <color indexed="64"/>
      </right>
      <top style="mediumDashed">
        <color indexed="64"/>
      </top>
      <bottom style="medium">
        <color indexed="64"/>
      </bottom>
      <diagonal/>
    </border>
    <border>
      <left/>
      <right style="medium">
        <color indexed="64"/>
      </right>
      <top style="medium">
        <color indexed="64"/>
      </top>
      <bottom style="medium">
        <color theme="4" tint="0.39997558519241921"/>
      </bottom>
      <diagonal/>
    </border>
    <border>
      <left/>
      <right/>
      <top style="medium">
        <color indexed="64"/>
      </top>
      <bottom style="medium">
        <color theme="4" tint="0.39997558519241921"/>
      </bottom>
      <diagonal/>
    </border>
    <border>
      <left style="medium">
        <color indexed="64"/>
      </left>
      <right/>
      <top style="medium">
        <color indexed="64"/>
      </top>
      <bottom style="medium">
        <color theme="4" tint="0.39997558519241921"/>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s>
  <cellStyleXfs count="17">
    <xf numFmtId="0" fontId="0" fillId="0" borderId="0"/>
    <xf numFmtId="0" fontId="1" fillId="2" borderId="0"/>
    <xf numFmtId="0" fontId="1" fillId="2" borderId="0"/>
    <xf numFmtId="0" fontId="40" fillId="15" borderId="62" applyNumberFormat="0" applyBorder="0" applyAlignment="0">
      <alignment horizontal="center"/>
    </xf>
    <xf numFmtId="0" fontId="41" fillId="14" borderId="64" applyNumberFormat="0">
      <alignment horizontal="left" wrapText="1"/>
    </xf>
    <xf numFmtId="0" fontId="41" fillId="2" borderId="63" applyNumberFormat="0" applyAlignment="0">
      <protection locked="0"/>
    </xf>
    <xf numFmtId="0" fontId="38" fillId="2" borderId="61" applyNumberFormat="0" applyFill="0" applyAlignment="0" applyProtection="0"/>
    <xf numFmtId="44" fontId="1" fillId="2" borderId="0" applyFont="0" applyFill="0" applyBorder="0" applyAlignment="0" applyProtection="0"/>
    <xf numFmtId="0" fontId="38" fillId="2" borderId="0" applyNumberFormat="0" applyFill="0" applyBorder="0" applyAlignment="0" applyProtection="0"/>
    <xf numFmtId="0" fontId="36" fillId="2" borderId="59" applyNumberFormat="0" applyFill="0" applyAlignment="0" applyProtection="0"/>
    <xf numFmtId="0" fontId="37" fillId="2" borderId="60" applyNumberFormat="0" applyFill="0" applyAlignment="0" applyProtection="0"/>
    <xf numFmtId="0" fontId="47" fillId="2" borderId="0" applyNumberFormat="0" applyFill="0" applyBorder="0" applyAlignment="0" applyProtection="0"/>
    <xf numFmtId="0" fontId="52" fillId="14" borderId="0" applyNumberFormat="0" applyBorder="0" applyAlignment="0" applyProtection="0"/>
    <xf numFmtId="0" fontId="53" fillId="13" borderId="0" applyNumberFormat="0" applyBorder="0" applyAlignment="0" applyProtection="0"/>
    <xf numFmtId="0" fontId="54" fillId="2" borderId="0"/>
    <xf numFmtId="0" fontId="54" fillId="2" borderId="0"/>
    <xf numFmtId="0" fontId="55" fillId="0" borderId="0" applyNumberFormat="0" applyFill="0" applyBorder="0" applyAlignment="0" applyProtection="0">
      <alignment vertical="top"/>
      <protection locked="0"/>
    </xf>
  </cellStyleXfs>
  <cellXfs count="555">
    <xf numFmtId="0" fontId="0" fillId="2" borderId="0" xfId="0" applyFill="1"/>
    <xf numFmtId="0" fontId="2" fillId="3" borderId="0" xfId="0" applyFont="1" applyFill="1"/>
    <xf numFmtId="0" fontId="0" fillId="2" borderId="0" xfId="0" applyFill="1" applyAlignment="1">
      <alignment wrapText="1"/>
    </xf>
    <xf numFmtId="0" fontId="0" fillId="2" borderId="0" xfId="0" applyFill="1"/>
    <xf numFmtId="0" fontId="0" fillId="2" borderId="0" xfId="0" applyFill="1"/>
    <xf numFmtId="0" fontId="0" fillId="2" borderId="0" xfId="0" applyFill="1"/>
    <xf numFmtId="0" fontId="0" fillId="2" borderId="0" xfId="0" applyFill="1" applyAlignment="1">
      <alignment horizontal="center"/>
    </xf>
    <xf numFmtId="0" fontId="0" fillId="2" borderId="0" xfId="0" applyFill="1"/>
    <xf numFmtId="0" fontId="3" fillId="2" borderId="0" xfId="0" applyFont="1" applyFill="1"/>
    <xf numFmtId="0" fontId="0" fillId="2" borderId="0" xfId="0" applyFill="1"/>
    <xf numFmtId="0" fontId="0" fillId="2" borderId="0" xfId="0" applyFill="1"/>
    <xf numFmtId="0" fontId="4" fillId="2" borderId="0" xfId="0" applyFont="1" applyFill="1" applyAlignment="1">
      <alignment horizontal="center"/>
    </xf>
    <xf numFmtId="0" fontId="5" fillId="2" borderId="0" xfId="0" applyFont="1" applyFill="1" applyAlignment="1">
      <alignment horizontal="left"/>
    </xf>
    <xf numFmtId="0" fontId="6" fillId="2" borderId="0" xfId="0" applyFont="1" applyFill="1"/>
    <xf numFmtId="0" fontId="0" fillId="2" borderId="0" xfId="0" applyFill="1"/>
    <xf numFmtId="0" fontId="7" fillId="2" borderId="0" xfId="0" applyFont="1" applyFill="1"/>
    <xf numFmtId="0" fontId="8" fillId="2" borderId="0" xfId="0" applyFont="1" applyFill="1"/>
    <xf numFmtId="0" fontId="9" fillId="2" borderId="0" xfId="0" applyFont="1" applyFill="1"/>
    <xf numFmtId="0" fontId="0" fillId="2" borderId="0" xfId="0" applyFill="1"/>
    <xf numFmtId="0" fontId="6" fillId="2" borderId="0" xfId="0" applyFont="1" applyFill="1" applyAlignment="1">
      <alignment horizontal="left"/>
    </xf>
    <xf numFmtId="0" fontId="10" fillId="2" borderId="0" xfId="0" applyFont="1" applyFill="1"/>
    <xf numFmtId="0" fontId="0" fillId="2" borderId="0" xfId="0" applyFill="1" applyAlignment="1">
      <alignment horizontal="center" vertical="top" wrapText="1"/>
    </xf>
    <xf numFmtId="0" fontId="4" fillId="2" borderId="0" xfId="0" applyFont="1" applyFill="1"/>
    <xf numFmtId="0" fontId="4" fillId="2" borderId="0" xfId="0" applyFont="1" applyFill="1"/>
    <xf numFmtId="0" fontId="0" fillId="2" borderId="0" xfId="0" applyFill="1"/>
    <xf numFmtId="0" fontId="11" fillId="4" borderId="1" xfId="0" applyFont="1" applyFill="1" applyBorder="1" applyAlignment="1">
      <alignment wrapText="1"/>
    </xf>
    <xf numFmtId="164" fontId="0" fillId="3" borderId="0" xfId="0" applyNumberFormat="1" applyFill="1" applyProtection="1"/>
    <xf numFmtId="0" fontId="0" fillId="3" borderId="0" xfId="0" applyFill="1" applyProtection="1"/>
    <xf numFmtId="0" fontId="4" fillId="2" borderId="0" xfId="0" applyFont="1" applyFill="1"/>
    <xf numFmtId="0" fontId="0" fillId="2" borderId="0" xfId="0" applyFill="1" applyAlignment="1">
      <alignment horizontal="center"/>
    </xf>
    <xf numFmtId="0" fontId="5" fillId="2" borderId="0" xfId="0" applyFont="1" applyFill="1"/>
    <xf numFmtId="0" fontId="2" fillId="3" borderId="1" xfId="0" applyFont="1" applyFill="1" applyBorder="1"/>
    <xf numFmtId="0" fontId="0" fillId="2" borderId="2" xfId="0" applyFill="1" applyBorder="1"/>
    <xf numFmtId="0" fontId="0" fillId="2" borderId="0" xfId="0" applyFill="1" applyAlignment="1">
      <alignment horizontal="center"/>
    </xf>
    <xf numFmtId="0" fontId="2" fillId="3" borderId="0" xfId="0" applyFont="1" applyFill="1" applyAlignment="1">
      <alignment horizontal="center"/>
    </xf>
    <xf numFmtId="0" fontId="0" fillId="2" borderId="0" xfId="0" applyFill="1" applyAlignment="1">
      <alignment horizontal="right"/>
    </xf>
    <xf numFmtId="0" fontId="0" fillId="3" borderId="0" xfId="0" applyFill="1" applyAlignment="1">
      <alignment horizontal="center"/>
    </xf>
    <xf numFmtId="14" fontId="2" fillId="3" borderId="1" xfId="0" applyNumberFormat="1" applyFont="1" applyFill="1" applyBorder="1" applyAlignment="1">
      <alignment horizontal="center"/>
    </xf>
    <xf numFmtId="0" fontId="6"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4" fillId="2" borderId="0" xfId="0" applyFont="1" applyFill="1"/>
    <xf numFmtId="0" fontId="12" fillId="4" borderId="7" xfId="0" applyFont="1" applyFill="1" applyBorder="1" applyAlignment="1">
      <alignment horizontal="center" wrapText="1"/>
    </xf>
    <xf numFmtId="0" fontId="11" fillId="4" borderId="8" xfId="0" applyFont="1" applyFill="1" applyBorder="1" applyAlignment="1">
      <alignment horizontal="center" wrapText="1"/>
    </xf>
    <xf numFmtId="0" fontId="11" fillId="4" borderId="9" xfId="0" applyFont="1" applyFill="1" applyBorder="1" applyAlignment="1">
      <alignment horizontal="center" wrapText="1"/>
    </xf>
    <xf numFmtId="0" fontId="4" fillId="2" borderId="0" xfId="0" applyFont="1" applyFill="1"/>
    <xf numFmtId="0" fontId="5" fillId="2" borderId="10" xfId="0" applyFont="1" applyFill="1" applyBorder="1" applyAlignment="1">
      <alignment horizontal="left"/>
    </xf>
    <xf numFmtId="0" fontId="2" fillId="3" borderId="0" xfId="0" applyFont="1" applyFill="1" applyProtection="1"/>
    <xf numFmtId="0" fontId="11" fillId="4" borderId="7" xfId="0" applyFont="1" applyFill="1" applyBorder="1" applyAlignment="1">
      <alignment horizontal="center" wrapText="1"/>
    </xf>
    <xf numFmtId="0" fontId="11" fillId="4" borderId="8" xfId="0" applyFont="1" applyFill="1" applyBorder="1" applyAlignment="1">
      <alignment horizontal="center" wrapText="1"/>
    </xf>
    <xf numFmtId="0" fontId="11" fillId="4" borderId="9" xfId="0" applyFont="1" applyFill="1" applyBorder="1" applyAlignment="1">
      <alignment horizontal="center" wrapText="1"/>
    </xf>
    <xf numFmtId="14" fontId="2" fillId="3" borderId="11" xfId="0" applyNumberFormat="1" applyFont="1" applyFill="1" applyBorder="1" applyAlignment="1">
      <alignment horizontal="center"/>
    </xf>
    <xf numFmtId="0" fontId="11" fillId="4" borderId="7" xfId="0" applyFont="1" applyFill="1" applyBorder="1"/>
    <xf numFmtId="0" fontId="11" fillId="4" borderId="8" xfId="0" applyFont="1" applyFill="1" applyBorder="1"/>
    <xf numFmtId="0" fontId="11" fillId="4" borderId="9" xfId="0" applyFont="1" applyFill="1" applyBorder="1"/>
    <xf numFmtId="0" fontId="11" fillId="4" borderId="12" xfId="0" applyFont="1" applyFill="1" applyBorder="1"/>
    <xf numFmtId="0" fontId="2" fillId="3" borderId="13" xfId="0" applyFont="1" applyFill="1" applyBorder="1"/>
    <xf numFmtId="0" fontId="0" fillId="2" borderId="13" xfId="0" applyFill="1" applyBorder="1"/>
    <xf numFmtId="0" fontId="2" fillId="2" borderId="0" xfId="0" applyFont="1" applyFill="1" applyAlignment="1">
      <alignment horizontal="center"/>
    </xf>
    <xf numFmtId="0" fontId="9" fillId="2" borderId="0" xfId="0" applyFont="1" applyFill="1" applyProtection="1">
      <protection locked="0"/>
    </xf>
    <xf numFmtId="0" fontId="9" fillId="2" borderId="0" xfId="0" applyFont="1" applyFill="1" applyProtection="1">
      <protection locked="0"/>
    </xf>
    <xf numFmtId="0" fontId="0" fillId="2" borderId="0" xfId="0" applyFill="1"/>
    <xf numFmtId="0" fontId="0" fillId="2" borderId="0" xfId="0" applyFill="1" applyAlignment="1">
      <alignment horizontal="center"/>
    </xf>
    <xf numFmtId="0" fontId="0" fillId="2" borderId="0" xfId="0" applyFill="1"/>
    <xf numFmtId="0" fontId="0" fillId="2" borderId="0" xfId="0" applyFill="1"/>
    <xf numFmtId="0" fontId="0" fillId="2" borderId="0" xfId="0" applyFill="1"/>
    <xf numFmtId="0" fontId="0" fillId="2" borderId="0" xfId="0" applyFill="1"/>
    <xf numFmtId="0" fontId="11" fillId="2" borderId="0" xfId="0" applyFont="1" applyFill="1"/>
    <xf numFmtId="0" fontId="11" fillId="2" borderId="0" xfId="0" applyFont="1" applyFill="1"/>
    <xf numFmtId="0" fontId="0" fillId="2" borderId="0" xfId="0" applyFill="1"/>
    <xf numFmtId="0" fontId="0" fillId="2" borderId="0" xfId="0" applyFill="1"/>
    <xf numFmtId="0" fontId="9" fillId="2" borderId="0" xfId="0" applyFont="1" applyFill="1"/>
    <xf numFmtId="0" fontId="10" fillId="2" borderId="0" xfId="0" applyFont="1" applyFill="1"/>
    <xf numFmtId="0" fontId="12" fillId="4" borderId="7" xfId="0" applyFont="1" applyFill="1" applyBorder="1" applyAlignment="1">
      <alignment horizontal="center" wrapText="1"/>
    </xf>
    <xf numFmtId="0" fontId="11" fillId="4" borderId="8" xfId="0" applyFont="1" applyFill="1" applyBorder="1" applyAlignment="1">
      <alignment horizontal="center" wrapText="1"/>
    </xf>
    <xf numFmtId="0" fontId="11" fillId="4" borderId="9" xfId="0" applyFont="1" applyFill="1" applyBorder="1" applyAlignment="1">
      <alignment horizontal="center" wrapText="1"/>
    </xf>
    <xf numFmtId="0" fontId="11" fillId="2" borderId="0" xfId="0" applyFont="1" applyFill="1" applyAlignment="1">
      <alignment horizontal="center" wrapText="1"/>
    </xf>
    <xf numFmtId="164" fontId="0" fillId="2" borderId="0" xfId="0" applyNumberFormat="1" applyFill="1" applyAlignment="1">
      <alignment horizontal="center" wrapText="1"/>
    </xf>
    <xf numFmtId="0" fontId="2" fillId="3" borderId="1" xfId="0" applyFont="1" applyFill="1" applyBorder="1"/>
    <xf numFmtId="0" fontId="0" fillId="2" borderId="0" xfId="0" applyFill="1" applyAlignment="1">
      <alignment horizontal="center" wrapText="1"/>
    </xf>
    <xf numFmtId="0" fontId="0" fillId="2" borderId="0" xfId="0" applyFill="1" applyAlignment="1">
      <alignment horizontal="left" wrapText="1"/>
    </xf>
    <xf numFmtId="164" fontId="0" fillId="2" borderId="0" xfId="0" applyNumberFormat="1" applyFill="1" applyAlignment="1">
      <alignment horizontal="center" wrapText="1"/>
    </xf>
    <xf numFmtId="0" fontId="2" fillId="3" borderId="0" xfId="0" applyFont="1" applyFill="1"/>
    <xf numFmtId="0" fontId="0" fillId="3" borderId="1" xfId="0" applyFill="1" applyBorder="1" applyAlignment="1">
      <alignment horizontal="center" wrapText="1"/>
    </xf>
    <xf numFmtId="0" fontId="0" fillId="3" borderId="1" xfId="0" applyFill="1" applyBorder="1" applyAlignment="1">
      <alignment horizontal="center" wrapText="1"/>
    </xf>
    <xf numFmtId="0" fontId="0" fillId="2" borderId="0" xfId="0" applyFill="1" applyAlignment="1">
      <alignment horizontal="center" wrapText="1"/>
    </xf>
    <xf numFmtId="0" fontId="0" fillId="3" borderId="1" xfId="0" applyFill="1" applyBorder="1" applyAlignment="1">
      <alignment horizontal="center"/>
    </xf>
    <xf numFmtId="0" fontId="0" fillId="2" borderId="0" xfId="0" applyFill="1" applyAlignment="1">
      <alignment horizontal="center"/>
    </xf>
    <xf numFmtId="0" fontId="0" fillId="2" borderId="0" xfId="0" applyFill="1"/>
    <xf numFmtId="0" fontId="5" fillId="2" borderId="0" xfId="0" applyFont="1" applyFill="1"/>
    <xf numFmtId="0" fontId="4" fillId="2" borderId="0" xfId="0" applyFont="1" applyFill="1"/>
    <xf numFmtId="0" fontId="4" fillId="2" borderId="0" xfId="0" applyFont="1" applyFill="1" applyAlignment="1">
      <alignment horizontal="center"/>
    </xf>
    <xf numFmtId="0" fontId="0" fillId="2" borderId="0" xfId="0" applyFill="1" applyAlignment="1">
      <alignment horizontal="left" wrapText="1"/>
    </xf>
    <xf numFmtId="0" fontId="5" fillId="2" borderId="0" xfId="0" applyFont="1" applyFill="1" applyAlignment="1">
      <alignment horizontal="left"/>
    </xf>
    <xf numFmtId="0" fontId="11" fillId="2" borderId="0" xfId="0" applyFont="1" applyFill="1" applyAlignment="1">
      <alignment horizontal="center" wrapText="1"/>
    </xf>
    <xf numFmtId="0" fontId="2" fillId="3" borderId="1" xfId="0" applyFont="1" applyFill="1" applyBorder="1" applyAlignment="1">
      <alignment horizontal="center" wrapText="1"/>
    </xf>
    <xf numFmtId="164" fontId="0" fillId="2" borderId="0" xfId="0" applyNumberFormat="1" applyFill="1" applyAlignment="1">
      <alignment horizontal="center"/>
    </xf>
    <xf numFmtId="0" fontId="2" fillId="3" borderId="1" xfId="0" applyFont="1" applyFill="1" applyBorder="1" applyAlignment="1">
      <alignment horizontal="center"/>
    </xf>
    <xf numFmtId="0" fontId="0" fillId="3" borderId="1" xfId="0" applyFill="1" applyBorder="1" applyAlignment="1">
      <alignment horizontal="center"/>
    </xf>
    <xf numFmtId="0" fontId="0" fillId="2" borderId="0" xfId="0" applyFill="1" applyAlignment="1">
      <alignment horizontal="center"/>
    </xf>
    <xf numFmtId="0" fontId="0" fillId="2" borderId="0" xfId="0" applyFill="1"/>
    <xf numFmtId="0" fontId="8" fillId="2" borderId="0" xfId="0" applyFont="1" applyFill="1"/>
    <xf numFmtId="0" fontId="11" fillId="2" borderId="0" xfId="0" applyFont="1" applyFill="1"/>
    <xf numFmtId="0" fontId="4" fillId="2" borderId="0" xfId="0" applyFont="1" applyFill="1"/>
    <xf numFmtId="0" fontId="4" fillId="2" borderId="0" xfId="0" applyFont="1" applyFill="1"/>
    <xf numFmtId="0" fontId="0" fillId="2" borderId="0" xfId="0" applyFill="1"/>
    <xf numFmtId="0" fontId="11" fillId="2" borderId="0" xfId="0" applyFont="1" applyFill="1" applyAlignment="1">
      <alignment horizontal="center"/>
    </xf>
    <xf numFmtId="0" fontId="11" fillId="2" borderId="0" xfId="0" applyFont="1" applyFill="1" applyAlignment="1">
      <alignment horizontal="center"/>
    </xf>
    <xf numFmtId="0" fontId="0" fillId="2" borderId="0" xfId="0" applyFill="1" applyAlignment="1">
      <alignment horizontal="center" vertical="top" wrapText="1"/>
    </xf>
    <xf numFmtId="0" fontId="11" fillId="4" borderId="14" xfId="0" applyFont="1" applyFill="1" applyBorder="1"/>
    <xf numFmtId="0" fontId="0" fillId="2" borderId="0" xfId="0" applyFill="1" applyAlignment="1">
      <alignment horizontal="center"/>
    </xf>
    <xf numFmtId="0" fontId="11" fillId="4" borderId="15" xfId="0" applyFont="1" applyFill="1" applyBorder="1"/>
    <xf numFmtId="0" fontId="11" fillId="4" borderId="16" xfId="0" applyFont="1" applyFill="1" applyBorder="1"/>
    <xf numFmtId="165" fontId="2" fillId="3" borderId="17" xfId="0" applyNumberFormat="1" applyFont="1" applyFill="1" applyBorder="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0" fillId="2" borderId="18" xfId="0" applyFill="1" applyBorder="1"/>
    <xf numFmtId="0" fontId="4" fillId="2" borderId="0" xfId="0" applyFont="1" applyFill="1"/>
    <xf numFmtId="0" fontId="0" fillId="2" borderId="0" xfId="0" applyFill="1" applyAlignment="1">
      <alignment horizontal="center" wrapText="1"/>
    </xf>
    <xf numFmtId="0" fontId="0" fillId="2" borderId="0" xfId="0" applyFill="1" applyAlignment="1">
      <alignment wrapText="1"/>
    </xf>
    <xf numFmtId="0" fontId="11" fillId="4" borderId="19" xfId="0" applyFont="1" applyFill="1" applyBorder="1" applyAlignment="1">
      <alignment wrapText="1"/>
    </xf>
    <xf numFmtId="0" fontId="11" fillId="4" borderId="20" xfId="0" applyFont="1" applyFill="1" applyBorder="1" applyAlignment="1">
      <alignment wrapText="1"/>
    </xf>
    <xf numFmtId="0" fontId="0" fillId="2" borderId="1" xfId="0" applyFill="1" applyBorder="1" applyAlignment="1" applyProtection="1">
      <alignment horizontal="center" vertical="top"/>
      <protection locked="0"/>
    </xf>
    <xf numFmtId="0" fontId="4" fillId="2" borderId="0" xfId="0" applyFont="1" applyFill="1"/>
    <xf numFmtId="14" fontId="0" fillId="2" borderId="0" xfId="0" applyNumberFormat="1" applyFill="1"/>
    <xf numFmtId="0" fontId="4" fillId="5" borderId="0" xfId="0" applyFont="1" applyFill="1" applyAlignment="1">
      <alignment horizontal="left"/>
    </xf>
    <xf numFmtId="166" fontId="4" fillId="5" borderId="0" xfId="0" applyNumberFormat="1" applyFont="1" applyFill="1" applyAlignment="1">
      <alignment horizontal="left"/>
    </xf>
    <xf numFmtId="0" fontId="4" fillId="5" borderId="21" xfId="0" applyFont="1" applyFill="1" applyBorder="1" applyAlignment="1">
      <alignment horizontal="left"/>
    </xf>
    <xf numFmtId="0" fontId="4" fillId="5" borderId="22" xfId="0" applyFont="1" applyFill="1" applyBorder="1" applyAlignment="1">
      <alignment horizontal="left"/>
    </xf>
    <xf numFmtId="0" fontId="4" fillId="5" borderId="23" xfId="0" applyFont="1" applyFill="1" applyBorder="1" applyAlignment="1">
      <alignment horizontal="left"/>
    </xf>
    <xf numFmtId="0" fontId="4" fillId="5" borderId="24" xfId="0" applyFont="1" applyFill="1" applyBorder="1" applyAlignment="1">
      <alignment horizontal="left"/>
    </xf>
    <xf numFmtId="0" fontId="0" fillId="2" borderId="24" xfId="0" applyFill="1" applyBorder="1" applyAlignment="1">
      <alignment horizontal="center"/>
    </xf>
    <xf numFmtId="164" fontId="4" fillId="5" borderId="0" xfId="0" applyNumberFormat="1" applyFont="1" applyFill="1" applyAlignment="1">
      <alignment horizontal="left"/>
    </xf>
    <xf numFmtId="164" fontId="4" fillId="5" borderId="25" xfId="0" applyNumberFormat="1" applyFont="1" applyFill="1" applyBorder="1" applyAlignment="1">
      <alignment horizontal="left"/>
    </xf>
    <xf numFmtId="0" fontId="6" fillId="2" borderId="1" xfId="0" applyFont="1" applyFill="1" applyBorder="1" applyAlignment="1">
      <alignment horizontal="center"/>
    </xf>
    <xf numFmtId="0" fontId="0" fillId="2" borderId="1" xfId="0" applyFill="1" applyBorder="1" applyAlignment="1">
      <alignment horizontal="center"/>
    </xf>
    <xf numFmtId="0" fontId="11" fillId="2" borderId="0" xfId="0" applyFont="1" applyFill="1" applyAlignment="1">
      <alignment horizontal="left"/>
    </xf>
    <xf numFmtId="0" fontId="11" fillId="2" borderId="0" xfId="0" applyFont="1" applyFill="1" applyAlignment="1">
      <alignment horizontal="center"/>
    </xf>
    <xf numFmtId="0" fontId="4" fillId="2" borderId="26" xfId="0" applyFont="1" applyFill="1" applyBorder="1" applyAlignment="1">
      <alignment wrapText="1"/>
    </xf>
    <xf numFmtId="0" fontId="4" fillId="2" borderId="26" xfId="0" applyFont="1" applyFill="1" applyBorder="1" applyAlignment="1">
      <alignment wrapText="1"/>
    </xf>
    <xf numFmtId="0" fontId="7" fillId="2" borderId="10" xfId="0" applyFont="1" applyFill="1" applyBorder="1"/>
    <xf numFmtId="0" fontId="4" fillId="2" borderId="23" xfId="0" applyFont="1" applyFill="1" applyBorder="1" applyAlignment="1">
      <alignment wrapText="1"/>
    </xf>
    <xf numFmtId="0" fontId="4" fillId="2" borderId="27" xfId="0" applyFont="1" applyFill="1" applyBorder="1" applyAlignment="1">
      <alignment wrapText="1"/>
    </xf>
    <xf numFmtId="0" fontId="4" fillId="2" borderId="28" xfId="0" applyFont="1" applyFill="1" applyBorder="1" applyAlignment="1">
      <alignment wrapText="1"/>
    </xf>
    <xf numFmtId="0" fontId="0" fillId="4" borderId="19" xfId="0" applyFill="1" applyBorder="1" applyAlignment="1">
      <alignment horizontal="left" wrapText="1"/>
    </xf>
    <xf numFmtId="0" fontId="13" fillId="2" borderId="20" xfId="0" applyFont="1" applyFill="1" applyBorder="1" applyAlignment="1" applyProtection="1">
      <alignment wrapText="1"/>
      <protection locked="0"/>
    </xf>
    <xf numFmtId="0" fontId="0" fillId="2" borderId="20" xfId="0" applyFill="1" applyBorder="1" applyProtection="1">
      <protection locked="0"/>
    </xf>
    <xf numFmtId="0" fontId="0" fillId="2" borderId="20" xfId="0" applyFill="1" applyBorder="1" applyProtection="1">
      <protection locked="0"/>
    </xf>
    <xf numFmtId="0" fontId="0" fillId="4" borderId="29" xfId="0" applyFill="1" applyBorder="1" applyAlignment="1">
      <alignment horizontal="left" wrapText="1"/>
    </xf>
    <xf numFmtId="0" fontId="0" fillId="2" borderId="17" xfId="0" applyFill="1" applyBorder="1" applyProtection="1">
      <protection locked="0"/>
    </xf>
    <xf numFmtId="0" fontId="14" fillId="6" borderId="1" xfId="0" applyFont="1" applyFill="1" applyBorder="1" applyAlignment="1">
      <alignment horizontal="center" vertical="center" wrapText="1"/>
    </xf>
    <xf numFmtId="0" fontId="15" fillId="7" borderId="1" xfId="0" applyFont="1" applyFill="1" applyBorder="1" applyAlignment="1">
      <alignment horizontal="center" vertical="center" wrapText="1"/>
    </xf>
    <xf numFmtId="0" fontId="16" fillId="8" borderId="1" xfId="0" applyFont="1" applyFill="1" applyBorder="1" applyAlignment="1">
      <alignment horizontal="center" vertical="center" wrapText="1"/>
    </xf>
    <xf numFmtId="0" fontId="17" fillId="2" borderId="1" xfId="0" applyFont="1" applyFill="1" applyBorder="1" applyAlignment="1">
      <alignment horizontal="center" vertical="center"/>
    </xf>
    <xf numFmtId="0" fontId="18" fillId="6" borderId="26" xfId="0" applyFont="1" applyFill="1" applyBorder="1" applyAlignment="1">
      <alignment horizontal="center" vertical="center"/>
    </xf>
    <xf numFmtId="0" fontId="19" fillId="7" borderId="26" xfId="0" applyFont="1" applyFill="1" applyBorder="1" applyAlignment="1">
      <alignment horizontal="center" vertical="center"/>
    </xf>
    <xf numFmtId="0" fontId="20" fillId="8" borderId="26" xfId="0" applyFont="1" applyFill="1" applyBorder="1" applyAlignment="1">
      <alignment horizontal="center" vertical="center"/>
    </xf>
    <xf numFmtId="0" fontId="4" fillId="2" borderId="30" xfId="0" applyFont="1" applyFill="1" applyBorder="1" applyAlignment="1">
      <alignment horizontal="center" vertical="center"/>
    </xf>
    <xf numFmtId="2" fontId="0" fillId="2" borderId="31" xfId="0" applyNumberFormat="1" applyFill="1" applyBorder="1" applyProtection="1">
      <protection locked="0"/>
    </xf>
    <xf numFmtId="0" fontId="10" fillId="2" borderId="0" xfId="0" applyFont="1" applyFill="1" applyProtection="1">
      <protection locked="0"/>
    </xf>
    <xf numFmtId="0" fontId="21" fillId="2" borderId="5" xfId="0" applyFont="1" applyFill="1" applyBorder="1" applyAlignment="1">
      <alignment horizontal="center"/>
    </xf>
    <xf numFmtId="0" fontId="0" fillId="2" borderId="21" xfId="0" applyFill="1" applyBorder="1" applyAlignment="1">
      <alignment horizontal="left" wrapText="1"/>
    </xf>
    <xf numFmtId="0" fontId="11" fillId="4" borderId="32" xfId="0" applyFont="1" applyFill="1" applyBorder="1"/>
    <xf numFmtId="0" fontId="11" fillId="4" borderId="33" xfId="0" applyFont="1" applyFill="1" applyBorder="1"/>
    <xf numFmtId="0" fontId="11" fillId="4" borderId="34" xfId="0" applyFont="1" applyFill="1" applyBorder="1"/>
    <xf numFmtId="165" fontId="0" fillId="2" borderId="1" xfId="0" applyNumberFormat="1" applyFill="1" applyBorder="1" applyAlignment="1" applyProtection="1">
      <alignment horizontal="center"/>
      <protection locked="0"/>
    </xf>
    <xf numFmtId="0" fontId="11" fillId="4" borderId="7" xfId="0" applyFont="1" applyFill="1" applyBorder="1" applyAlignment="1">
      <alignment horizontal="center"/>
    </xf>
    <xf numFmtId="0" fontId="11" fillId="4" borderId="8" xfId="0" applyFont="1" applyFill="1" applyBorder="1" applyAlignment="1">
      <alignment horizontal="center"/>
    </xf>
    <xf numFmtId="0" fontId="11" fillId="4" borderId="9" xfId="0" applyFont="1" applyFill="1" applyBorder="1" applyAlignment="1">
      <alignment horizontal="center"/>
    </xf>
    <xf numFmtId="165" fontId="2" fillId="3" borderId="29" xfId="0" applyNumberFormat="1" applyFont="1" applyFill="1" applyBorder="1" applyAlignment="1">
      <alignment horizontal="center"/>
    </xf>
    <xf numFmtId="165" fontId="2" fillId="3" borderId="11" xfId="0" applyNumberFormat="1" applyFont="1" applyFill="1" applyBorder="1" applyAlignment="1">
      <alignment horizontal="center"/>
    </xf>
    <xf numFmtId="165" fontId="0" fillId="2" borderId="19" xfId="0" applyNumberFormat="1" applyFill="1" applyBorder="1" applyAlignment="1" applyProtection="1">
      <alignment horizontal="center"/>
      <protection locked="0"/>
    </xf>
    <xf numFmtId="165" fontId="0" fillId="2" borderId="20" xfId="0" applyNumberFormat="1" applyFill="1" applyBorder="1" applyAlignment="1" applyProtection="1">
      <alignment horizontal="center"/>
      <protection locked="0"/>
    </xf>
    <xf numFmtId="165" fontId="0" fillId="4" borderId="19" xfId="0" applyNumberFormat="1" applyFill="1" applyBorder="1" applyAlignment="1">
      <alignment horizontal="center" wrapText="1"/>
    </xf>
    <xf numFmtId="165" fontId="0" fillId="4" borderId="1" xfId="0" applyNumberFormat="1" applyFill="1" applyBorder="1" applyAlignment="1">
      <alignment horizontal="center" wrapText="1"/>
    </xf>
    <xf numFmtId="165" fontId="0" fillId="4" borderId="20" xfId="0" applyNumberFormat="1" applyFill="1" applyBorder="1" applyAlignment="1">
      <alignment horizontal="center" wrapText="1"/>
    </xf>
    <xf numFmtId="0" fontId="22" fillId="9" borderId="35" xfId="0" applyFont="1" applyFill="1" applyBorder="1" applyAlignment="1" applyProtection="1">
      <alignment horizontal="center"/>
    </xf>
    <xf numFmtId="0" fontId="23" fillId="2" borderId="0" xfId="0" applyFont="1" applyFill="1"/>
    <xf numFmtId="0" fontId="0" fillId="2" borderId="0" xfId="0" applyFill="1" applyProtection="1">
      <protection locked="0"/>
    </xf>
    <xf numFmtId="0" fontId="11" fillId="2" borderId="18" xfId="0" applyFont="1" applyFill="1" applyBorder="1" applyAlignment="1">
      <alignment horizontal="center" wrapText="1"/>
    </xf>
    <xf numFmtId="0" fontId="2" fillId="3" borderId="8" xfId="0" applyFont="1" applyFill="1" applyBorder="1" applyAlignment="1">
      <alignment wrapText="1"/>
    </xf>
    <xf numFmtId="164" fontId="0" fillId="2" borderId="36" xfId="0" applyNumberFormat="1" applyFill="1" applyBorder="1" applyAlignment="1">
      <alignment horizontal="center" wrapText="1"/>
    </xf>
    <xf numFmtId="0" fontId="2" fillId="3" borderId="11" xfId="0" applyFont="1" applyFill="1" applyBorder="1"/>
    <xf numFmtId="0" fontId="2" fillId="3" borderId="20" xfId="0" applyFont="1" applyFill="1" applyBorder="1"/>
    <xf numFmtId="0" fontId="2" fillId="3" borderId="17" xfId="0" applyFont="1" applyFill="1" applyBorder="1"/>
    <xf numFmtId="0" fontId="4" fillId="2" borderId="0" xfId="0" applyFont="1" applyFill="1"/>
    <xf numFmtId="0" fontId="11" fillId="4" borderId="1" xfId="0" applyFont="1" applyFill="1" applyBorder="1" applyAlignment="1">
      <alignment wrapText="1"/>
    </xf>
    <xf numFmtId="0" fontId="11" fillId="4" borderId="1" xfId="0" applyFont="1" applyFill="1" applyBorder="1"/>
    <xf numFmtId="0" fontId="11" fillId="4" borderId="1" xfId="0" applyFont="1" applyFill="1" applyBorder="1" applyAlignment="1">
      <alignment horizontal="left" wrapText="1"/>
    </xf>
    <xf numFmtId="0" fontId="11" fillId="4" borderId="0" xfId="0" applyFont="1" applyFill="1" applyAlignment="1">
      <alignment wrapText="1"/>
    </xf>
    <xf numFmtId="164" fontId="0" fillId="4" borderId="1" xfId="0" applyNumberFormat="1" applyFill="1" applyBorder="1" applyAlignment="1">
      <alignment horizontal="center" vertical="center" wrapText="1"/>
    </xf>
    <xf numFmtId="0" fontId="0" fillId="4" borderId="1" xfId="0" applyFill="1" applyBorder="1" applyAlignment="1">
      <alignment horizontal="left" wrapText="1"/>
    </xf>
    <xf numFmtId="0" fontId="0" fillId="4" borderId="1" xfId="0" applyFill="1" applyBorder="1" applyAlignment="1">
      <alignment horizontal="left" wrapText="1"/>
    </xf>
    <xf numFmtId="0" fontId="0" fillId="4" borderId="0" xfId="0" applyFill="1" applyAlignment="1">
      <alignment horizontal="left" wrapText="1"/>
    </xf>
    <xf numFmtId="0" fontId="0" fillId="4" borderId="1" xfId="0" applyFill="1" applyBorder="1" applyAlignment="1">
      <alignment horizontal="left" wrapText="1"/>
    </xf>
    <xf numFmtId="0" fontId="6" fillId="2" borderId="0" xfId="0" applyFont="1" applyFill="1" applyAlignment="1">
      <alignment horizontal="center"/>
    </xf>
    <xf numFmtId="0" fontId="4" fillId="5" borderId="25" xfId="0" applyFont="1" applyFill="1" applyBorder="1" applyAlignment="1">
      <alignment horizontal="left"/>
    </xf>
    <xf numFmtId="0" fontId="11" fillId="4" borderId="37" xfId="0" applyFont="1" applyFill="1" applyBorder="1" applyAlignment="1">
      <alignment horizontal="center" wrapText="1"/>
    </xf>
    <xf numFmtId="0" fontId="6"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24" xfId="0" applyFill="1" applyBorder="1" applyAlignment="1">
      <alignment horizontal="center"/>
    </xf>
    <xf numFmtId="0" fontId="4" fillId="5" borderId="23" xfId="0" applyFont="1" applyFill="1" applyBorder="1" applyAlignment="1">
      <alignment horizontal="left"/>
    </xf>
    <xf numFmtId="0" fontId="4" fillId="5" borderId="24" xfId="0" applyFont="1" applyFill="1" applyBorder="1" applyAlignment="1">
      <alignment horizontal="left"/>
    </xf>
    <xf numFmtId="0" fontId="4" fillId="5" borderId="21" xfId="0" applyFont="1" applyFill="1" applyBorder="1" applyAlignment="1">
      <alignment horizontal="left"/>
    </xf>
    <xf numFmtId="164" fontId="4" fillId="5" borderId="0" xfId="0" applyNumberFormat="1" applyFont="1" applyFill="1" applyAlignment="1">
      <alignment horizontal="left"/>
    </xf>
    <xf numFmtId="14" fontId="0" fillId="2" borderId="0" xfId="0" applyNumberFormat="1" applyFill="1"/>
    <xf numFmtId="0" fontId="4" fillId="5" borderId="22" xfId="0" applyFont="1" applyFill="1" applyBorder="1" applyAlignment="1">
      <alignment horizontal="left"/>
    </xf>
    <xf numFmtId="164" fontId="4" fillId="5" borderId="25" xfId="0" applyNumberFormat="1" applyFont="1" applyFill="1" applyBorder="1" applyAlignment="1">
      <alignment horizontal="left"/>
    </xf>
    <xf numFmtId="0" fontId="4" fillId="5" borderId="0" xfId="0" applyFont="1" applyFill="1" applyAlignment="1">
      <alignment horizontal="left"/>
    </xf>
    <xf numFmtId="166" fontId="4" fillId="5" borderId="0" xfId="0" applyNumberFormat="1" applyFont="1" applyFill="1" applyAlignment="1">
      <alignment horizontal="left"/>
    </xf>
    <xf numFmtId="0" fontId="4" fillId="2" borderId="0" xfId="0" applyFont="1" applyFill="1" applyAlignment="1">
      <alignment horizontal="center"/>
    </xf>
    <xf numFmtId="0" fontId="11" fillId="4" borderId="1" xfId="0" applyFont="1" applyFill="1" applyBorder="1" applyAlignment="1">
      <alignment horizontal="center" wrapText="1"/>
    </xf>
    <xf numFmtId="0" fontId="0" fillId="2" borderId="0" xfId="0" applyFill="1"/>
    <xf numFmtId="0" fontId="4" fillId="2" borderId="38" xfId="0" applyFont="1" applyFill="1" applyBorder="1" applyAlignment="1">
      <alignment wrapText="1"/>
    </xf>
    <xf numFmtId="0" fontId="4" fillId="2" borderId="1" xfId="0" applyFont="1" applyFill="1" applyBorder="1" applyAlignment="1">
      <alignment wrapText="1"/>
    </xf>
    <xf numFmtId="0" fontId="11" fillId="4" borderId="39" xfId="0" applyFont="1" applyFill="1" applyBorder="1"/>
    <xf numFmtId="0" fontId="11" fillId="4" borderId="23" xfId="0" applyFont="1" applyFill="1" applyBorder="1" applyAlignment="1">
      <alignment wrapText="1"/>
    </xf>
    <xf numFmtId="0" fontId="24" fillId="10" borderId="26" xfId="0" applyFont="1" applyFill="1" applyBorder="1" applyAlignment="1" applyProtection="1">
      <alignment wrapText="1"/>
      <protection locked="0"/>
    </xf>
    <xf numFmtId="0" fontId="24" fillId="10" borderId="40" xfId="0" applyFont="1" applyFill="1" applyBorder="1" applyAlignment="1" applyProtection="1">
      <alignment wrapText="1"/>
      <protection locked="0"/>
    </xf>
    <xf numFmtId="0" fontId="24" fillId="10" borderId="41" xfId="0" applyFont="1" applyFill="1" applyBorder="1" applyAlignment="1" applyProtection="1">
      <alignment wrapText="1"/>
      <protection locked="0"/>
    </xf>
    <xf numFmtId="164" fontId="0" fillId="2" borderId="0" xfId="0" applyNumberFormat="1" applyFill="1"/>
    <xf numFmtId="0" fontId="25" fillId="3" borderId="1" xfId="0" applyFont="1" applyFill="1" applyBorder="1" applyAlignment="1">
      <alignment wrapText="1"/>
    </xf>
    <xf numFmtId="0" fontId="2" fillId="3" borderId="1" xfId="0" applyFont="1" applyFill="1" applyBorder="1" applyAlignment="1">
      <alignment horizontal="center" vertical="top" wrapText="1"/>
    </xf>
    <xf numFmtId="0" fontId="25" fillId="3" borderId="1" xfId="0" applyFont="1" applyFill="1" applyBorder="1"/>
    <xf numFmtId="0" fontId="11" fillId="4" borderId="26" xfId="0" applyFont="1" applyFill="1" applyBorder="1" applyAlignment="1">
      <alignment horizontal="center" wrapText="1"/>
    </xf>
    <xf numFmtId="1" fontId="2" fillId="3" borderId="1" xfId="0" applyNumberFormat="1" applyFont="1" applyFill="1" applyBorder="1" applyAlignment="1" applyProtection="1">
      <alignment horizontal="center"/>
    </xf>
    <xf numFmtId="0" fontId="0" fillId="2" borderId="1" xfId="0" applyFill="1" applyBorder="1"/>
    <xf numFmtId="0" fontId="11" fillId="4" borderId="42" xfId="0" applyFont="1" applyFill="1" applyBorder="1"/>
    <xf numFmtId="0" fontId="11" fillId="4" borderId="43" xfId="0" applyFont="1" applyFill="1" applyBorder="1"/>
    <xf numFmtId="167" fontId="0" fillId="2" borderId="31" xfId="0" applyNumberFormat="1" applyFill="1" applyBorder="1" applyProtection="1">
      <protection locked="0"/>
    </xf>
    <xf numFmtId="0" fontId="6" fillId="2" borderId="0" xfId="0" applyFont="1" applyFill="1" applyAlignment="1">
      <alignment wrapText="1"/>
    </xf>
    <xf numFmtId="0" fontId="17" fillId="2" borderId="0" xfId="0" applyFont="1" applyFill="1" applyAlignment="1">
      <alignment vertical="center" wrapText="1"/>
    </xf>
    <xf numFmtId="0" fontId="17" fillId="2" borderId="44" xfId="0" applyFont="1" applyFill="1" applyBorder="1" applyAlignment="1">
      <alignment wrapText="1"/>
    </xf>
    <xf numFmtId="0" fontId="17" fillId="2" borderId="18" xfId="0" applyFont="1" applyFill="1" applyBorder="1" applyAlignment="1">
      <alignment wrapText="1"/>
    </xf>
    <xf numFmtId="0" fontId="17" fillId="2" borderId="45" xfId="0" applyFont="1" applyFill="1" applyBorder="1" applyAlignment="1">
      <alignment wrapText="1"/>
    </xf>
    <xf numFmtId="0" fontId="17" fillId="2" borderId="0" xfId="0" applyFont="1" applyFill="1" applyAlignment="1">
      <alignment wrapText="1"/>
    </xf>
    <xf numFmtId="0" fontId="17" fillId="2" borderId="0" xfId="0" applyFont="1" applyFill="1" applyAlignment="1">
      <alignment wrapText="1"/>
    </xf>
    <xf numFmtId="0" fontId="26" fillId="2" borderId="1" xfId="0" applyFont="1" applyFill="1" applyBorder="1" applyAlignment="1">
      <alignment vertical="center"/>
    </xf>
    <xf numFmtId="14" fontId="26" fillId="2" borderId="1" xfId="0" applyNumberFormat="1" applyFont="1" applyFill="1" applyBorder="1" applyAlignment="1">
      <alignment vertical="center"/>
    </xf>
    <xf numFmtId="167" fontId="0" fillId="2" borderId="1" xfId="0" applyNumberFormat="1" applyFill="1" applyBorder="1"/>
    <xf numFmtId="167" fontId="2" fillId="3" borderId="1" xfId="0" applyNumberFormat="1" applyFont="1" applyFill="1" applyBorder="1"/>
    <xf numFmtId="167" fontId="0" fillId="2" borderId="1" xfId="0" applyNumberFormat="1" applyFill="1" applyBorder="1"/>
    <xf numFmtId="167" fontId="0" fillId="2" borderId="0" xfId="0" applyNumberFormat="1" applyFill="1"/>
    <xf numFmtId="167" fontId="2" fillId="3" borderId="46" xfId="0" applyNumberFormat="1" applyFont="1" applyFill="1" applyBorder="1"/>
    <xf numFmtId="0" fontId="17" fillId="2" borderId="7" xfId="0" applyFont="1" applyFill="1" applyBorder="1" applyAlignment="1">
      <alignment wrapText="1"/>
    </xf>
    <xf numFmtId="0" fontId="17" fillId="2" borderId="8" xfId="0" applyFont="1" applyFill="1" applyBorder="1" applyAlignment="1">
      <alignment wrapText="1"/>
    </xf>
    <xf numFmtId="0" fontId="17" fillId="2" borderId="9" xfId="0" applyFont="1" applyFill="1" applyBorder="1" applyAlignment="1">
      <alignment wrapText="1"/>
    </xf>
    <xf numFmtId="167" fontId="0" fillId="2" borderId="19" xfId="0" applyNumberFormat="1" applyFill="1" applyBorder="1"/>
    <xf numFmtId="167" fontId="2" fillId="3" borderId="20" xfId="0" applyNumberFormat="1" applyFont="1" applyFill="1" applyBorder="1"/>
    <xf numFmtId="167" fontId="0" fillId="2" borderId="29" xfId="0" applyNumberFormat="1" applyFill="1" applyBorder="1"/>
    <xf numFmtId="167" fontId="0" fillId="2" borderId="11" xfId="0" applyNumberFormat="1" applyFill="1" applyBorder="1"/>
    <xf numFmtId="167" fontId="2" fillId="3" borderId="11" xfId="0" applyNumberFormat="1" applyFont="1" applyFill="1" applyBorder="1"/>
    <xf numFmtId="167" fontId="2" fillId="3" borderId="17" xfId="0" applyNumberFormat="1" applyFont="1" applyFill="1" applyBorder="1"/>
    <xf numFmtId="0" fontId="11" fillId="4" borderId="19" xfId="0" applyFont="1" applyFill="1" applyBorder="1"/>
    <xf numFmtId="0" fontId="11" fillId="4" borderId="1" xfId="0" applyFont="1" applyFill="1" applyBorder="1"/>
    <xf numFmtId="0" fontId="11" fillId="4" borderId="20" xfId="0" applyFont="1" applyFill="1" applyBorder="1"/>
    <xf numFmtId="0" fontId="0" fillId="11" borderId="47" xfId="0" applyFill="1" applyBorder="1"/>
    <xf numFmtId="0" fontId="0" fillId="11" borderId="0" xfId="0" applyFill="1"/>
    <xf numFmtId="0" fontId="0" fillId="11" borderId="48" xfId="0" applyFill="1" applyBorder="1"/>
    <xf numFmtId="0" fontId="0" fillId="11" borderId="0" xfId="0" applyFill="1"/>
    <xf numFmtId="0" fontId="0" fillId="11" borderId="48" xfId="0" applyFill="1" applyBorder="1"/>
    <xf numFmtId="165" fontId="2" fillId="3" borderId="29" xfId="0" applyNumberFormat="1" applyFont="1" applyFill="1" applyBorder="1"/>
    <xf numFmtId="165" fontId="2" fillId="3" borderId="11" xfId="0" applyNumberFormat="1" applyFont="1" applyFill="1" applyBorder="1"/>
    <xf numFmtId="165" fontId="2" fillId="3" borderId="17" xfId="0" applyNumberFormat="1" applyFont="1" applyFill="1" applyBorder="1"/>
    <xf numFmtId="167" fontId="2" fillId="3" borderId="29" xfId="0" applyNumberFormat="1" applyFont="1" applyFill="1" applyBorder="1"/>
    <xf numFmtId="0" fontId="2" fillId="3" borderId="2" xfId="0" applyFont="1" applyFill="1" applyBorder="1"/>
    <xf numFmtId="0" fontId="6" fillId="2" borderId="0" xfId="0" applyFont="1" applyFill="1"/>
    <xf numFmtId="167" fontId="2" fillId="3" borderId="26" xfId="0" applyNumberFormat="1" applyFont="1" applyFill="1" applyBorder="1"/>
    <xf numFmtId="167" fontId="2" fillId="3" borderId="49" xfId="0" applyNumberFormat="1" applyFont="1" applyFill="1" applyBorder="1"/>
    <xf numFmtId="167" fontId="2" fillId="3" borderId="50" xfId="0" applyNumberFormat="1" applyFont="1" applyFill="1" applyBorder="1"/>
    <xf numFmtId="167" fontId="2" fillId="3" borderId="51" xfId="0" applyNumberFormat="1" applyFont="1" applyFill="1" applyBorder="1"/>
    <xf numFmtId="167" fontId="2" fillId="3" borderId="2" xfId="0" applyNumberFormat="1" applyFont="1" applyFill="1" applyBorder="1"/>
    <xf numFmtId="0" fontId="0" fillId="2" borderId="46" xfId="0" applyFill="1" applyBorder="1" applyAlignment="1" applyProtection="1">
      <alignment wrapText="1"/>
      <protection locked="0"/>
    </xf>
    <xf numFmtId="0" fontId="3" fillId="2" borderId="0" xfId="0" applyFont="1" applyFill="1"/>
    <xf numFmtId="166" fontId="6" fillId="2" borderId="0" xfId="0" applyNumberFormat="1" applyFont="1" applyFill="1" applyAlignment="1">
      <alignment horizontal="left"/>
    </xf>
    <xf numFmtId="0" fontId="6" fillId="2" borderId="0" xfId="0" applyFont="1" applyFill="1"/>
    <xf numFmtId="0" fontId="6" fillId="2" borderId="0" xfId="0" applyFont="1" applyFill="1"/>
    <xf numFmtId="0" fontId="24" fillId="2" borderId="0" xfId="0" applyFont="1" applyFill="1"/>
    <xf numFmtId="0" fontId="0" fillId="2" borderId="1" xfId="0"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xf numFmtId="0" fontId="0" fillId="4" borderId="1" xfId="0" applyFill="1" applyBorder="1" applyAlignment="1">
      <alignment horizontal="left" vertical="center" wrapText="1"/>
    </xf>
    <xf numFmtId="164" fontId="0" fillId="4" borderId="1" xfId="0" applyNumberFormat="1" applyFill="1" applyBorder="1" applyAlignment="1">
      <alignment horizontal="left" vertical="center" wrapText="1"/>
    </xf>
    <xf numFmtId="164" fontId="0" fillId="4" borderId="46" xfId="0" applyNumberFormat="1" applyFill="1" applyBorder="1" applyAlignment="1">
      <alignment horizontal="left" vertical="center" wrapText="1"/>
    </xf>
    <xf numFmtId="49" fontId="0" fillId="4" borderId="1" xfId="0" applyNumberFormat="1" applyFill="1" applyBorder="1" applyAlignment="1">
      <alignment horizontal="left" vertical="center" wrapText="1"/>
    </xf>
    <xf numFmtId="0" fontId="0" fillId="4" borderId="50" xfId="0" applyFill="1" applyBorder="1" applyAlignment="1">
      <alignment horizontal="left" vertical="center" wrapText="1"/>
    </xf>
    <xf numFmtId="0" fontId="0" fillId="4" borderId="1" xfId="0" applyFill="1" applyBorder="1" applyAlignment="1">
      <alignment horizontal="left" vertical="center" wrapText="1"/>
    </xf>
    <xf numFmtId="0" fontId="0" fillId="4" borderId="52" xfId="0" applyFill="1" applyBorder="1" applyAlignment="1">
      <alignment horizontal="left" vertical="center" wrapText="1"/>
    </xf>
    <xf numFmtId="0" fontId="0" fillId="2" borderId="19"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9" xfId="0" applyFill="1" applyBorder="1" applyAlignment="1" applyProtection="1">
      <alignment horizontal="left" vertical="top" wrapText="1"/>
      <protection locked="0"/>
    </xf>
    <xf numFmtId="0" fontId="0" fillId="2" borderId="46" xfId="0" applyFill="1" applyBorder="1" applyAlignment="1" applyProtection="1">
      <alignment horizontal="left" vertical="top" wrapText="1"/>
      <protection locked="0"/>
    </xf>
    <xf numFmtId="0" fontId="0" fillId="2" borderId="29" xfId="0" applyFill="1" applyBorder="1" applyAlignment="1" applyProtection="1">
      <alignment horizontal="left" vertical="top" wrapText="1"/>
      <protection locked="0"/>
    </xf>
    <xf numFmtId="0" fontId="0" fillId="2" borderId="53" xfId="0" applyFill="1" applyBorder="1" applyAlignment="1" applyProtection="1">
      <alignment horizontal="left" vertical="top"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13" xfId="0" applyFill="1" applyBorder="1" applyAlignment="1" applyProtection="1">
      <alignment horizontal="left" vertical="center" wrapText="1"/>
      <protection locked="0"/>
    </xf>
    <xf numFmtId="0" fontId="0" fillId="2" borderId="54"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164" fontId="0" fillId="2" borderId="1" xfId="0" applyNumberFormat="1" applyFill="1" applyBorder="1" applyAlignment="1" applyProtection="1">
      <alignment horizontal="left" vertical="center" wrapText="1"/>
      <protection locked="0"/>
    </xf>
    <xf numFmtId="164" fontId="0" fillId="2" borderId="20" xfId="0" applyNumberFormat="1"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4" fontId="0" fillId="2" borderId="11" xfId="0" applyNumberFormat="1" applyFill="1" applyBorder="1" applyAlignment="1" applyProtection="1">
      <alignment horizontal="left" vertical="center" wrapText="1"/>
      <protection locked="0"/>
    </xf>
    <xf numFmtId="164" fontId="0" fillId="2" borderId="17" xfId="0" applyNumberFormat="1" applyFill="1" applyBorder="1" applyAlignment="1" applyProtection="1">
      <alignment horizontal="left" vertical="center" wrapText="1"/>
      <protection locked="0"/>
    </xf>
    <xf numFmtId="0" fontId="0" fillId="2" borderId="46" xfId="0" applyFill="1" applyBorder="1" applyAlignment="1" applyProtection="1">
      <alignment horizontal="left" vertical="center" wrapText="1"/>
      <protection locked="0"/>
    </xf>
    <xf numFmtId="0" fontId="0" fillId="2" borderId="24" xfId="0" applyFill="1" applyBorder="1"/>
    <xf numFmtId="0" fontId="6" fillId="2" borderId="24" xfId="0" applyFont="1" applyFill="1" applyBorder="1"/>
    <xf numFmtId="0" fontId="0" fillId="2" borderId="25" xfId="0" applyFill="1" applyBorder="1"/>
    <xf numFmtId="0" fontId="6" fillId="2" borderId="25" xfId="0" applyFont="1" applyFill="1" applyBorder="1"/>
    <xf numFmtId="0" fontId="0" fillId="2" borderId="25" xfId="0" applyFill="1" applyBorder="1"/>
    <xf numFmtId="0" fontId="3" fillId="2" borderId="25" xfId="0" applyFont="1" applyFill="1" applyBorder="1"/>
    <xf numFmtId="0" fontId="0" fillId="4" borderId="1" xfId="0" applyFill="1" applyBorder="1" applyAlignment="1">
      <alignment horizontal="left" vertical="center" wrapText="1"/>
    </xf>
    <xf numFmtId="0" fontId="0" fillId="4" borderId="1" xfId="0" applyFill="1" applyBorder="1" applyAlignment="1">
      <alignment horizontal="left" vertical="center" wrapText="1"/>
    </xf>
    <xf numFmtId="0" fontId="0" fillId="2" borderId="19" xfId="0" applyFill="1" applyBorder="1" applyAlignment="1" applyProtection="1">
      <alignment horizontal="left" vertical="center"/>
      <protection locked="0"/>
    </xf>
    <xf numFmtId="0" fontId="0" fillId="2" borderId="50" xfId="0" applyFill="1" applyBorder="1" applyAlignment="1" applyProtection="1">
      <alignment horizontal="left" vertical="center" wrapText="1"/>
      <protection locked="0"/>
    </xf>
    <xf numFmtId="0" fontId="0" fillId="2" borderId="1" xfId="0" applyFill="1" applyBorder="1" applyAlignment="1" applyProtection="1">
      <alignment horizontal="left" vertical="center"/>
      <protection locked="0"/>
    </xf>
    <xf numFmtId="3" fontId="0" fillId="2" borderId="1" xfId="0" applyNumberFormat="1" applyFill="1" applyBorder="1" applyAlignment="1" applyProtection="1">
      <alignment horizontal="left" vertical="center"/>
      <protection locked="0"/>
    </xf>
    <xf numFmtId="164" fontId="0" fillId="2" borderId="1" xfId="0" applyNumberFormat="1" applyFill="1" applyBorder="1" applyAlignment="1" applyProtection="1">
      <alignment horizontal="left" vertical="center"/>
      <protection locked="0"/>
    </xf>
    <xf numFmtId="0" fontId="0" fillId="2" borderId="19" xfId="0" applyFill="1" applyBorder="1" applyAlignment="1" applyProtection="1">
      <alignment horizontal="left" vertical="center"/>
      <protection locked="0"/>
    </xf>
    <xf numFmtId="0" fontId="0" fillId="2" borderId="50" xfId="0" applyFill="1" applyBorder="1" applyAlignment="1" applyProtection="1">
      <alignment horizontal="left" vertical="center" wrapText="1"/>
      <protection locked="0"/>
    </xf>
    <xf numFmtId="3" fontId="0" fillId="2" borderId="1" xfId="0" applyNumberFormat="1" applyFill="1" applyBorder="1" applyAlignment="1" applyProtection="1">
      <alignment horizontal="left" vertical="center"/>
      <protection locked="0"/>
    </xf>
    <xf numFmtId="0" fontId="0" fillId="2" borderId="29" xfId="0" applyFill="1" applyBorder="1" applyAlignment="1" applyProtection="1">
      <alignment horizontal="left" vertical="center"/>
      <protection locked="0"/>
    </xf>
    <xf numFmtId="0" fontId="0" fillId="2" borderId="52" xfId="0" applyFill="1" applyBorder="1" applyAlignment="1" applyProtection="1">
      <alignment horizontal="left" vertical="center" wrapText="1"/>
      <protection locked="0"/>
    </xf>
    <xf numFmtId="0" fontId="0" fillId="2" borderId="11" xfId="0" applyFill="1" applyBorder="1" applyAlignment="1" applyProtection="1">
      <alignment horizontal="left" vertical="center"/>
      <protection locked="0"/>
    </xf>
    <xf numFmtId="3" fontId="0" fillId="2" borderId="11" xfId="0" applyNumberFormat="1" applyFill="1" applyBorder="1" applyAlignment="1" applyProtection="1">
      <alignment horizontal="left" vertical="center"/>
      <protection locked="0"/>
    </xf>
    <xf numFmtId="164" fontId="0" fillId="2" borderId="11" xfId="0" applyNumberFormat="1" applyFill="1" applyBorder="1" applyAlignment="1" applyProtection="1">
      <alignment horizontal="left" vertical="center"/>
      <protection locked="0"/>
    </xf>
    <xf numFmtId="164" fontId="0" fillId="2" borderId="20" xfId="0" applyNumberFormat="1" applyFill="1" applyBorder="1" applyAlignment="1" applyProtection="1">
      <alignment horizontal="left" vertical="center"/>
      <protection locked="0"/>
    </xf>
    <xf numFmtId="164" fontId="0" fillId="2" borderId="17" xfId="0" applyNumberFormat="1" applyFill="1" applyBorder="1" applyAlignment="1" applyProtection="1">
      <alignment horizontal="left" vertical="center"/>
      <protection locked="0"/>
    </xf>
    <xf numFmtId="0" fontId="0" fillId="2" borderId="33" xfId="0" applyFill="1" applyBorder="1"/>
    <xf numFmtId="0" fontId="0" fillId="2" borderId="50" xfId="0" applyFill="1" applyBorder="1"/>
    <xf numFmtId="0" fontId="0" fillId="2" borderId="33" xfId="0" applyFill="1" applyBorder="1" applyAlignment="1">
      <alignment horizontal="center"/>
    </xf>
    <xf numFmtId="0" fontId="0" fillId="2" borderId="50" xfId="0" applyFill="1" applyBorder="1" applyAlignment="1">
      <alignment horizontal="center"/>
    </xf>
    <xf numFmtId="0" fontId="6" fillId="2" borderId="46" xfId="0" applyFont="1" applyFill="1" applyBorder="1" applyAlignment="1" applyProtection="1">
      <alignment horizontal="center" vertical="center"/>
      <protection locked="0"/>
    </xf>
    <xf numFmtId="0" fontId="0" fillId="2" borderId="33" xfId="0" applyFill="1" applyBorder="1" applyAlignment="1">
      <alignment horizontal="left" vertical="center"/>
    </xf>
    <xf numFmtId="0" fontId="26" fillId="2" borderId="0" xfId="0" applyFont="1" applyFill="1"/>
    <xf numFmtId="0" fontId="27" fillId="2" borderId="0" xfId="0" applyFont="1" applyFill="1"/>
    <xf numFmtId="0" fontId="4" fillId="2" borderId="0" xfId="0" applyFont="1" applyFill="1" applyAlignment="1">
      <alignment wrapText="1"/>
    </xf>
    <xf numFmtId="0" fontId="26" fillId="2" borderId="55" xfId="0" applyFont="1" applyFill="1" applyBorder="1" applyAlignment="1" applyProtection="1">
      <alignment wrapText="1"/>
      <protection locked="0"/>
    </xf>
    <xf numFmtId="49" fontId="26" fillId="2" borderId="55" xfId="0" applyNumberFormat="1" applyFont="1" applyFill="1" applyBorder="1" applyAlignment="1" applyProtection="1">
      <alignment wrapText="1"/>
      <protection locked="0"/>
    </xf>
    <xf numFmtId="165" fontId="26" fillId="2" borderId="55" xfId="0" applyNumberFormat="1" applyFont="1" applyFill="1" applyBorder="1" applyAlignment="1" applyProtection="1">
      <alignment wrapText="1"/>
      <protection locked="0"/>
    </xf>
    <xf numFmtId="0" fontId="0" fillId="2" borderId="0" xfId="0" applyFill="1"/>
    <xf numFmtId="164" fontId="6" fillId="2" borderId="0" xfId="0" applyNumberFormat="1" applyFont="1" applyFill="1" applyAlignment="1">
      <alignment horizontal="left"/>
    </xf>
    <xf numFmtId="164" fontId="0" fillId="2" borderId="1" xfId="0" applyNumberFormat="1" applyFill="1" applyBorder="1" applyAlignment="1" applyProtection="1">
      <alignment horizontal="center" vertical="top" wrapText="1"/>
      <protection locked="0"/>
    </xf>
    <xf numFmtId="44" fontId="0" fillId="2" borderId="19" xfId="0" applyNumberFormat="1" applyFill="1" applyBorder="1" applyProtection="1">
      <protection locked="0"/>
    </xf>
    <xf numFmtId="44" fontId="0" fillId="2" borderId="13" xfId="0" applyNumberFormat="1" applyFill="1" applyBorder="1" applyProtection="1">
      <protection locked="0"/>
    </xf>
    <xf numFmtId="0" fontId="17" fillId="2" borderId="1" xfId="0" applyFont="1" applyFill="1" applyBorder="1" applyAlignment="1">
      <alignment horizontal="center" vertical="center" wrapText="1"/>
    </xf>
    <xf numFmtId="44" fontId="0" fillId="2" borderId="4" xfId="0" applyNumberFormat="1" applyFill="1" applyBorder="1" applyProtection="1">
      <protection locked="0"/>
    </xf>
    <xf numFmtId="0" fontId="0" fillId="2" borderId="20"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0" fillId="2" borderId="1" xfId="0" applyFill="1" applyBorder="1" applyAlignment="1" applyProtection="1">
      <alignment horizontal="left" vertical="center" wrapText="1"/>
      <protection locked="0"/>
    </xf>
    <xf numFmtId="44" fontId="0" fillId="2" borderId="32" xfId="0" applyNumberFormat="1" applyFill="1" applyBorder="1" applyAlignment="1" applyProtection="1">
      <alignment horizontal="left" wrapText="1"/>
      <protection locked="0"/>
    </xf>
    <xf numFmtId="44" fontId="0" fillId="2" borderId="33" xfId="0" applyNumberFormat="1" applyFill="1" applyBorder="1" applyAlignment="1" applyProtection="1">
      <alignment horizontal="left" wrapText="1"/>
      <protection locked="0"/>
    </xf>
    <xf numFmtId="44" fontId="0" fillId="2" borderId="1" xfId="0" applyNumberFormat="1" applyFill="1" applyBorder="1" applyProtection="1">
      <protection locked="0"/>
    </xf>
    <xf numFmtId="0" fontId="27" fillId="12" borderId="56" xfId="0" applyFont="1" applyFill="1" applyBorder="1"/>
    <xf numFmtId="0" fontId="0" fillId="2" borderId="0" xfId="0" applyFill="1"/>
    <xf numFmtId="0" fontId="0" fillId="2" borderId="1" xfId="0" applyFill="1" applyBorder="1" applyAlignment="1" applyProtection="1">
      <alignment horizontal="left" vertical="center" wrapText="1"/>
      <protection locked="0"/>
    </xf>
    <xf numFmtId="0" fontId="35" fillId="2" borderId="55" xfId="0" applyFont="1" applyFill="1" applyBorder="1" applyAlignment="1" applyProtection="1">
      <alignment wrapText="1"/>
      <protection locked="0"/>
    </xf>
    <xf numFmtId="0" fontId="34" fillId="2" borderId="46" xfId="0" applyFont="1" applyFill="1" applyBorder="1" applyAlignment="1" applyProtection="1">
      <alignment wrapText="1"/>
      <protection locked="0"/>
    </xf>
    <xf numFmtId="0" fontId="34" fillId="2" borderId="20" xfId="0" applyFont="1" applyFill="1" applyBorder="1" applyProtection="1">
      <protection locked="0"/>
    </xf>
    <xf numFmtId="0" fontId="34" fillId="2" borderId="1" xfId="0" applyFont="1" applyFill="1" applyBorder="1" applyAlignment="1" applyProtection="1">
      <alignment horizontal="left" vertical="center" wrapText="1"/>
      <protection locked="0"/>
    </xf>
    <xf numFmtId="0" fontId="0" fillId="2" borderId="46" xfId="0" applyFill="1" applyBorder="1" applyAlignment="1" applyProtection="1">
      <alignment horizontal="left" vertical="top" wrapText="1"/>
      <protection locked="0"/>
    </xf>
    <xf numFmtId="0" fontId="1" fillId="2" borderId="0" xfId="1"/>
    <xf numFmtId="0" fontId="1" fillId="2" borderId="0" xfId="2"/>
    <xf numFmtId="168" fontId="40" fillId="15" borderId="63" xfId="3" applyNumberFormat="1" applyBorder="1" applyAlignment="1"/>
    <xf numFmtId="0" fontId="40" fillId="15" borderId="0" xfId="3" applyBorder="1" applyAlignment="1"/>
    <xf numFmtId="0" fontId="40" fillId="15" borderId="0" xfId="3" applyFont="1" applyBorder="1" applyAlignment="1"/>
    <xf numFmtId="168" fontId="40" fillId="15" borderId="63" xfId="3" applyNumberFormat="1" applyBorder="1" applyAlignment="1">
      <alignment horizontal="left" wrapText="1"/>
    </xf>
    <xf numFmtId="168" fontId="41" fillId="14" borderId="63" xfId="4" applyNumberFormat="1" applyBorder="1">
      <alignment horizontal="left" wrapText="1"/>
    </xf>
    <xf numFmtId="168" fontId="41" fillId="14" borderId="63" xfId="4" applyNumberFormat="1" applyFont="1" applyBorder="1">
      <alignment horizontal="left" wrapText="1"/>
    </xf>
    <xf numFmtId="0" fontId="41" fillId="14" borderId="64" xfId="4">
      <alignment horizontal="left" wrapText="1"/>
    </xf>
    <xf numFmtId="0" fontId="41" fillId="14" borderId="64" xfId="4" applyFont="1">
      <alignment horizontal="left" wrapText="1"/>
    </xf>
    <xf numFmtId="0" fontId="41" fillId="14" borderId="63" xfId="4" applyBorder="1">
      <alignment horizontal="left" wrapText="1"/>
    </xf>
    <xf numFmtId="17" fontId="40" fillId="15" borderId="63" xfId="3" applyNumberFormat="1" applyBorder="1" applyAlignment="1">
      <alignment horizontal="center"/>
    </xf>
    <xf numFmtId="0" fontId="42" fillId="2" borderId="0" xfId="2" applyFont="1" applyBorder="1" applyAlignment="1">
      <alignment horizontal="center" vertical="center"/>
    </xf>
    <xf numFmtId="0" fontId="1" fillId="2" borderId="0" xfId="2" applyFont="1"/>
    <xf numFmtId="0" fontId="38" fillId="2" borderId="0" xfId="6" applyBorder="1"/>
    <xf numFmtId="0" fontId="38" fillId="2" borderId="61" xfId="6"/>
    <xf numFmtId="44" fontId="1" fillId="2" borderId="0" xfId="2" applyNumberFormat="1"/>
    <xf numFmtId="44" fontId="40" fillId="15" borderId="0" xfId="3" applyNumberFormat="1" applyBorder="1" applyAlignment="1"/>
    <xf numFmtId="44" fontId="40" fillId="15" borderId="71" xfId="3" applyNumberFormat="1" applyBorder="1" applyAlignment="1"/>
    <xf numFmtId="44" fontId="40" fillId="15" borderId="72" xfId="3" applyNumberFormat="1" applyBorder="1" applyAlignment="1"/>
    <xf numFmtId="44" fontId="39" fillId="2" borderId="0" xfId="7" applyFont="1" applyFill="1" applyBorder="1"/>
    <xf numFmtId="44" fontId="43" fillId="16" borderId="65" xfId="3" applyNumberFormat="1" applyFont="1" applyFill="1" applyBorder="1" applyAlignment="1"/>
    <xf numFmtId="44" fontId="40" fillId="15" borderId="73" xfId="3" applyNumberFormat="1" applyBorder="1" applyAlignment="1"/>
    <xf numFmtId="44" fontId="40" fillId="15" borderId="74" xfId="3" applyNumberFormat="1" applyBorder="1" applyAlignment="1"/>
    <xf numFmtId="44" fontId="40" fillId="15" borderId="75" xfId="3" applyNumberFormat="1" applyBorder="1" applyAlignment="1"/>
    <xf numFmtId="44" fontId="43" fillId="16" borderId="76" xfId="3" applyNumberFormat="1" applyFont="1" applyFill="1" applyBorder="1" applyAlignment="1"/>
    <xf numFmtId="44" fontId="40" fillId="15" borderId="77" xfId="3" applyNumberFormat="1" applyBorder="1" applyAlignment="1"/>
    <xf numFmtId="0" fontId="40" fillId="15" borderId="78" xfId="3" applyBorder="1" applyAlignment="1"/>
    <xf numFmtId="1" fontId="39" fillId="2" borderId="0" xfId="2" applyNumberFormat="1" applyFont="1" applyBorder="1"/>
    <xf numFmtId="44" fontId="40" fillId="15" borderId="76" xfId="3" applyNumberFormat="1" applyBorder="1" applyAlignment="1"/>
    <xf numFmtId="44" fontId="40" fillId="15" borderId="79" xfId="3" applyNumberFormat="1" applyBorder="1" applyAlignment="1"/>
    <xf numFmtId="44" fontId="40" fillId="15" borderId="63" xfId="3" applyNumberFormat="1" applyBorder="1" applyAlignment="1">
      <alignment horizontal="left" wrapText="1"/>
    </xf>
    <xf numFmtId="44" fontId="40" fillId="15" borderId="80" xfId="3" applyNumberFormat="1" applyBorder="1" applyAlignment="1"/>
    <xf numFmtId="44" fontId="40" fillId="15" borderId="81" xfId="3" applyNumberFormat="1" applyBorder="1" applyAlignment="1"/>
    <xf numFmtId="44" fontId="40" fillId="15" borderId="82" xfId="3" applyNumberFormat="1" applyBorder="1" applyAlignment="1"/>
    <xf numFmtId="44" fontId="40" fillId="15" borderId="83" xfId="3" applyNumberFormat="1" applyBorder="1" applyAlignment="1"/>
    <xf numFmtId="44" fontId="40" fillId="15" borderId="84" xfId="3" applyNumberFormat="1" applyBorder="1" applyAlignment="1"/>
    <xf numFmtId="0" fontId="40" fillId="15" borderId="85" xfId="3" applyBorder="1" applyAlignment="1">
      <alignment horizontal="left" wrapText="1"/>
    </xf>
    <xf numFmtId="164" fontId="40" fillId="15" borderId="86" xfId="3" applyNumberFormat="1" applyBorder="1" applyAlignment="1">
      <alignment horizontal="left" wrapText="1"/>
    </xf>
    <xf numFmtId="164" fontId="40" fillId="15" borderId="71" xfId="3" applyNumberFormat="1" applyBorder="1" applyAlignment="1">
      <alignment horizontal="left" wrapText="1"/>
    </xf>
    <xf numFmtId="0" fontId="41" fillId="14" borderId="86" xfId="4" applyBorder="1">
      <alignment horizontal="left" wrapText="1"/>
    </xf>
    <xf numFmtId="44" fontId="40" fillId="15" borderId="87" xfId="3" applyNumberFormat="1" applyBorder="1" applyAlignment="1"/>
    <xf numFmtId="44" fontId="40" fillId="15" borderId="63" xfId="3" applyNumberFormat="1" applyBorder="1" applyAlignment="1"/>
    <xf numFmtId="44" fontId="40" fillId="15" borderId="88" xfId="3" applyNumberFormat="1" applyBorder="1" applyAlignment="1"/>
    <xf numFmtId="44" fontId="40" fillId="15" borderId="89" xfId="3" applyNumberFormat="1" applyBorder="1" applyAlignment="1"/>
    <xf numFmtId="0" fontId="40" fillId="15" borderId="69" xfId="3" applyBorder="1" applyAlignment="1">
      <alignment horizontal="left" wrapText="1"/>
    </xf>
    <xf numFmtId="164" fontId="40" fillId="15" borderId="89" xfId="3" applyNumberFormat="1" applyBorder="1" applyAlignment="1">
      <alignment horizontal="left" wrapText="1"/>
    </xf>
    <xf numFmtId="164" fontId="40" fillId="15" borderId="79" xfId="3" applyNumberFormat="1" applyBorder="1" applyAlignment="1">
      <alignment horizontal="left" wrapText="1"/>
    </xf>
    <xf numFmtId="0" fontId="41" fillId="14" borderId="89" xfId="4" applyBorder="1">
      <alignment horizontal="left" wrapText="1"/>
    </xf>
    <xf numFmtId="0" fontId="1" fillId="2" borderId="0" xfId="2" applyFill="1" applyBorder="1"/>
    <xf numFmtId="44" fontId="41" fillId="2" borderId="63" xfId="5" applyNumberFormat="1" applyAlignment="1">
      <protection locked="0"/>
    </xf>
    <xf numFmtId="14" fontId="40" fillId="15" borderId="69" xfId="3" applyNumberFormat="1" applyBorder="1" applyAlignment="1">
      <alignment horizontal="left" wrapText="1"/>
    </xf>
    <xf numFmtId="44" fontId="40" fillId="15" borderId="69" xfId="3" applyNumberFormat="1" applyBorder="1" applyAlignment="1">
      <alignment horizontal="left" wrapText="1"/>
    </xf>
    <xf numFmtId="44" fontId="40" fillId="15" borderId="68" xfId="3" applyNumberFormat="1" applyBorder="1" applyAlignment="1"/>
    <xf numFmtId="0" fontId="40" fillId="15" borderId="90" xfId="3" applyBorder="1" applyAlignment="1"/>
    <xf numFmtId="44" fontId="41" fillId="2" borderId="63" xfId="7" applyFont="1" applyBorder="1" applyProtection="1">
      <protection locked="0"/>
    </xf>
    <xf numFmtId="44" fontId="41" fillId="2" borderId="88" xfId="7" applyFont="1" applyBorder="1" applyProtection="1">
      <protection locked="0"/>
    </xf>
    <xf numFmtId="44" fontId="41" fillId="2" borderId="69" xfId="5" applyNumberFormat="1" applyBorder="1" applyAlignment="1">
      <alignment horizontal="left" wrapText="1"/>
      <protection locked="0"/>
    </xf>
    <xf numFmtId="164" fontId="41" fillId="14" borderId="89" xfId="4" applyNumberFormat="1" applyBorder="1">
      <alignment horizontal="left" wrapText="1"/>
    </xf>
    <xf numFmtId="164" fontId="41" fillId="14" borderId="79" xfId="4" applyNumberFormat="1" applyBorder="1">
      <alignment horizontal="left" wrapText="1"/>
    </xf>
    <xf numFmtId="44" fontId="1" fillId="2" borderId="0" xfId="2" applyNumberFormat="1" applyFont="1"/>
    <xf numFmtId="44" fontId="40" fillId="15" borderId="91" xfId="3" applyNumberFormat="1" applyBorder="1" applyAlignment="1"/>
    <xf numFmtId="44" fontId="40" fillId="15" borderId="92" xfId="3" applyNumberFormat="1" applyBorder="1" applyAlignment="1"/>
    <xf numFmtId="44" fontId="40" fillId="15" borderId="93" xfId="3" applyNumberFormat="1" applyBorder="1" applyAlignment="1">
      <alignment horizontal="left" wrapText="1"/>
    </xf>
    <xf numFmtId="44" fontId="40" fillId="15" borderId="94" xfId="3" applyNumberFormat="1" applyBorder="1" applyAlignment="1"/>
    <xf numFmtId="44" fontId="41" fillId="2" borderId="93" xfId="7" applyFont="1" applyBorder="1" applyProtection="1">
      <protection locked="0"/>
    </xf>
    <xf numFmtId="164" fontId="41" fillId="14" borderId="91" xfId="4" applyNumberFormat="1" applyBorder="1">
      <alignment horizontal="left" wrapText="1"/>
    </xf>
    <xf numFmtId="164" fontId="41" fillId="14" borderId="92" xfId="4" applyNumberFormat="1" applyFont="1" applyBorder="1">
      <alignment horizontal="left" wrapText="1"/>
    </xf>
    <xf numFmtId="0" fontId="41" fillId="14" borderId="91" xfId="4" applyBorder="1">
      <alignment horizontal="left" wrapText="1"/>
    </xf>
    <xf numFmtId="0" fontId="39" fillId="2" borderId="0" xfId="2" applyFont="1" applyAlignment="1">
      <alignment vertical="top" wrapText="1"/>
    </xf>
    <xf numFmtId="44" fontId="1" fillId="2" borderId="97" xfId="2" applyNumberFormat="1" applyFont="1" applyBorder="1" applyAlignment="1">
      <alignment vertical="top" wrapText="1"/>
    </xf>
    <xf numFmtId="0" fontId="39" fillId="2" borderId="97" xfId="2" applyFont="1" applyBorder="1" applyAlignment="1">
      <alignment vertical="top" wrapText="1"/>
    </xf>
    <xf numFmtId="0" fontId="39" fillId="2" borderId="97" xfId="2" applyFont="1" applyFill="1" applyBorder="1" applyAlignment="1">
      <alignment horizontal="left" vertical="top" wrapText="1"/>
    </xf>
    <xf numFmtId="0" fontId="38" fillId="2" borderId="100" xfId="8" applyBorder="1" applyAlignment="1">
      <alignment horizontal="center" vertical="top" wrapText="1"/>
    </xf>
    <xf numFmtId="0" fontId="38" fillId="2" borderId="98" xfId="8" applyBorder="1" applyAlignment="1">
      <alignment horizontal="center" vertical="top" wrapText="1"/>
    </xf>
    <xf numFmtId="0" fontId="38" fillId="2" borderId="101" xfId="8" applyBorder="1" applyAlignment="1">
      <alignment horizontal="center" vertical="top" wrapText="1"/>
    </xf>
    <xf numFmtId="0" fontId="45" fillId="2" borderId="102" xfId="8" applyFont="1" applyBorder="1" applyAlignment="1">
      <alignment horizontal="center" vertical="top" wrapText="1"/>
    </xf>
    <xf numFmtId="0" fontId="1" fillId="2" borderId="104" xfId="2" applyFont="1" applyBorder="1" applyAlignment="1">
      <alignment vertical="top"/>
    </xf>
    <xf numFmtId="0" fontId="46" fillId="2" borderId="104" xfId="2" applyFont="1" applyBorder="1" applyAlignment="1">
      <alignment vertical="top" wrapText="1"/>
    </xf>
    <xf numFmtId="0" fontId="39" fillId="2" borderId="104" xfId="2" applyFont="1" applyBorder="1" applyAlignment="1">
      <alignment vertical="top" wrapText="1"/>
    </xf>
    <xf numFmtId="0" fontId="39" fillId="2" borderId="104" xfId="2" applyFont="1" applyFill="1" applyBorder="1" applyAlignment="1">
      <alignment horizontal="left" vertical="top" wrapText="1"/>
    </xf>
    <xf numFmtId="0" fontId="44" fillId="2" borderId="0" xfId="8" applyFont="1" applyFill="1" applyBorder="1" applyAlignment="1">
      <alignment vertical="top" wrapText="1"/>
    </xf>
    <xf numFmtId="0" fontId="38" fillId="2" borderId="0" xfId="8"/>
    <xf numFmtId="44" fontId="40" fillId="15" borderId="99" xfId="7" applyFont="1" applyFill="1" applyBorder="1" applyAlignment="1"/>
    <xf numFmtId="44" fontId="40" fillId="15" borderId="114" xfId="7" applyFont="1" applyFill="1" applyBorder="1" applyAlignment="1">
      <alignment horizontal="right"/>
    </xf>
    <xf numFmtId="44" fontId="40" fillId="15" borderId="97" xfId="7" applyFont="1" applyFill="1" applyBorder="1" applyAlignment="1"/>
    <xf numFmtId="44" fontId="1" fillId="17" borderId="115" xfId="2" applyNumberFormat="1" applyFill="1" applyBorder="1" applyAlignment="1">
      <alignment horizontal="center" vertical="center"/>
    </xf>
    <xf numFmtId="44" fontId="40" fillId="15" borderId="116" xfId="7" applyFont="1" applyFill="1" applyBorder="1" applyAlignment="1">
      <alignment horizontal="left" wrapText="1"/>
    </xf>
    <xf numFmtId="44" fontId="40" fillId="15" borderId="98" xfId="7" applyFont="1" applyFill="1" applyBorder="1" applyAlignment="1">
      <alignment horizontal="left" wrapText="1"/>
    </xf>
    <xf numFmtId="44" fontId="40" fillId="15" borderId="101" xfId="7" applyFont="1" applyFill="1" applyBorder="1" applyAlignment="1">
      <alignment horizontal="left" wrapText="1"/>
    </xf>
    <xf numFmtId="0" fontId="1" fillId="2" borderId="97" xfId="2" applyBorder="1"/>
    <xf numFmtId="0" fontId="1" fillId="2" borderId="117" xfId="2" applyBorder="1"/>
    <xf numFmtId="0" fontId="45" fillId="2" borderId="79" xfId="8" applyFont="1" applyBorder="1" applyAlignment="1">
      <alignment horizontal="center" vertical="center" wrapText="1"/>
    </xf>
    <xf numFmtId="3" fontId="45" fillId="2" borderId="63" xfId="8" applyNumberFormat="1" applyFont="1" applyBorder="1" applyAlignment="1">
      <alignment horizontal="center" vertical="center" wrapText="1"/>
    </xf>
    <xf numFmtId="3" fontId="45" fillId="2" borderId="69" xfId="8" applyNumberFormat="1" applyFont="1" applyBorder="1" applyAlignment="1" applyProtection="1">
      <alignment horizontal="center" vertical="center" wrapText="1"/>
      <protection locked="0"/>
    </xf>
    <xf numFmtId="0" fontId="45" fillId="2" borderId="118" xfId="8" applyFont="1" applyBorder="1" applyAlignment="1">
      <alignment horizontal="center" vertical="center" wrapText="1"/>
    </xf>
    <xf numFmtId="0" fontId="45" fillId="2" borderId="85" xfId="8" applyFont="1" applyBorder="1" applyAlignment="1">
      <alignment horizontal="center" vertical="center" wrapText="1"/>
    </xf>
    <xf numFmtId="0" fontId="45" fillId="2" borderId="82" xfId="8" applyFont="1" applyBorder="1" applyAlignment="1">
      <alignment horizontal="center" vertical="center" wrapText="1"/>
    </xf>
    <xf numFmtId="0" fontId="45" fillId="2" borderId="83" xfId="8" applyFont="1" applyBorder="1" applyAlignment="1">
      <alignment horizontal="center" vertical="center" wrapText="1"/>
    </xf>
    <xf numFmtId="0" fontId="1" fillId="2" borderId="0" xfId="2" applyBorder="1"/>
    <xf numFmtId="0" fontId="1" fillId="2" borderId="90" xfId="2" applyFont="1" applyBorder="1" applyAlignment="1">
      <alignment horizontal="center" vertical="center" wrapText="1"/>
    </xf>
    <xf numFmtId="0" fontId="1" fillId="2" borderId="104" xfId="2" applyBorder="1"/>
    <xf numFmtId="0" fontId="1" fillId="2" borderId="110" xfId="2" applyBorder="1"/>
    <xf numFmtId="0" fontId="36" fillId="2" borderId="0" xfId="9" applyFill="1" applyBorder="1" applyAlignment="1">
      <alignment horizontal="left"/>
    </xf>
    <xf numFmtId="0" fontId="1" fillId="2" borderId="0" xfId="1" applyFill="1"/>
    <xf numFmtId="14" fontId="1" fillId="2" borderId="0" xfId="1" applyNumberFormat="1"/>
    <xf numFmtId="166" fontId="37" fillId="18" borderId="0" xfId="10" applyNumberFormat="1" applyFill="1" applyBorder="1" applyAlignment="1">
      <alignment horizontal="left"/>
    </xf>
    <xf numFmtId="0" fontId="37" fillId="18" borderId="0" xfId="10" applyFill="1" applyBorder="1" applyAlignment="1">
      <alignment horizontal="left"/>
    </xf>
    <xf numFmtId="0" fontId="47" fillId="2" borderId="0" xfId="11" applyBorder="1" applyProtection="1">
      <protection locked="0"/>
    </xf>
    <xf numFmtId="164" fontId="37" fillId="18" borderId="0" xfId="10" applyNumberFormat="1" applyFill="1" applyBorder="1" applyAlignment="1">
      <alignment horizontal="left"/>
    </xf>
    <xf numFmtId="164" fontId="37" fillId="18" borderId="95" xfId="10" applyNumberFormat="1" applyFill="1" applyBorder="1" applyAlignment="1" applyProtection="1">
      <alignment horizontal="left"/>
    </xf>
    <xf numFmtId="0" fontId="37" fillId="18" borderId="122" xfId="10" applyFill="1" applyBorder="1" applyAlignment="1" applyProtection="1">
      <alignment horizontal="left"/>
    </xf>
    <xf numFmtId="164" fontId="37" fillId="18" borderId="0" xfId="10" applyNumberFormat="1" applyFill="1" applyBorder="1" applyAlignment="1" applyProtection="1">
      <alignment horizontal="left"/>
    </xf>
    <xf numFmtId="0" fontId="37" fillId="18" borderId="123" xfId="10" applyFill="1" applyBorder="1" applyAlignment="1" applyProtection="1">
      <alignment horizontal="left"/>
    </xf>
    <xf numFmtId="0" fontId="37" fillId="18" borderId="85" xfId="10" applyFill="1" applyBorder="1" applyAlignment="1" applyProtection="1">
      <alignment horizontal="left"/>
    </xf>
    <xf numFmtId="0" fontId="37" fillId="18" borderId="124" xfId="10" applyFill="1" applyBorder="1" applyAlignment="1" applyProtection="1">
      <alignment horizontal="left"/>
    </xf>
    <xf numFmtId="0" fontId="1" fillId="2" borderId="0" xfId="1" applyBorder="1" applyAlignment="1">
      <alignment horizontal="center"/>
    </xf>
    <xf numFmtId="0" fontId="48" fillId="2" borderId="0" xfId="1" applyFont="1"/>
    <xf numFmtId="0" fontId="49" fillId="2" borderId="0" xfId="1" applyFont="1" applyBorder="1" applyAlignment="1">
      <alignment horizontal="center"/>
    </xf>
    <xf numFmtId="0" fontId="47" fillId="2" borderId="0" xfId="11" applyFont="1" applyBorder="1" applyProtection="1">
      <protection locked="0"/>
    </xf>
    <xf numFmtId="8" fontId="0" fillId="0" borderId="0" xfId="0" applyNumberFormat="1" applyProtection="1">
      <protection locked="0"/>
    </xf>
    <xf numFmtId="6" fontId="0" fillId="0" borderId="0" xfId="0" applyNumberFormat="1" applyProtection="1">
      <protection locked="0"/>
    </xf>
    <xf numFmtId="0" fontId="0" fillId="2" borderId="46" xfId="0" applyFill="1" applyBorder="1" applyAlignment="1" applyProtection="1">
      <alignment horizontal="left" vertical="top" wrapText="1"/>
      <protection locked="0"/>
    </xf>
    <xf numFmtId="0" fontId="0" fillId="2" borderId="33" xfId="0" applyFill="1" applyBorder="1" applyAlignment="1" applyProtection="1">
      <alignment horizontal="left" vertical="top" wrapText="1"/>
      <protection locked="0"/>
    </xf>
    <xf numFmtId="0" fontId="0" fillId="2" borderId="50" xfId="0" applyFill="1" applyBorder="1" applyAlignment="1" applyProtection="1">
      <alignment horizontal="left" vertical="top" wrapText="1"/>
      <protection locked="0"/>
    </xf>
    <xf numFmtId="0" fontId="0" fillId="2" borderId="46" xfId="0" applyFill="1" applyBorder="1" applyAlignment="1" applyProtection="1">
      <alignment horizontal="left"/>
      <protection locked="0"/>
    </xf>
    <xf numFmtId="0" fontId="0" fillId="2" borderId="33" xfId="0" applyFill="1" applyBorder="1" applyAlignment="1" applyProtection="1">
      <alignment horizontal="left"/>
      <protection locked="0"/>
    </xf>
    <xf numFmtId="0" fontId="0" fillId="2" borderId="50" xfId="0" applyFill="1" applyBorder="1" applyAlignment="1" applyProtection="1">
      <alignment horizontal="left"/>
      <protection locked="0"/>
    </xf>
    <xf numFmtId="169" fontId="0" fillId="2" borderId="46" xfId="0" applyNumberFormat="1" applyFill="1" applyBorder="1" applyAlignment="1" applyProtection="1">
      <alignment horizontal="left"/>
      <protection locked="0"/>
    </xf>
    <xf numFmtId="169" fontId="0" fillId="2" borderId="33" xfId="0" applyNumberFormat="1" applyFill="1" applyBorder="1" applyAlignment="1" applyProtection="1">
      <alignment horizontal="left"/>
      <protection locked="0"/>
    </xf>
    <xf numFmtId="169" fontId="0" fillId="2" borderId="50" xfId="0" applyNumberFormat="1" applyFill="1" applyBorder="1" applyAlignment="1" applyProtection="1">
      <alignment horizontal="left"/>
      <protection locked="0"/>
    </xf>
    <xf numFmtId="0" fontId="8" fillId="12" borderId="24" xfId="0" applyFont="1" applyFill="1" applyBorder="1" applyAlignment="1">
      <alignment horizontal="left" vertical="center" wrapText="1"/>
    </xf>
    <xf numFmtId="0" fontId="0" fillId="2" borderId="24" xfId="0" applyFill="1" applyBorder="1" applyAlignment="1">
      <alignment horizontal="left" vertical="center" wrapText="1"/>
    </xf>
    <xf numFmtId="0" fontId="0" fillId="2" borderId="0" xfId="0" applyFill="1" applyAlignment="1">
      <alignment horizontal="left" vertical="center" wrapText="1"/>
    </xf>
    <xf numFmtId="0" fontId="9" fillId="12" borderId="25" xfId="0" applyFont="1" applyFill="1" applyBorder="1" applyAlignment="1" applyProtection="1">
      <alignment horizontal="center" vertical="center" wrapText="1"/>
      <protection locked="0"/>
    </xf>
    <xf numFmtId="0" fontId="29" fillId="12" borderId="25" xfId="0" applyFont="1" applyFill="1" applyBorder="1" applyAlignment="1" applyProtection="1">
      <alignment horizontal="center" vertical="center" wrapText="1"/>
      <protection locked="0"/>
    </xf>
    <xf numFmtId="0" fontId="0" fillId="2" borderId="0" xfId="0" applyFill="1" applyAlignment="1">
      <alignment horizontal="center" wrapText="1"/>
    </xf>
    <xf numFmtId="0" fontId="4" fillId="2" borderId="0" xfId="0" applyFont="1" applyFill="1"/>
    <xf numFmtId="0" fontId="4" fillId="2" borderId="0" xfId="0" applyFont="1" applyFill="1" applyAlignment="1">
      <alignment horizontal="center"/>
    </xf>
    <xf numFmtId="0" fontId="4" fillId="2" borderId="57" xfId="0" applyFont="1" applyFill="1" applyBorder="1" applyAlignment="1">
      <alignment horizontal="center" vertical="top" wrapText="1"/>
    </xf>
    <xf numFmtId="0" fontId="4" fillId="2" borderId="58" xfId="0" applyFont="1" applyFill="1" applyBorder="1" applyAlignment="1">
      <alignment horizontal="center" vertical="top" wrapText="1"/>
    </xf>
    <xf numFmtId="0" fontId="4" fillId="2" borderId="57" xfId="0" applyFont="1" applyFill="1" applyBorder="1" applyAlignment="1">
      <alignment horizontal="center" wrapText="1"/>
    </xf>
    <xf numFmtId="0" fontId="4" fillId="2" borderId="58" xfId="0" applyFont="1" applyFill="1" applyBorder="1" applyAlignment="1">
      <alignment horizontal="center" wrapText="1"/>
    </xf>
    <xf numFmtId="0" fontId="0" fillId="2" borderId="42" xfId="0" applyFill="1" applyBorder="1" applyAlignment="1" applyProtection="1">
      <alignment horizontal="left" vertical="top" wrapText="1"/>
      <protection locked="0"/>
    </xf>
    <xf numFmtId="0" fontId="0" fillId="2" borderId="43" xfId="0" applyFill="1" applyBorder="1" applyAlignment="1" applyProtection="1">
      <alignment horizontal="left" vertical="top" wrapText="1"/>
      <protection locked="0"/>
    </xf>
    <xf numFmtId="0" fontId="0" fillId="2" borderId="51" xfId="0" applyFill="1" applyBorder="1" applyAlignment="1" applyProtection="1">
      <alignment horizontal="left" vertical="top" wrapText="1"/>
      <protection locked="0"/>
    </xf>
    <xf numFmtId="0" fontId="11" fillId="2" borderId="44" xfId="0" applyFont="1" applyFill="1" applyBorder="1" applyAlignment="1">
      <alignment horizontal="center"/>
    </xf>
    <xf numFmtId="0" fontId="11" fillId="2" borderId="18" xfId="0" applyFont="1" applyFill="1" applyBorder="1" applyAlignment="1">
      <alignment horizontal="center"/>
    </xf>
    <xf numFmtId="0" fontId="11" fillId="2" borderId="45" xfId="0" applyFont="1" applyFill="1" applyBorder="1" applyAlignment="1">
      <alignment horizontal="center"/>
    </xf>
    <xf numFmtId="0" fontId="0" fillId="2" borderId="0" xfId="0" applyFill="1" applyAlignment="1">
      <alignment horizontal="center"/>
    </xf>
    <xf numFmtId="0" fontId="26" fillId="2" borderId="1" xfId="0" applyFont="1" applyFill="1" applyBorder="1" applyAlignment="1">
      <alignment horizontal="center" vertical="center"/>
    </xf>
    <xf numFmtId="0" fontId="38" fillId="2" borderId="121" xfId="8" applyBorder="1" applyAlignment="1">
      <alignment horizontal="center" vertical="center"/>
    </xf>
    <xf numFmtId="0" fontId="38" fillId="2" borderId="120" xfId="8" applyBorder="1" applyAlignment="1">
      <alignment horizontal="center" vertical="center"/>
    </xf>
    <xf numFmtId="0" fontId="38" fillId="2" borderId="119" xfId="8" applyBorder="1" applyAlignment="1">
      <alignment horizontal="center" vertical="center"/>
    </xf>
    <xf numFmtId="0" fontId="38" fillId="2" borderId="121" xfId="8" applyBorder="1" applyAlignment="1">
      <alignment horizontal="center" vertical="center" wrapText="1"/>
    </xf>
    <xf numFmtId="0" fontId="38" fillId="2" borderId="120" xfId="8" applyBorder="1" applyAlignment="1">
      <alignment horizontal="center" vertical="center" wrapText="1"/>
    </xf>
    <xf numFmtId="0" fontId="38" fillId="2" borderId="119" xfId="8" applyBorder="1" applyAlignment="1">
      <alignment horizontal="center" vertical="center" wrapText="1"/>
    </xf>
    <xf numFmtId="0" fontId="44" fillId="2" borderId="113" xfId="8" applyFont="1" applyBorder="1" applyAlignment="1">
      <alignment horizontal="center" vertical="top" wrapText="1"/>
    </xf>
    <xf numFmtId="0" fontId="44" fillId="2" borderId="86" xfId="8" applyFont="1" applyBorder="1" applyAlignment="1">
      <alignment horizontal="center" vertical="top" wrapText="1"/>
    </xf>
    <xf numFmtId="0" fontId="38" fillId="2" borderId="112" xfId="8" applyFont="1" applyBorder="1" applyAlignment="1">
      <alignment horizontal="center" vertical="top" wrapText="1"/>
    </xf>
    <xf numFmtId="0" fontId="38" fillId="2" borderId="111" xfId="8" applyFont="1" applyBorder="1" applyAlignment="1">
      <alignment horizontal="center" vertical="top" wrapText="1"/>
    </xf>
    <xf numFmtId="0" fontId="38" fillId="2" borderId="104" xfId="8" applyBorder="1" applyAlignment="1">
      <alignment horizontal="center" vertical="top" wrapText="1"/>
    </xf>
    <xf numFmtId="0" fontId="38" fillId="2" borderId="97" xfId="8" applyBorder="1" applyAlignment="1">
      <alignment horizontal="center" vertical="top" wrapText="1"/>
    </xf>
    <xf numFmtId="0" fontId="38" fillId="2" borderId="110" xfId="8" applyBorder="1" applyAlignment="1">
      <alignment horizontal="center" vertical="top" wrapText="1"/>
    </xf>
    <xf numFmtId="0" fontId="38" fillId="2" borderId="106" xfId="8" applyBorder="1" applyAlignment="1">
      <alignment horizontal="center" vertical="top" wrapText="1"/>
    </xf>
    <xf numFmtId="0" fontId="45" fillId="2" borderId="103" xfId="8" applyFont="1" applyBorder="1" applyAlignment="1">
      <alignment horizontal="center" vertical="top" wrapText="1"/>
    </xf>
    <xf numFmtId="0" fontId="45" fillId="2" borderId="96" xfId="8" applyFont="1" applyBorder="1" applyAlignment="1">
      <alignment horizontal="center" vertical="top" wrapText="1"/>
    </xf>
    <xf numFmtId="0" fontId="38" fillId="2" borderId="109" xfId="8" applyBorder="1" applyAlignment="1">
      <alignment horizontal="center" vertical="top" wrapText="1"/>
    </xf>
    <xf numFmtId="0" fontId="38" fillId="2" borderId="108" xfId="8" applyBorder="1" applyAlignment="1">
      <alignment horizontal="center" vertical="top" wrapText="1"/>
    </xf>
    <xf numFmtId="0" fontId="38" fillId="2" borderId="107" xfId="8" applyBorder="1" applyAlignment="1">
      <alignment horizontal="center" vertical="top" wrapText="1"/>
    </xf>
    <xf numFmtId="0" fontId="45" fillId="2" borderId="106" xfId="8" applyFont="1" applyBorder="1" applyAlignment="1">
      <alignment horizontal="center" vertical="top" wrapText="1"/>
    </xf>
    <xf numFmtId="0" fontId="45" fillId="2" borderId="99" xfId="8" applyFont="1" applyBorder="1" applyAlignment="1">
      <alignment horizontal="center" vertical="top" wrapText="1"/>
    </xf>
    <xf numFmtId="0" fontId="41" fillId="14" borderId="105" xfId="4" applyBorder="1">
      <alignment horizontal="left" wrapText="1"/>
    </xf>
    <xf numFmtId="0" fontId="41" fillId="14" borderId="98" xfId="4" applyBorder="1">
      <alignment horizontal="left" wrapText="1"/>
    </xf>
    <xf numFmtId="0" fontId="44" fillId="2" borderId="103" xfId="8" applyFont="1" applyBorder="1" applyAlignment="1">
      <alignment horizontal="center" vertical="top" wrapText="1"/>
    </xf>
    <xf numFmtId="0" fontId="44" fillId="2" borderId="96" xfId="8" applyFont="1" applyBorder="1" applyAlignment="1">
      <alignment horizontal="center" vertical="top" wrapText="1"/>
    </xf>
    <xf numFmtId="0" fontId="42" fillId="2" borderId="70" xfId="2" applyFont="1" applyBorder="1" applyAlignment="1">
      <alignment horizontal="center" vertical="center"/>
    </xf>
    <xf numFmtId="0" fontId="42" fillId="2" borderId="69" xfId="2" applyFont="1" applyBorder="1" applyAlignment="1">
      <alignment horizontal="center" vertical="center"/>
    </xf>
    <xf numFmtId="0" fontId="42" fillId="2" borderId="68" xfId="2" applyFont="1" applyBorder="1" applyAlignment="1">
      <alignment horizontal="center" vertical="center"/>
    </xf>
    <xf numFmtId="0" fontId="41" fillId="2" borderId="67" xfId="5" applyFont="1" applyBorder="1" applyAlignment="1">
      <alignment horizontal="left" vertical="top"/>
      <protection locked="0"/>
    </xf>
    <xf numFmtId="0" fontId="41" fillId="2" borderId="66" xfId="5" applyBorder="1" applyAlignment="1">
      <alignment horizontal="left" vertical="top"/>
      <protection locked="0"/>
    </xf>
    <xf numFmtId="0" fontId="41" fillId="2" borderId="65" xfId="5" applyBorder="1" applyAlignment="1">
      <alignment horizontal="left" vertical="top"/>
      <protection locked="0"/>
    </xf>
    <xf numFmtId="0" fontId="55" fillId="2" borderId="0" xfId="16" applyFill="1" applyAlignment="1" applyProtection="1"/>
  </cellXfs>
  <cellStyles count="17">
    <cellStyle name="20% - Accent1 2" xfId="12"/>
    <cellStyle name="Accent1 2" xfId="13"/>
    <cellStyle name="Calculations 2" xfId="3"/>
    <cellStyle name="Currency 3" xfId="7"/>
    <cellStyle name="editable 2" xfId="5"/>
    <cellStyle name="Heading 1 2" xfId="9"/>
    <cellStyle name="Heading 2 2" xfId="10"/>
    <cellStyle name="Heading 3 2" xfId="6"/>
    <cellStyle name="Heading 4 2" xfId="8"/>
    <cellStyle name="Hyperlink" xfId="16" builtinId="8"/>
    <cellStyle name="Hyperlink 2" xfId="11"/>
    <cellStyle name="Normal" xfId="0" builtinId="0"/>
    <cellStyle name="Normal 2" xfId="1"/>
    <cellStyle name="Normal 2 2" xfId="14"/>
    <cellStyle name="Normal 2 2 2" xfId="15"/>
    <cellStyle name="Normal 3" xfId="2"/>
    <cellStyle name="prepopulated 2" xfId="4"/>
  </cellStyles>
  <dxfs count="1783">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rgb="FFCCFFCC"/>
        </patternFill>
      </fill>
    </dxf>
    <dxf>
      <font>
        <color theme="1"/>
      </font>
      <fill>
        <patternFill>
          <bgColor rgb="FFCCFFCC"/>
        </patternFill>
      </fill>
    </dxf>
    <dxf>
      <font>
        <b/>
        <i val="0"/>
      </font>
      <fill>
        <patternFill>
          <bgColor rgb="FFFF0000"/>
        </patternFill>
      </fill>
    </dxf>
    <dxf>
      <font>
        <b/>
        <i val="0"/>
      </font>
      <fill>
        <patternFill>
          <bgColor rgb="FFFF000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b/>
        <i val="0"/>
        <strike val="0"/>
        <sz val="10"/>
        <color rgb="FF000000"/>
        <name val="Calibri"/>
      </font>
      <numFmt numFmtId="0" formatCode="General"/>
      <fill>
        <patternFill patternType="none"/>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s>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AU"/>
  <c:chart>
    <c:title>
      <c:tx>
        <c:rich>
          <a:bodyPr/>
          <a:lstStyle/>
          <a:p>
            <a:pPr>
              <a:defRPr sz="1800" b="1" i="0" u="none" strike="noStrike" baseline="0">
                <a:solidFill>
                  <a:srgbClr val="333399"/>
                </a:solidFill>
                <a:latin typeface="Calibri"/>
                <a:ea typeface="Calibri"/>
                <a:cs typeface="Calibri"/>
              </a:defRPr>
            </a:pPr>
            <a:r>
              <a:rPr lang="en-AU"/>
              <a:t>Nectar Expenditure Forecast vs Actual</a:t>
            </a:r>
          </a:p>
        </c:rich>
      </c:tx>
      <c:layout>
        <c:manualLayout>
          <c:xMode val="edge"/>
          <c:yMode val="edge"/>
          <c:x val="0.36240429759364223"/>
          <c:y val="3.2996236916168611E-2"/>
        </c:manualLayout>
      </c:layout>
      <c:spPr>
        <a:noFill/>
      </c:spPr>
    </c:title>
    <c:plotArea>
      <c:layout/>
      <c:lineChart>
        <c:grouping val="standard"/>
        <c:ser>
          <c:idx val="1"/>
          <c:order val="0"/>
          <c:tx>
            <c:strRef>
              <c:f>[2]RT029!$C$46</c:f>
              <c:strCache>
                <c:ptCount val="1"/>
                <c:pt idx="0">
                  <c:v>Nectar Proposal Budget</c:v>
                </c:pt>
              </c:strCache>
            </c:strRef>
          </c:tx>
          <c:spPr>
            <a:ln w="38100">
              <a:solidFill>
                <a:schemeClr val="accent1">
                  <a:lumMod val="75000"/>
                </a:schemeClr>
              </a:solidFill>
              <a:prstDash val="dash"/>
            </a:ln>
          </c:spPr>
          <c:marker>
            <c:symbol val="none"/>
          </c:marker>
          <c:cat>
            <c:numRef>
              <c:f>[2]RT029!$E$45:$Q$45</c:f>
              <c:numCache>
                <c:formatCode>General</c:formatCode>
                <c:ptCount val="13"/>
                <c:pt idx="0">
                  <c:v>41274</c:v>
                </c:pt>
                <c:pt idx="1">
                  <c:v>41364</c:v>
                </c:pt>
                <c:pt idx="2">
                  <c:v>41455</c:v>
                </c:pt>
                <c:pt idx="3">
                  <c:v>41547</c:v>
                </c:pt>
                <c:pt idx="4">
                  <c:v>41639</c:v>
                </c:pt>
                <c:pt idx="5">
                  <c:v>41729</c:v>
                </c:pt>
                <c:pt idx="6">
                  <c:v>41820</c:v>
                </c:pt>
                <c:pt idx="7">
                  <c:v>41912</c:v>
                </c:pt>
                <c:pt idx="8">
                  <c:v>42004</c:v>
                </c:pt>
                <c:pt idx="9">
                  <c:v>42094</c:v>
                </c:pt>
                <c:pt idx="10">
                  <c:v>42185</c:v>
                </c:pt>
                <c:pt idx="11">
                  <c:v>42277</c:v>
                </c:pt>
                <c:pt idx="12">
                  <c:v>42369</c:v>
                </c:pt>
              </c:numCache>
            </c:numRef>
          </c:cat>
          <c:val>
            <c:numRef>
              <c:f>[2]RT029!$E$46:$Q$46</c:f>
              <c:numCache>
                <c:formatCode>General</c:formatCode>
                <c:ptCount val="13"/>
                <c:pt idx="0">
                  <c:v>208000</c:v>
                </c:pt>
                <c:pt idx="1">
                  <c:v>260000</c:v>
                </c:pt>
                <c:pt idx="2">
                  <c:v>260000</c:v>
                </c:pt>
                <c:pt idx="3">
                  <c:v>289000</c:v>
                </c:pt>
                <c:pt idx="4">
                  <c:v>289000</c:v>
                </c:pt>
                <c:pt idx="5">
                  <c:v>289000</c:v>
                </c:pt>
                <c:pt idx="6">
                  <c:v>289000</c:v>
                </c:pt>
                <c:pt idx="7">
                  <c:v>289000</c:v>
                </c:pt>
                <c:pt idx="8">
                  <c:v>289000</c:v>
                </c:pt>
                <c:pt idx="9">
                  <c:v>289000</c:v>
                </c:pt>
                <c:pt idx="10">
                  <c:v>289000</c:v>
                </c:pt>
                <c:pt idx="11">
                  <c:v>289000</c:v>
                </c:pt>
                <c:pt idx="12">
                  <c:v>289000</c:v>
                </c:pt>
              </c:numCache>
            </c:numRef>
          </c:val>
        </c:ser>
        <c:ser>
          <c:idx val="4"/>
          <c:order val="1"/>
          <c:tx>
            <c:strRef>
              <c:f>[2]RT029!$C$48</c:f>
              <c:strCache>
                <c:ptCount val="1"/>
                <c:pt idx="0">
                  <c:v>PM Nectar Forecast (Accum)</c:v>
                </c:pt>
              </c:strCache>
            </c:strRef>
          </c:tx>
          <c:spPr>
            <a:ln w="38100">
              <a:solidFill>
                <a:srgbClr val="00B050"/>
              </a:solidFill>
            </a:ln>
          </c:spPr>
          <c:marker>
            <c:symbol val="none"/>
          </c:marker>
          <c:cat>
            <c:numRef>
              <c:f>[2]RT029!$E$45:$Q$45</c:f>
              <c:numCache>
                <c:formatCode>General</c:formatCode>
                <c:ptCount val="13"/>
                <c:pt idx="0">
                  <c:v>41274</c:v>
                </c:pt>
                <c:pt idx="1">
                  <c:v>41364</c:v>
                </c:pt>
                <c:pt idx="2">
                  <c:v>41455</c:v>
                </c:pt>
                <c:pt idx="3">
                  <c:v>41547</c:v>
                </c:pt>
                <c:pt idx="4">
                  <c:v>41639</c:v>
                </c:pt>
                <c:pt idx="5">
                  <c:v>41729</c:v>
                </c:pt>
                <c:pt idx="6">
                  <c:v>41820</c:v>
                </c:pt>
                <c:pt idx="7">
                  <c:v>41912</c:v>
                </c:pt>
                <c:pt idx="8">
                  <c:v>42004</c:v>
                </c:pt>
                <c:pt idx="9">
                  <c:v>42094</c:v>
                </c:pt>
                <c:pt idx="10">
                  <c:v>42185</c:v>
                </c:pt>
                <c:pt idx="11">
                  <c:v>42277</c:v>
                </c:pt>
                <c:pt idx="12">
                  <c:v>42369</c:v>
                </c:pt>
              </c:numCache>
            </c:numRef>
          </c:cat>
          <c:val>
            <c:numRef>
              <c:f>[2]RT029!$E$48:$Q$48</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er>
        <c:ser>
          <c:idx val="3"/>
          <c:order val="2"/>
          <c:tx>
            <c:strRef>
              <c:f>[2]RT029!$C$50</c:f>
              <c:strCache>
                <c:ptCount val="1"/>
                <c:pt idx="0">
                  <c:v>Nectar Actual (Accum)</c:v>
                </c:pt>
              </c:strCache>
            </c:strRef>
          </c:tx>
          <c:spPr>
            <a:ln w="38100">
              <a:solidFill>
                <a:schemeClr val="tx2">
                  <a:lumMod val="75000"/>
                </a:schemeClr>
              </a:solidFill>
            </a:ln>
          </c:spPr>
          <c:marker>
            <c:symbol val="none"/>
          </c:marker>
          <c:cat>
            <c:numRef>
              <c:f>[2]RT029!$E$45:$Q$45</c:f>
              <c:numCache>
                <c:formatCode>General</c:formatCode>
                <c:ptCount val="13"/>
                <c:pt idx="0">
                  <c:v>41274</c:v>
                </c:pt>
                <c:pt idx="1">
                  <c:v>41364</c:v>
                </c:pt>
                <c:pt idx="2">
                  <c:v>41455</c:v>
                </c:pt>
                <c:pt idx="3">
                  <c:v>41547</c:v>
                </c:pt>
                <c:pt idx="4">
                  <c:v>41639</c:v>
                </c:pt>
                <c:pt idx="5">
                  <c:v>41729</c:v>
                </c:pt>
                <c:pt idx="6">
                  <c:v>41820</c:v>
                </c:pt>
                <c:pt idx="7">
                  <c:v>41912</c:v>
                </c:pt>
                <c:pt idx="8">
                  <c:v>42004</c:v>
                </c:pt>
                <c:pt idx="9">
                  <c:v>42094</c:v>
                </c:pt>
                <c:pt idx="10">
                  <c:v>42185</c:v>
                </c:pt>
                <c:pt idx="11">
                  <c:v>42277</c:v>
                </c:pt>
                <c:pt idx="12">
                  <c:v>42369</c:v>
                </c:pt>
              </c:numCache>
            </c:numRef>
          </c:cat>
          <c:val>
            <c:numRef>
              <c:f>[2]RT029!$E$50:$Q$50</c:f>
              <c:numCache>
                <c:formatCode>General</c:formatCode>
                <c:ptCount val="13"/>
                <c:pt idx="0">
                  <c:v>0</c:v>
                </c:pt>
                <c:pt idx="1">
                  <c:v>#N/A</c:v>
                </c:pt>
                <c:pt idx="2">
                  <c:v>#N/A</c:v>
                </c:pt>
                <c:pt idx="3">
                  <c:v>#N/A</c:v>
                </c:pt>
                <c:pt idx="4">
                  <c:v>#N/A</c:v>
                </c:pt>
                <c:pt idx="5">
                  <c:v>#N/A</c:v>
                </c:pt>
                <c:pt idx="6">
                  <c:v>#N/A</c:v>
                </c:pt>
                <c:pt idx="7">
                  <c:v>#N/A</c:v>
                </c:pt>
                <c:pt idx="8">
                  <c:v>#N/A</c:v>
                </c:pt>
                <c:pt idx="9">
                  <c:v>#N/A</c:v>
                </c:pt>
                <c:pt idx="10">
                  <c:v>#N/A</c:v>
                </c:pt>
                <c:pt idx="11">
                  <c:v>#N/A</c:v>
                </c:pt>
                <c:pt idx="12">
                  <c:v>#N/A</c:v>
                </c:pt>
              </c:numCache>
            </c:numRef>
          </c:val>
        </c:ser>
        <c:ser>
          <c:idx val="0"/>
          <c:order val="3"/>
          <c:tx>
            <c:strRef>
              <c:f>[2]RT029!$C$51</c:f>
              <c:strCache>
                <c:ptCount val="1"/>
                <c:pt idx="0">
                  <c:v>Nectar Paid (Accum)</c:v>
                </c:pt>
              </c:strCache>
            </c:strRef>
          </c:tx>
          <c:spPr>
            <a:ln w="41275">
              <a:noFill/>
            </a:ln>
          </c:spPr>
          <c:marker>
            <c:symbol val="diamond"/>
            <c:size val="7"/>
          </c:marker>
          <c:dLbls>
            <c:txPr>
              <a:bodyPr/>
              <a:lstStyle/>
              <a:p>
                <a:pPr>
                  <a:defRPr sz="1000" b="0" i="0" u="none" strike="noStrike" baseline="0">
                    <a:solidFill>
                      <a:srgbClr val="000000"/>
                    </a:solidFill>
                    <a:latin typeface="Calibri"/>
                    <a:ea typeface="Calibri"/>
                    <a:cs typeface="Calibri"/>
                  </a:defRPr>
                </a:pPr>
                <a:endParaRPr lang="en-US"/>
              </a:p>
            </c:txPr>
            <c:showVal val="1"/>
          </c:dLbls>
          <c:cat>
            <c:numRef>
              <c:f>[2]RT029!$E$45:$Q$45</c:f>
              <c:numCache>
                <c:formatCode>General</c:formatCode>
                <c:ptCount val="13"/>
                <c:pt idx="0">
                  <c:v>41274</c:v>
                </c:pt>
                <c:pt idx="1">
                  <c:v>41364</c:v>
                </c:pt>
                <c:pt idx="2">
                  <c:v>41455</c:v>
                </c:pt>
                <c:pt idx="3">
                  <c:v>41547</c:v>
                </c:pt>
                <c:pt idx="4">
                  <c:v>41639</c:v>
                </c:pt>
                <c:pt idx="5">
                  <c:v>41729</c:v>
                </c:pt>
                <c:pt idx="6">
                  <c:v>41820</c:v>
                </c:pt>
                <c:pt idx="7">
                  <c:v>41912</c:v>
                </c:pt>
                <c:pt idx="8">
                  <c:v>42004</c:v>
                </c:pt>
                <c:pt idx="9">
                  <c:v>42094</c:v>
                </c:pt>
                <c:pt idx="10">
                  <c:v>42185</c:v>
                </c:pt>
                <c:pt idx="11">
                  <c:v>42277</c:v>
                </c:pt>
                <c:pt idx="12">
                  <c:v>42369</c:v>
                </c:pt>
              </c:numCache>
            </c:numRef>
          </c:cat>
          <c:val>
            <c:numRef>
              <c:f>[2]RT029!$E$51:$Q$51</c:f>
              <c:numCache>
                <c:formatCode>General</c:formatCode>
                <c:ptCount val="13"/>
                <c:pt idx="0">
                  <c:v>104000</c:v>
                </c:pt>
                <c:pt idx="1">
                  <c:v>#N/A</c:v>
                </c:pt>
                <c:pt idx="2">
                  <c:v>#N/A</c:v>
                </c:pt>
                <c:pt idx="3">
                  <c:v>#N/A</c:v>
                </c:pt>
                <c:pt idx="4">
                  <c:v>#N/A</c:v>
                </c:pt>
                <c:pt idx="5">
                  <c:v>#N/A</c:v>
                </c:pt>
                <c:pt idx="6">
                  <c:v>#N/A</c:v>
                </c:pt>
                <c:pt idx="7">
                  <c:v>#N/A</c:v>
                </c:pt>
                <c:pt idx="8">
                  <c:v>#N/A</c:v>
                </c:pt>
                <c:pt idx="9">
                  <c:v>#N/A</c:v>
                </c:pt>
                <c:pt idx="10">
                  <c:v>#N/A</c:v>
                </c:pt>
                <c:pt idx="11">
                  <c:v>#N/A</c:v>
                </c:pt>
                <c:pt idx="12">
                  <c:v>#N/A</c:v>
                </c:pt>
              </c:numCache>
            </c:numRef>
          </c:val>
        </c:ser>
        <c:marker val="1"/>
        <c:axId val="69296128"/>
        <c:axId val="69297664"/>
      </c:lineChart>
      <c:catAx>
        <c:axId val="69296128"/>
        <c:scaling>
          <c:orientation val="minMax"/>
        </c:scaling>
        <c:axPos val="b"/>
        <c:numFmt formatCode="mm/yyyy" sourceLinked="0"/>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9297664"/>
        <c:crosses val="autoZero"/>
        <c:auto val="1"/>
        <c:lblAlgn val="ctr"/>
        <c:lblOffset val="100"/>
        <c:tickLblSkip val="3"/>
      </c:catAx>
      <c:valAx>
        <c:axId val="69297664"/>
        <c:scaling>
          <c:orientation val="minMax"/>
        </c:scaling>
        <c:axPos val="l"/>
        <c:majorGridlines/>
        <c:title>
          <c:tx>
            <c:rich>
              <a:bodyPr/>
              <a:lstStyle/>
              <a:p>
                <a:pPr>
                  <a:defRPr sz="1100" b="0" i="0" u="none" strike="noStrike" baseline="0">
                    <a:solidFill>
                      <a:srgbClr val="000000"/>
                    </a:solidFill>
                    <a:latin typeface="Calibri"/>
                    <a:ea typeface="Calibri"/>
                    <a:cs typeface="Calibri"/>
                  </a:defRPr>
                </a:pPr>
                <a:r>
                  <a:rPr lang="en-AU" sz="1200" b="1" i="0" u="none" strike="noStrike" baseline="0">
                    <a:solidFill>
                      <a:srgbClr val="000000"/>
                    </a:solidFill>
                    <a:latin typeface="Calibri"/>
                  </a:rPr>
                  <a:t>($000</a:t>
                </a:r>
                <a:r>
                  <a:rPr lang="en-AU" sz="1000" b="1" i="0" u="none" strike="noStrike" baseline="0">
                    <a:solidFill>
                      <a:srgbClr val="000000"/>
                    </a:solidFill>
                    <a:latin typeface="Calibri"/>
                  </a:rPr>
                  <a:t>)</a:t>
                </a:r>
              </a:p>
            </c:rich>
          </c:tx>
          <c:layout>
            <c:manualLayout>
              <c:xMode val="edge"/>
              <c:yMode val="edge"/>
              <c:x val="9.530953957858071E-2"/>
              <c:y val="0.37288277519526986"/>
            </c:manualLayout>
          </c:layout>
        </c:title>
        <c:numFmt formatCode="General"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9296128"/>
        <c:crosses val="autoZero"/>
        <c:crossBetween val="between"/>
      </c:valAx>
      <c:dTable>
        <c:showHorzBorder val="1"/>
        <c:showVertBorder val="1"/>
        <c:showOutline val="1"/>
        <c:showKeys val="1"/>
        <c:txPr>
          <a:bodyPr/>
          <a:lstStyle/>
          <a:p>
            <a:pPr rtl="0">
              <a:defRPr sz="1000" b="0" i="0" u="none" strike="noStrike" baseline="0">
                <a:solidFill>
                  <a:srgbClr val="000000"/>
                </a:solidFill>
                <a:latin typeface="Calibri"/>
                <a:ea typeface="Calibri"/>
                <a:cs typeface="Calibri"/>
              </a:defRPr>
            </a:pPr>
            <a:endParaRPr lang="en-US"/>
          </a:p>
        </c:txPr>
      </c:dTable>
    </c:plotArea>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44" l="0.70000000000000062" r="0.70000000000000062" t="0.75000000000000444"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AU"/>
  <c:chart>
    <c:title>
      <c:tx>
        <c:rich>
          <a:bodyPr/>
          <a:lstStyle/>
          <a:p>
            <a:pPr>
              <a:defRPr sz="1800" b="1" i="0" u="none" strike="noStrike" baseline="0">
                <a:solidFill>
                  <a:srgbClr val="333399"/>
                </a:solidFill>
                <a:latin typeface="Calibri"/>
                <a:ea typeface="Calibri"/>
                <a:cs typeface="Calibri"/>
              </a:defRPr>
            </a:pPr>
            <a:r>
              <a:rPr lang="en-AU"/>
              <a:t>Co investment Expenditure Forecast vs Actual</a:t>
            </a:r>
          </a:p>
        </c:rich>
      </c:tx>
      <c:layout>
        <c:manualLayout>
          <c:xMode val="edge"/>
          <c:yMode val="edge"/>
          <c:x val="0.36240429759364223"/>
          <c:y val="3.2996236916168611E-2"/>
        </c:manualLayout>
      </c:layout>
      <c:spPr>
        <a:noFill/>
      </c:spPr>
    </c:title>
    <c:plotArea>
      <c:layout/>
      <c:lineChart>
        <c:grouping val="standard"/>
        <c:ser>
          <c:idx val="6"/>
          <c:order val="0"/>
          <c:tx>
            <c:strRef>
              <c:f>[2]RT029!$C$52</c:f>
              <c:strCache>
                <c:ptCount val="1"/>
                <c:pt idx="0">
                  <c:v>Co Inv Proposal Budget</c:v>
                </c:pt>
              </c:strCache>
            </c:strRef>
          </c:tx>
          <c:spPr>
            <a:ln w="41275">
              <a:solidFill>
                <a:srgbClr val="7030A0"/>
              </a:solidFill>
              <a:prstDash val="dash"/>
            </a:ln>
          </c:spPr>
          <c:marker>
            <c:symbol val="none"/>
          </c:marker>
          <c:cat>
            <c:numRef>
              <c:f>'[3]RT014 (2)'!$E$45:$Q$45</c:f>
              <c:numCache>
                <c:formatCode>General</c:formatCode>
                <c:ptCount val="13"/>
                <c:pt idx="0">
                  <c:v>41274</c:v>
                </c:pt>
                <c:pt idx="1">
                  <c:v>41364</c:v>
                </c:pt>
                <c:pt idx="2">
                  <c:v>41455</c:v>
                </c:pt>
                <c:pt idx="3">
                  <c:v>41547</c:v>
                </c:pt>
                <c:pt idx="4">
                  <c:v>41639</c:v>
                </c:pt>
                <c:pt idx="5">
                  <c:v>41729</c:v>
                </c:pt>
                <c:pt idx="6">
                  <c:v>41820</c:v>
                </c:pt>
                <c:pt idx="7">
                  <c:v>41912</c:v>
                </c:pt>
                <c:pt idx="8">
                  <c:v>42004</c:v>
                </c:pt>
                <c:pt idx="9">
                  <c:v>42094</c:v>
                </c:pt>
                <c:pt idx="10">
                  <c:v>42185</c:v>
                </c:pt>
                <c:pt idx="11">
                  <c:v>42277</c:v>
                </c:pt>
                <c:pt idx="12">
                  <c:v>42369</c:v>
                </c:pt>
              </c:numCache>
            </c:numRef>
          </c:cat>
          <c:val>
            <c:numRef>
              <c:f>[2]RT029!$E$52:$Q$52</c:f>
              <c:numCache>
                <c:formatCode>General</c:formatCode>
                <c:ptCount val="13"/>
                <c:pt idx="0">
                  <c:v>66426</c:v>
                </c:pt>
                <c:pt idx="1">
                  <c:v>114892</c:v>
                </c:pt>
                <c:pt idx="2">
                  <c:v>323892</c:v>
                </c:pt>
                <c:pt idx="3">
                  <c:v>323892</c:v>
                </c:pt>
                <c:pt idx="4">
                  <c:v>323892</c:v>
                </c:pt>
                <c:pt idx="5">
                  <c:v>323892</c:v>
                </c:pt>
                <c:pt idx="6">
                  <c:v>323892</c:v>
                </c:pt>
                <c:pt idx="7">
                  <c:v>323892</c:v>
                </c:pt>
                <c:pt idx="8">
                  <c:v>323892</c:v>
                </c:pt>
                <c:pt idx="9">
                  <c:v>323892</c:v>
                </c:pt>
                <c:pt idx="10">
                  <c:v>323892</c:v>
                </c:pt>
                <c:pt idx="11">
                  <c:v>323892</c:v>
                </c:pt>
                <c:pt idx="12">
                  <c:v>323892</c:v>
                </c:pt>
              </c:numCache>
            </c:numRef>
          </c:val>
        </c:ser>
        <c:ser>
          <c:idx val="8"/>
          <c:order val="1"/>
          <c:tx>
            <c:strRef>
              <c:f>[2]RT029!$C$54</c:f>
              <c:strCache>
                <c:ptCount val="1"/>
                <c:pt idx="0">
                  <c:v>PM Co inv Forecast (Accum)</c:v>
                </c:pt>
              </c:strCache>
            </c:strRef>
          </c:tx>
          <c:spPr>
            <a:ln w="41275">
              <a:solidFill>
                <a:srgbClr val="FF0000"/>
              </a:solidFill>
            </a:ln>
          </c:spPr>
          <c:marker>
            <c:symbol val="none"/>
          </c:marker>
          <c:cat>
            <c:numRef>
              <c:f>'[3]RT014 (2)'!$E$45:$Q$45</c:f>
              <c:numCache>
                <c:formatCode>General</c:formatCode>
                <c:ptCount val="13"/>
                <c:pt idx="0">
                  <c:v>41274</c:v>
                </c:pt>
                <c:pt idx="1">
                  <c:v>41364</c:v>
                </c:pt>
                <c:pt idx="2">
                  <c:v>41455</c:v>
                </c:pt>
                <c:pt idx="3">
                  <c:v>41547</c:v>
                </c:pt>
                <c:pt idx="4">
                  <c:v>41639</c:v>
                </c:pt>
                <c:pt idx="5">
                  <c:v>41729</c:v>
                </c:pt>
                <c:pt idx="6">
                  <c:v>41820</c:v>
                </c:pt>
                <c:pt idx="7">
                  <c:v>41912</c:v>
                </c:pt>
                <c:pt idx="8">
                  <c:v>42004</c:v>
                </c:pt>
                <c:pt idx="9">
                  <c:v>42094</c:v>
                </c:pt>
                <c:pt idx="10">
                  <c:v>42185</c:v>
                </c:pt>
                <c:pt idx="11">
                  <c:v>42277</c:v>
                </c:pt>
                <c:pt idx="12">
                  <c:v>42369</c:v>
                </c:pt>
              </c:numCache>
            </c:numRef>
          </c:cat>
          <c:val>
            <c:numRef>
              <c:f>[2]RT029!$E$54:$Q$54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er>
        <c:ser>
          <c:idx val="10"/>
          <c:order val="2"/>
          <c:tx>
            <c:strRef>
              <c:f>[2]RT029!$C$56</c:f>
              <c:strCache>
                <c:ptCount val="1"/>
                <c:pt idx="0">
                  <c:v>Co Inv Actuals (Accum)</c:v>
                </c:pt>
              </c:strCache>
            </c:strRef>
          </c:tx>
          <c:spPr>
            <a:ln w="41275">
              <a:solidFill>
                <a:schemeClr val="bg1">
                  <a:lumMod val="50000"/>
                </a:schemeClr>
              </a:solidFill>
            </a:ln>
          </c:spPr>
          <c:marker>
            <c:symbol val="none"/>
          </c:marker>
          <c:cat>
            <c:numRef>
              <c:f>'[3]RT014 (2)'!$E$45:$Q$45</c:f>
              <c:numCache>
                <c:formatCode>General</c:formatCode>
                <c:ptCount val="13"/>
                <c:pt idx="0">
                  <c:v>41274</c:v>
                </c:pt>
                <c:pt idx="1">
                  <c:v>41364</c:v>
                </c:pt>
                <c:pt idx="2">
                  <c:v>41455</c:v>
                </c:pt>
                <c:pt idx="3">
                  <c:v>41547</c:v>
                </c:pt>
                <c:pt idx="4">
                  <c:v>41639</c:v>
                </c:pt>
                <c:pt idx="5">
                  <c:v>41729</c:v>
                </c:pt>
                <c:pt idx="6">
                  <c:v>41820</c:v>
                </c:pt>
                <c:pt idx="7">
                  <c:v>41912</c:v>
                </c:pt>
                <c:pt idx="8">
                  <c:v>42004</c:v>
                </c:pt>
                <c:pt idx="9">
                  <c:v>42094</c:v>
                </c:pt>
                <c:pt idx="10">
                  <c:v>42185</c:v>
                </c:pt>
                <c:pt idx="11">
                  <c:v>42277</c:v>
                </c:pt>
                <c:pt idx="12">
                  <c:v>42369</c:v>
                </c:pt>
              </c:numCache>
            </c:numRef>
          </c:cat>
          <c:val>
            <c:numRef>
              <c:f>[2]RT029!$E$56:$Q$56</c:f>
              <c:numCache>
                <c:formatCode>General</c:formatCode>
                <c:ptCount val="13"/>
                <c:pt idx="0">
                  <c:v>0</c:v>
                </c:pt>
                <c:pt idx="1">
                  <c:v>#N/A</c:v>
                </c:pt>
                <c:pt idx="2">
                  <c:v>#N/A</c:v>
                </c:pt>
                <c:pt idx="3">
                  <c:v>#N/A</c:v>
                </c:pt>
                <c:pt idx="4">
                  <c:v>#N/A</c:v>
                </c:pt>
                <c:pt idx="5">
                  <c:v>#N/A</c:v>
                </c:pt>
                <c:pt idx="6">
                  <c:v>#N/A</c:v>
                </c:pt>
                <c:pt idx="7">
                  <c:v>#N/A</c:v>
                </c:pt>
                <c:pt idx="8">
                  <c:v>#N/A</c:v>
                </c:pt>
                <c:pt idx="9">
                  <c:v>#N/A</c:v>
                </c:pt>
                <c:pt idx="10">
                  <c:v>#N/A</c:v>
                </c:pt>
                <c:pt idx="11">
                  <c:v>#N/A</c:v>
                </c:pt>
                <c:pt idx="12">
                  <c:v>#N/A</c:v>
                </c:pt>
              </c:numCache>
            </c:numRef>
          </c:val>
        </c:ser>
        <c:marker val="1"/>
        <c:axId val="69333376"/>
        <c:axId val="69334912"/>
      </c:lineChart>
      <c:catAx>
        <c:axId val="69333376"/>
        <c:scaling>
          <c:orientation val="minMax"/>
        </c:scaling>
        <c:axPos val="b"/>
        <c:numFmt formatCode="mm/yyyy" sourceLinked="0"/>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9334912"/>
        <c:crosses val="autoZero"/>
        <c:auto val="1"/>
        <c:lblAlgn val="ctr"/>
        <c:lblOffset val="100"/>
        <c:tickLblSkip val="3"/>
      </c:catAx>
      <c:valAx>
        <c:axId val="69334912"/>
        <c:scaling>
          <c:orientation val="minMax"/>
        </c:scaling>
        <c:axPos val="l"/>
        <c:majorGridlines/>
        <c:title>
          <c:tx>
            <c:rich>
              <a:bodyPr/>
              <a:lstStyle/>
              <a:p>
                <a:pPr>
                  <a:defRPr sz="1100" b="0" i="0" u="none" strike="noStrike" baseline="0">
                    <a:solidFill>
                      <a:srgbClr val="000000"/>
                    </a:solidFill>
                    <a:latin typeface="Calibri"/>
                    <a:ea typeface="Calibri"/>
                    <a:cs typeface="Calibri"/>
                  </a:defRPr>
                </a:pPr>
                <a:r>
                  <a:rPr lang="en-AU" sz="1200" b="1" i="0" u="none" strike="noStrike" baseline="0">
                    <a:solidFill>
                      <a:srgbClr val="000000"/>
                    </a:solidFill>
                    <a:latin typeface="Calibri"/>
                  </a:rPr>
                  <a:t>($000</a:t>
                </a:r>
                <a:r>
                  <a:rPr lang="en-AU" sz="1000" b="1" i="0" u="none" strike="noStrike" baseline="0">
                    <a:solidFill>
                      <a:srgbClr val="000000"/>
                    </a:solidFill>
                    <a:latin typeface="Calibri"/>
                  </a:rPr>
                  <a:t>)</a:t>
                </a:r>
              </a:p>
            </c:rich>
          </c:tx>
          <c:layout>
            <c:manualLayout>
              <c:xMode val="edge"/>
              <c:yMode val="edge"/>
              <c:x val="9.530953957858071E-2"/>
              <c:y val="0.37288277519526986"/>
            </c:manualLayout>
          </c:layout>
        </c:title>
        <c:numFmt formatCode="General"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9333376"/>
        <c:crosses val="autoZero"/>
        <c:crossBetween val="between"/>
      </c:valAx>
      <c:dTable>
        <c:showHorzBorder val="1"/>
        <c:showVertBorder val="1"/>
        <c:showOutline val="1"/>
        <c:showKeys val="1"/>
        <c:txPr>
          <a:bodyPr/>
          <a:lstStyle/>
          <a:p>
            <a:pPr rtl="0">
              <a:defRPr sz="1000" b="0" i="0" u="none" strike="noStrike" baseline="0">
                <a:solidFill>
                  <a:srgbClr val="000000"/>
                </a:solidFill>
                <a:latin typeface="Calibri"/>
                <a:ea typeface="Calibri"/>
                <a:cs typeface="Calibri"/>
              </a:defRPr>
            </a:pPr>
            <a:endParaRPr lang="en-US"/>
          </a:p>
        </c:txPr>
      </c:dTable>
    </c:plotArea>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44" l="0.70000000000000062" r="0.70000000000000062" t="0.75000000000000444"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57</xdr:row>
      <xdr:rowOff>133350</xdr:rowOff>
    </xdr:from>
    <xdr:to>
      <xdr:col>12</xdr:col>
      <xdr:colOff>1085850</xdr:colOff>
      <xdr:row>78</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81</xdr:row>
      <xdr:rowOff>0</xdr:rowOff>
    </xdr:from>
    <xdr:to>
      <xdr:col>12</xdr:col>
      <xdr:colOff>1095375</xdr:colOff>
      <xdr:row>101</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352425</xdr:colOff>
      <xdr:row>20</xdr:row>
      <xdr:rowOff>19050</xdr:rowOff>
    </xdr:from>
    <xdr:to>
      <xdr:col>8</xdr:col>
      <xdr:colOff>600075</xdr:colOff>
      <xdr:row>21</xdr:row>
      <xdr:rowOff>161925</xdr:rowOff>
    </xdr:to>
    <xdr:sp macro="" textlink="">
      <xdr:nvSpPr>
        <xdr:cNvPr id="4" name="Down Arrow 3"/>
        <xdr:cNvSpPr/>
      </xdr:nvSpPr>
      <xdr:spPr>
        <a:xfrm>
          <a:off x="5229225" y="3829050"/>
          <a:ext cx="247650" cy="333375"/>
        </a:xfrm>
        <a:prstGeom prst="down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AU"/>
        </a:p>
      </xdr:txBody>
    </xdr:sp>
    <xdr:clientData/>
  </xdr:twoCellAnchor>
  <xdr:twoCellAnchor>
    <xdr:from>
      <xdr:col>3</xdr:col>
      <xdr:colOff>19050</xdr:colOff>
      <xdr:row>18</xdr:row>
      <xdr:rowOff>85725</xdr:rowOff>
    </xdr:from>
    <xdr:to>
      <xdr:col>4</xdr:col>
      <xdr:colOff>0</xdr:colOff>
      <xdr:row>18</xdr:row>
      <xdr:rowOff>295275</xdr:rowOff>
    </xdr:to>
    <xdr:sp macro="" textlink="">
      <xdr:nvSpPr>
        <xdr:cNvPr id="5" name="Right Arrow 4"/>
        <xdr:cNvSpPr/>
      </xdr:nvSpPr>
      <xdr:spPr>
        <a:xfrm>
          <a:off x="1847850" y="3514725"/>
          <a:ext cx="590550" cy="104775"/>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AU"/>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porting%20Financial%20Calculation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ECTAR/Finance/Subprojects%20Stage%201/RT%20Stage%201_new%20templ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ECTAR/Finance/Subprojects%20Stage%201/NeCTAR%20Repor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inance 2"/>
      <sheetName val="Sheet1"/>
      <sheetName val="Sheet2"/>
      <sheetName val="Sheet3"/>
    </sheetNames>
    <sheetDataSet>
      <sheetData sheetId="0">
        <row r="20">
          <cell r="E20">
            <v>289000</v>
          </cell>
        </row>
        <row r="25">
          <cell r="D25">
            <v>104000</v>
          </cell>
        </row>
        <row r="29">
          <cell r="I29">
            <v>15552</v>
          </cell>
          <cell r="T29" t="str">
            <v>GREEN</v>
          </cell>
        </row>
      </sheetData>
      <sheetData sheetId="1"/>
      <sheetData sheetId="2"/>
      <sheetData sheetId="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T001"/>
      <sheetName val="RT007"/>
      <sheetName val="RT009"/>
      <sheetName val="RT012"/>
      <sheetName val="RT014"/>
      <sheetName val="RT015"/>
      <sheetName val="RT016"/>
      <sheetName val="RT017"/>
      <sheetName val="RT020"/>
      <sheetName val="RT022"/>
      <sheetName val="RT025"/>
      <sheetName val="RT029"/>
      <sheetName val="RT031"/>
      <sheetName val="RT035"/>
      <sheetName val="RT038"/>
      <sheetName val="RT043"/>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 sheetId="11">
        <row r="13">
          <cell r="C13">
            <v>41274</v>
          </cell>
        </row>
        <row r="20">
          <cell r="E20">
            <v>289000</v>
          </cell>
        </row>
        <row r="45">
          <cell r="E45">
            <v>41274</v>
          </cell>
          <cell r="F45">
            <v>41364</v>
          </cell>
          <cell r="G45">
            <v>41455</v>
          </cell>
          <cell r="H45">
            <v>41547</v>
          </cell>
          <cell r="I45">
            <v>41639</v>
          </cell>
          <cell r="J45">
            <v>41729</v>
          </cell>
          <cell r="K45">
            <v>41820</v>
          </cell>
          <cell r="L45">
            <v>41912</v>
          </cell>
          <cell r="M45">
            <v>42004</v>
          </cell>
          <cell r="N45">
            <v>42094</v>
          </cell>
          <cell r="O45">
            <v>42185</v>
          </cell>
          <cell r="P45">
            <v>42277</v>
          </cell>
          <cell r="Q45">
            <v>42369</v>
          </cell>
        </row>
        <row r="46">
          <cell r="C46" t="str">
            <v>Nectar Proposal Budget</v>
          </cell>
          <cell r="E46">
            <v>208000</v>
          </cell>
          <cell r="F46">
            <v>260000</v>
          </cell>
          <cell r="G46">
            <v>260000</v>
          </cell>
          <cell r="H46">
            <v>289000</v>
          </cell>
          <cell r="I46">
            <v>289000</v>
          </cell>
          <cell r="J46">
            <v>289000</v>
          </cell>
          <cell r="K46">
            <v>289000</v>
          </cell>
          <cell r="L46">
            <v>289000</v>
          </cell>
          <cell r="M46">
            <v>289000</v>
          </cell>
          <cell r="N46">
            <v>289000</v>
          </cell>
          <cell r="O46">
            <v>289000</v>
          </cell>
          <cell r="P46">
            <v>289000</v>
          </cell>
          <cell r="Q46">
            <v>289000</v>
          </cell>
        </row>
        <row r="48">
          <cell r="C48" t="str">
            <v>PM Nectar Forecast (Accum)</v>
          </cell>
          <cell r="E48">
            <v>0</v>
          </cell>
          <cell r="F48">
            <v>0</v>
          </cell>
          <cell r="G48">
            <v>0</v>
          </cell>
          <cell r="H48">
            <v>0</v>
          </cell>
          <cell r="I48">
            <v>0</v>
          </cell>
          <cell r="J48">
            <v>0</v>
          </cell>
          <cell r="K48">
            <v>0</v>
          </cell>
          <cell r="L48">
            <v>0</v>
          </cell>
          <cell r="M48">
            <v>0</v>
          </cell>
          <cell r="N48">
            <v>0</v>
          </cell>
          <cell r="O48">
            <v>0</v>
          </cell>
          <cell r="P48">
            <v>0</v>
          </cell>
          <cell r="Q48">
            <v>0</v>
          </cell>
        </row>
        <row r="50">
          <cell r="C50" t="str">
            <v>Nectar Actual (Accum)</v>
          </cell>
          <cell r="E50">
            <v>0</v>
          </cell>
          <cell r="F50" t="e">
            <v>#N/A</v>
          </cell>
          <cell r="G50" t="e">
            <v>#N/A</v>
          </cell>
          <cell r="H50" t="e">
            <v>#N/A</v>
          </cell>
          <cell r="I50" t="e">
            <v>#N/A</v>
          </cell>
          <cell r="J50" t="e">
            <v>#N/A</v>
          </cell>
          <cell r="K50" t="e">
            <v>#N/A</v>
          </cell>
          <cell r="L50" t="e">
            <v>#N/A</v>
          </cell>
          <cell r="M50" t="e">
            <v>#N/A</v>
          </cell>
          <cell r="N50" t="e">
            <v>#N/A</v>
          </cell>
          <cell r="O50" t="e">
            <v>#N/A</v>
          </cell>
          <cell r="P50" t="e">
            <v>#N/A</v>
          </cell>
          <cell r="Q50" t="e">
            <v>#N/A</v>
          </cell>
        </row>
        <row r="51">
          <cell r="C51" t="str">
            <v>Nectar Paid (Accum)</v>
          </cell>
          <cell r="E51">
            <v>104000</v>
          </cell>
          <cell r="F51" t="e">
            <v>#N/A</v>
          </cell>
          <cell r="G51" t="e">
            <v>#N/A</v>
          </cell>
          <cell r="H51" t="e">
            <v>#N/A</v>
          </cell>
          <cell r="I51" t="e">
            <v>#N/A</v>
          </cell>
          <cell r="J51" t="e">
            <v>#N/A</v>
          </cell>
          <cell r="K51" t="e">
            <v>#N/A</v>
          </cell>
          <cell r="L51" t="e">
            <v>#N/A</v>
          </cell>
          <cell r="M51" t="e">
            <v>#N/A</v>
          </cell>
          <cell r="N51" t="e">
            <v>#N/A</v>
          </cell>
          <cell r="O51" t="e">
            <v>#N/A</v>
          </cell>
          <cell r="P51" t="e">
            <v>#N/A</v>
          </cell>
          <cell r="Q51" t="e">
            <v>#N/A</v>
          </cell>
        </row>
        <row r="52">
          <cell r="C52" t="str">
            <v>Co Inv Proposal Budget</v>
          </cell>
          <cell r="E52">
            <v>66426</v>
          </cell>
          <cell r="F52">
            <v>114892</v>
          </cell>
          <cell r="G52">
            <v>323892</v>
          </cell>
          <cell r="H52">
            <v>323892</v>
          </cell>
          <cell r="I52">
            <v>323892</v>
          </cell>
          <cell r="J52">
            <v>323892</v>
          </cell>
          <cell r="K52">
            <v>323892</v>
          </cell>
          <cell r="L52">
            <v>323892</v>
          </cell>
          <cell r="M52">
            <v>323892</v>
          </cell>
          <cell r="N52">
            <v>323892</v>
          </cell>
          <cell r="O52">
            <v>323892</v>
          </cell>
          <cell r="P52">
            <v>323892</v>
          </cell>
          <cell r="Q52">
            <v>323892</v>
          </cell>
        </row>
        <row r="54">
          <cell r="C54" t="str">
            <v>PM Co inv Forecast (Accum)</v>
          </cell>
          <cell r="E54">
            <v>0</v>
          </cell>
          <cell r="F54">
            <v>0</v>
          </cell>
          <cell r="G54">
            <v>0</v>
          </cell>
          <cell r="H54">
            <v>0</v>
          </cell>
          <cell r="I54">
            <v>0</v>
          </cell>
          <cell r="J54">
            <v>0</v>
          </cell>
          <cell r="K54">
            <v>0</v>
          </cell>
          <cell r="L54">
            <v>0</v>
          </cell>
          <cell r="M54">
            <v>0</v>
          </cell>
          <cell r="N54">
            <v>0</v>
          </cell>
          <cell r="O54">
            <v>0</v>
          </cell>
          <cell r="P54">
            <v>0</v>
          </cell>
          <cell r="Q54">
            <v>0</v>
          </cell>
        </row>
        <row r="56">
          <cell r="C56" t="str">
            <v>Co Inv Actuals (Accum)</v>
          </cell>
          <cell r="E56">
            <v>0</v>
          </cell>
          <cell r="F56" t="e">
            <v>#N/A</v>
          </cell>
          <cell r="G56" t="e">
            <v>#N/A</v>
          </cell>
          <cell r="H56" t="e">
            <v>#N/A</v>
          </cell>
          <cell r="I56" t="e">
            <v>#N/A</v>
          </cell>
          <cell r="J56" t="e">
            <v>#N/A</v>
          </cell>
          <cell r="K56" t="e">
            <v>#N/A</v>
          </cell>
          <cell r="L56" t="e">
            <v>#N/A</v>
          </cell>
          <cell r="M56" t="e">
            <v>#N/A</v>
          </cell>
          <cell r="N56" t="e">
            <v>#N/A</v>
          </cell>
          <cell r="O56" t="e">
            <v>#N/A</v>
          </cell>
          <cell r="P56" t="e">
            <v>#N/A</v>
          </cell>
          <cell r="Q56" t="e">
            <v>#N/A</v>
          </cell>
        </row>
      </sheetData>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9.Finance"/>
      <sheetName val="Data- TO BE HIDDEN"/>
      <sheetName val="ReportInformation"/>
      <sheetName val="Sheet1"/>
      <sheetName val="RT001"/>
      <sheetName val="RT007"/>
      <sheetName val="RT009"/>
      <sheetName val="RT012"/>
      <sheetName val="RT014"/>
      <sheetName val="RT014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5">
          <cell r="E45">
            <v>41274</v>
          </cell>
          <cell r="F45">
            <v>41364</v>
          </cell>
          <cell r="G45">
            <v>41455</v>
          </cell>
          <cell r="H45">
            <v>41547</v>
          </cell>
          <cell r="I45">
            <v>41639</v>
          </cell>
          <cell r="J45">
            <v>41729</v>
          </cell>
          <cell r="K45">
            <v>41820</v>
          </cell>
          <cell r="L45">
            <v>41912</v>
          </cell>
          <cell r="M45">
            <v>42004</v>
          </cell>
          <cell r="N45">
            <v>42094</v>
          </cell>
          <cell r="O45">
            <v>42185</v>
          </cell>
          <cell r="P45">
            <v>42277</v>
          </cell>
          <cell r="Q45">
            <v>42369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13.bin"/><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thearktools.blogspot.com.au/"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FFFF00"/>
    <pageSetUpPr fitToPage="1"/>
  </sheetPr>
  <dimension ref="A1:AI45"/>
  <sheetViews>
    <sheetView showGridLines="0" workbookViewId="0">
      <selection activeCell="G22" sqref="G22"/>
    </sheetView>
  </sheetViews>
  <sheetFormatPr defaultColWidth="11.42578125" defaultRowHeight="12.75"/>
  <cols>
    <col min="1" max="1" width="16.7109375" style="5" customWidth="1"/>
    <col min="2" max="2" width="6.28515625" style="5" customWidth="1"/>
    <col min="3" max="4" width="4.7109375" style="5" customWidth="1"/>
    <col min="5" max="5" width="8" style="5" customWidth="1"/>
    <col min="6" max="6" width="18.28515625" style="5" customWidth="1"/>
    <col min="7" max="7" width="16" style="5" customWidth="1"/>
    <col min="8" max="8" width="3.140625" style="5" customWidth="1"/>
    <col min="9" max="9" width="7.42578125" style="5" customWidth="1"/>
    <col min="10" max="10" width="4.7109375" style="5" customWidth="1"/>
    <col min="11" max="11" width="6.140625" style="5" customWidth="1"/>
    <col min="12" max="12" width="5.85546875" style="5" customWidth="1"/>
    <col min="13" max="13" width="9.85546875" style="5" customWidth="1"/>
    <col min="14" max="14" width="4.7109375" style="5" customWidth="1"/>
    <col min="15" max="16" width="4.7109375" customWidth="1"/>
    <col min="17" max="18" width="4.7109375" hidden="1" customWidth="1"/>
    <col min="19" max="19" width="4.28515625" style="3" hidden="1" customWidth="1"/>
    <col min="20" max="20" width="11" hidden="1" customWidth="1"/>
    <col min="21" max="21" width="4.7109375" hidden="1" customWidth="1"/>
    <col min="22" max="22" width="6.28515625" hidden="1" customWidth="1"/>
    <col min="23" max="31" width="4.7109375" hidden="1" customWidth="1"/>
    <col min="32" max="32" width="11.42578125" hidden="1"/>
    <col min="35" max="35" width="33" style="2" customWidth="1"/>
  </cols>
  <sheetData>
    <row r="1" spans="1:35" s="5" customFormat="1">
      <c r="A1" s="61" t="s">
        <v>0</v>
      </c>
      <c r="B1" s="38" t="str">
        <f>OVERALLLIGHT</f>
        <v>AMBER</v>
      </c>
      <c r="N1" s="10"/>
    </row>
    <row r="2" spans="1:35" s="5" customFormat="1">
      <c r="A2" s="61" t="s">
        <v>1</v>
      </c>
      <c r="B2" s="39" t="str">
        <f>MILESTONELIGHT</f>
        <v>RED</v>
      </c>
      <c r="N2" s="10"/>
    </row>
    <row r="3" spans="1:35" s="5" customFormat="1">
      <c r="A3" s="61" t="s">
        <v>2</v>
      </c>
      <c r="B3" s="39" t="str">
        <f>ISSUELIGHT</f>
        <v>GREEN</v>
      </c>
      <c r="N3" s="10"/>
    </row>
    <row r="4" spans="1:35" s="5" customFormat="1">
      <c r="A4" s="61" t="s">
        <v>3</v>
      </c>
      <c r="B4" s="39" t="str">
        <f>RISKLIGHT</f>
        <v>GREEN</v>
      </c>
      <c r="N4" s="10"/>
    </row>
    <row r="5" spans="1:35" s="5" customFormat="1">
      <c r="A5" s="61" t="s">
        <v>4</v>
      </c>
      <c r="B5" s="39" t="str">
        <f>CHANGELIGHT</f>
        <v>GREEN</v>
      </c>
      <c r="N5" s="10"/>
    </row>
    <row r="6" spans="1:35" s="5" customFormat="1">
      <c r="A6" s="61" t="s">
        <v>5</v>
      </c>
      <c r="B6" s="161" t="str">
        <f>DEPENDENCYLIGHT</f>
        <v/>
      </c>
      <c r="N6" s="10"/>
    </row>
    <row r="7" spans="1:35" s="5" customFormat="1">
      <c r="A7" s="61" t="s">
        <v>6</v>
      </c>
      <c r="B7" s="40" t="str">
        <f>MEASURELIGHT</f>
        <v/>
      </c>
      <c r="N7" s="10"/>
    </row>
    <row r="8" spans="1:35" s="5" customFormat="1">
      <c r="A8" s="61" t="s">
        <v>7</v>
      </c>
      <c r="B8" s="39" t="str">
        <f>COMMUNICATIONLIGHT</f>
        <v>GREEN</v>
      </c>
      <c r="N8" s="10"/>
    </row>
    <row r="9" spans="1:35" s="5" customFormat="1">
      <c r="A9" s="61" t="s">
        <v>8</v>
      </c>
      <c r="B9" s="41" t="str">
        <f>FINANCELIGHT</f>
        <v>GREEN</v>
      </c>
      <c r="N9" s="10"/>
    </row>
    <row r="10" spans="1:35" s="5" customFormat="1">
      <c r="A10" s="72"/>
      <c r="B10" s="132"/>
      <c r="N10" s="10"/>
    </row>
    <row r="11" spans="1:35" ht="21.95" customHeight="1">
      <c r="A11" s="65"/>
      <c r="B11" s="15" t="s">
        <v>9</v>
      </c>
      <c r="C11" s="15"/>
      <c r="D11" s="15"/>
      <c r="E11" s="15"/>
      <c r="F11" s="15"/>
      <c r="G11" s="15"/>
      <c r="H11" s="15"/>
      <c r="I11" s="15"/>
      <c r="J11" s="15"/>
      <c r="K11" s="15"/>
      <c r="L11" s="15"/>
      <c r="M11" s="15"/>
      <c r="N11" s="15"/>
    </row>
    <row r="12" spans="1:35" ht="18.95" customHeight="1">
      <c r="A12" s="65"/>
      <c r="B12" s="12" t="s">
        <v>10</v>
      </c>
      <c r="C12" s="30"/>
      <c r="D12" s="30"/>
      <c r="E12" s="30"/>
      <c r="F12" s="30"/>
      <c r="G12" s="30"/>
      <c r="H12" s="30"/>
      <c r="I12" s="30" t="s">
        <v>11</v>
      </c>
      <c r="J12" s="30"/>
      <c r="K12" s="30"/>
      <c r="L12" s="30"/>
      <c r="M12" s="30" t="str">
        <f>OVERALLLIGHT</f>
        <v>AMBER</v>
      </c>
      <c r="N12" s="30"/>
    </row>
    <row r="13" spans="1:35" s="5" customFormat="1" ht="18.95" customHeight="1">
      <c r="A13" s="65"/>
      <c r="B13" s="12"/>
      <c r="C13" s="30"/>
      <c r="D13" s="30"/>
      <c r="E13" s="30"/>
      <c r="F13" s="30"/>
      <c r="G13" s="30"/>
      <c r="H13" s="30"/>
      <c r="I13" s="30"/>
      <c r="J13" s="30"/>
      <c r="K13" s="30"/>
      <c r="L13" s="30"/>
      <c r="M13" s="30"/>
      <c r="N13" s="30"/>
      <c r="AI13" s="2"/>
    </row>
    <row r="14" spans="1:35">
      <c r="A14" s="65"/>
      <c r="B14" s="316" t="s">
        <v>12</v>
      </c>
      <c r="C14" s="316"/>
      <c r="D14" s="317" t="s">
        <v>13</v>
      </c>
      <c r="E14" s="317"/>
      <c r="F14" s="316" t="s">
        <v>14</v>
      </c>
      <c r="G14" s="317" t="s">
        <v>15</v>
      </c>
      <c r="H14" s="317"/>
      <c r="I14" s="317"/>
      <c r="J14" s="317"/>
      <c r="K14" s="317"/>
      <c r="L14" s="317"/>
      <c r="M14" s="317"/>
      <c r="N14" s="278"/>
    </row>
    <row r="15" spans="1:35" ht="15" customHeight="1">
      <c r="A15" s="65"/>
      <c r="B15" s="62" t="s">
        <v>16</v>
      </c>
      <c r="C15" s="62"/>
      <c r="D15" s="279">
        <v>6</v>
      </c>
      <c r="E15" s="280"/>
      <c r="F15" s="62" t="s">
        <v>17</v>
      </c>
      <c r="G15" s="352">
        <v>41244</v>
      </c>
      <c r="H15" s="280"/>
      <c r="I15" s="280"/>
      <c r="J15" s="280"/>
      <c r="K15" s="280"/>
      <c r="L15" s="280"/>
      <c r="M15" s="280"/>
      <c r="N15" s="280"/>
    </row>
    <row r="16" spans="1:35" ht="15" customHeight="1">
      <c r="A16" s="65"/>
      <c r="B16" s="276"/>
      <c r="C16" s="62"/>
      <c r="D16" s="66"/>
      <c r="E16" s="66"/>
      <c r="F16" s="62" t="s">
        <v>18</v>
      </c>
      <c r="G16" s="352">
        <v>41334</v>
      </c>
      <c r="H16" s="278"/>
      <c r="I16" s="278"/>
      <c r="J16" s="279"/>
      <c r="K16" s="279"/>
      <c r="L16" s="279"/>
      <c r="M16" s="279"/>
      <c r="N16" s="280"/>
    </row>
    <row r="17" spans="1:35" s="4" customFormat="1" ht="15" customHeight="1">
      <c r="A17" s="65"/>
      <c r="B17" s="276"/>
      <c r="C17" s="62"/>
      <c r="D17" s="66"/>
      <c r="E17" s="66"/>
      <c r="F17" s="89"/>
      <c r="G17" s="277"/>
      <c r="H17" s="278"/>
      <c r="I17" s="278"/>
      <c r="J17" s="279"/>
      <c r="K17" s="279"/>
      <c r="L17" s="279"/>
      <c r="M17" s="279"/>
      <c r="N17" s="280"/>
      <c r="AI17" s="2"/>
    </row>
    <row r="18" spans="1:35" ht="15" customHeight="1">
      <c r="A18" s="65"/>
      <c r="B18" s="65"/>
      <c r="C18" s="65"/>
      <c r="D18" s="65"/>
      <c r="E18" s="65"/>
      <c r="F18" s="62" t="s">
        <v>19</v>
      </c>
      <c r="G18" s="279" t="s">
        <v>20</v>
      </c>
      <c r="H18" s="62"/>
      <c r="I18" s="62"/>
      <c r="J18" s="65"/>
      <c r="K18" s="66"/>
      <c r="L18" s="66"/>
      <c r="M18" s="66"/>
      <c r="N18" s="276"/>
    </row>
    <row r="19" spans="1:35" ht="15" customHeight="1">
      <c r="A19" s="65"/>
      <c r="B19" s="318"/>
      <c r="C19" s="318"/>
      <c r="D19" s="318"/>
      <c r="E19" s="318"/>
      <c r="F19" s="318" t="s">
        <v>21</v>
      </c>
      <c r="G19" s="319" t="s">
        <v>22</v>
      </c>
      <c r="H19" s="318"/>
      <c r="I19" s="318"/>
      <c r="J19" s="318"/>
      <c r="K19" s="320"/>
      <c r="L19" s="320"/>
      <c r="M19" s="320"/>
      <c r="N19" s="321"/>
    </row>
    <row r="20" spans="1:35" s="5" customFormat="1" ht="15" customHeight="1">
      <c r="A20" s="65"/>
      <c r="B20" s="7"/>
      <c r="C20" s="7"/>
      <c r="D20" s="7"/>
      <c r="E20" s="7"/>
      <c r="F20" s="13"/>
      <c r="G20" s="9"/>
      <c r="H20" s="9"/>
      <c r="I20" s="9"/>
      <c r="J20" s="9"/>
      <c r="K20" s="9"/>
      <c r="L20" s="9"/>
      <c r="M20" s="9"/>
      <c r="N20" s="8"/>
      <c r="AI20" s="2"/>
    </row>
    <row r="21" spans="1:35" s="4" customFormat="1">
      <c r="A21" s="65"/>
      <c r="B21" s="7"/>
      <c r="E21" s="7"/>
      <c r="F21" s="7"/>
      <c r="G21" s="7"/>
      <c r="H21" s="13"/>
      <c r="I21" s="6" t="s">
        <v>23</v>
      </c>
      <c r="J21" s="9"/>
      <c r="K21" s="9"/>
      <c r="L21" s="9"/>
      <c r="M21" s="9"/>
      <c r="N21" s="9"/>
      <c r="AI21" s="2"/>
    </row>
    <row r="22" spans="1:35">
      <c r="A22" s="65"/>
      <c r="B22" s="503" t="s">
        <v>24</v>
      </c>
      <c r="C22" s="504"/>
      <c r="D22" s="504"/>
      <c r="E22" s="504"/>
      <c r="F22" s="9"/>
      <c r="G22" s="60" t="s">
        <v>0</v>
      </c>
      <c r="I22" s="196"/>
      <c r="J22" s="9"/>
      <c r="K22" s="9"/>
      <c r="L22" s="160" t="s">
        <v>25</v>
      </c>
      <c r="M22" s="9"/>
      <c r="N22" s="9"/>
    </row>
    <row r="23" spans="1:35">
      <c r="B23" s="505"/>
      <c r="C23" s="505"/>
      <c r="D23" s="505"/>
      <c r="E23" s="505"/>
      <c r="F23" s="7"/>
      <c r="G23" s="61" t="s">
        <v>1</v>
      </c>
      <c r="I23" s="136" t="str">
        <f>MILESTONELIGHT</f>
        <v>RED</v>
      </c>
      <c r="J23" s="9"/>
      <c r="K23" s="9"/>
      <c r="L23" s="9"/>
      <c r="M23" s="9"/>
    </row>
    <row r="24" spans="1:35">
      <c r="B24" s="505"/>
      <c r="C24" s="505"/>
      <c r="D24" s="505"/>
      <c r="E24" s="505"/>
      <c r="F24" s="7"/>
      <c r="G24" s="61" t="s">
        <v>2</v>
      </c>
      <c r="I24" s="136" t="str">
        <f>ISSUELIGHT</f>
        <v>GREEN</v>
      </c>
      <c r="J24" s="9"/>
      <c r="K24" s="9"/>
      <c r="L24" s="9"/>
      <c r="M24" s="9"/>
    </row>
    <row r="25" spans="1:35">
      <c r="B25" s="505"/>
      <c r="C25" s="505"/>
      <c r="D25" s="505"/>
      <c r="E25" s="505"/>
      <c r="F25" s="7"/>
      <c r="G25" s="61" t="s">
        <v>3</v>
      </c>
      <c r="I25" s="136" t="str">
        <f>RISKLIGHT</f>
        <v>GREEN</v>
      </c>
      <c r="J25" s="9"/>
      <c r="K25" s="9"/>
      <c r="L25" s="9"/>
      <c r="M25" s="9"/>
    </row>
    <row r="26" spans="1:35">
      <c r="B26" s="505"/>
      <c r="C26" s="505"/>
      <c r="D26" s="505"/>
      <c r="E26" s="505"/>
      <c r="F26" s="35" t="s">
        <v>26</v>
      </c>
      <c r="G26" s="61" t="s">
        <v>4</v>
      </c>
      <c r="I26" s="136" t="str">
        <f>CHANGELIGHT</f>
        <v>GREEN</v>
      </c>
      <c r="J26" s="9"/>
      <c r="K26" s="9"/>
      <c r="L26" s="9"/>
      <c r="M26" s="9"/>
    </row>
    <row r="27" spans="1:35">
      <c r="B27" s="505"/>
      <c r="C27" s="505"/>
      <c r="D27" s="505"/>
      <c r="E27" s="505"/>
      <c r="F27" s="35" t="s">
        <v>26</v>
      </c>
      <c r="G27" s="61" t="s">
        <v>5</v>
      </c>
      <c r="I27" s="136" t="str">
        <f>DEPENDENCYLIGHT</f>
        <v/>
      </c>
      <c r="J27" s="9"/>
      <c r="K27" s="9"/>
      <c r="L27" s="9"/>
      <c r="M27" s="9"/>
    </row>
    <row r="28" spans="1:35">
      <c r="B28" s="505"/>
      <c r="C28" s="505"/>
      <c r="D28" s="505"/>
      <c r="E28" s="505"/>
      <c r="F28" s="35" t="s">
        <v>27</v>
      </c>
      <c r="G28" s="61" t="s">
        <v>6</v>
      </c>
      <c r="I28" s="136" t="str">
        <f>MEASURELIGHT</f>
        <v/>
      </c>
      <c r="J28" s="9"/>
      <c r="K28" s="9"/>
      <c r="L28" s="9"/>
      <c r="M28" s="9"/>
    </row>
    <row r="29" spans="1:35">
      <c r="B29" s="505"/>
      <c r="C29" s="505"/>
      <c r="D29" s="505"/>
      <c r="E29" s="505"/>
      <c r="F29" s="7"/>
      <c r="G29" s="61" t="s">
        <v>7</v>
      </c>
      <c r="I29" s="136" t="str">
        <f>COMMUNICATIONLIGHT</f>
        <v>GREEN</v>
      </c>
      <c r="J29" s="9"/>
      <c r="K29" s="9"/>
      <c r="L29" s="9"/>
      <c r="M29" s="9"/>
    </row>
    <row r="30" spans="1:35">
      <c r="B30" s="505"/>
      <c r="C30" s="505"/>
      <c r="D30" s="505"/>
      <c r="E30" s="505"/>
      <c r="F30" s="7"/>
      <c r="G30" s="61" t="s">
        <v>8</v>
      </c>
      <c r="I30" s="136" t="str">
        <f>FINANCELIGHT</f>
        <v>GREEN</v>
      </c>
      <c r="J30" s="35"/>
      <c r="K30" s="9"/>
      <c r="L30" s="9"/>
      <c r="M30" s="9"/>
    </row>
    <row r="31" spans="1:35" s="4" customFormat="1" ht="21.95" customHeight="1">
      <c r="A31" s="5"/>
      <c r="B31" s="506" t="s">
        <v>28</v>
      </c>
      <c r="C31" s="506"/>
      <c r="D31" s="506"/>
      <c r="E31" s="506"/>
      <c r="F31" s="7"/>
      <c r="G31" s="19" t="s">
        <v>11</v>
      </c>
      <c r="I31" s="135" t="str">
        <f>OVERALLLIGHT</f>
        <v>AMBER</v>
      </c>
      <c r="J31" s="9"/>
      <c r="K31" s="9"/>
      <c r="L31" s="9"/>
      <c r="M31" s="9"/>
      <c r="N31" s="5"/>
    </row>
    <row r="32" spans="1:35" s="4" customFormat="1">
      <c r="A32" s="5"/>
      <c r="B32" s="19"/>
      <c r="E32" s="7"/>
      <c r="F32" s="7"/>
      <c r="G32" s="7"/>
      <c r="H32" s="7"/>
      <c r="I32" s="6"/>
      <c r="J32" s="6"/>
      <c r="K32" s="6"/>
      <c r="L32" s="6"/>
      <c r="M32" s="6"/>
      <c r="N32" s="5"/>
      <c r="T32" s="1"/>
      <c r="U32" s="1" t="s">
        <v>29</v>
      </c>
      <c r="V32" s="1" t="s">
        <v>30</v>
      </c>
      <c r="W32" s="1" t="s">
        <v>31</v>
      </c>
      <c r="AA32" s="1"/>
      <c r="AB32" s="1" t="s">
        <v>11</v>
      </c>
      <c r="AC32" s="1"/>
      <c r="AD32" s="1"/>
      <c r="AE32" s="1" t="str">
        <f>IF(U35&gt;1,"RED",IF(U35=1,"AMBER",IF(FINANCELIGHT="AMBER","AMBER",IF(MILESTONELIGHT="AMBER","AMBER",IF(V35&gt;2,"AMBER","GREEN")))))</f>
        <v>AMBER</v>
      </c>
    </row>
    <row r="33" spans="2:23">
      <c r="S33" s="3" t="s">
        <v>32</v>
      </c>
      <c r="T33" s="1"/>
      <c r="U33" s="1">
        <f>COUNTIF(I23:I25,"RED")</f>
        <v>1</v>
      </c>
      <c r="V33" s="1">
        <f>COUNTIF(I23:I25,"AMBER")</f>
        <v>0</v>
      </c>
      <c r="W33" s="1">
        <f>COUNTIF(I23:I25,"GREEN")</f>
        <v>2</v>
      </c>
    </row>
    <row r="34" spans="2:23">
      <c r="B34" s="5" t="s">
        <v>33</v>
      </c>
      <c r="T34" s="1" t="s">
        <v>34</v>
      </c>
      <c r="U34" s="1">
        <f>COUNTIF(I30,"RED")</f>
        <v>0</v>
      </c>
      <c r="V34" s="1">
        <f>COUNTIF(I30,"AMBER")</f>
        <v>0</v>
      </c>
      <c r="W34" s="1">
        <f>COUNTIF(I30,"GREEN")</f>
        <v>1</v>
      </c>
    </row>
    <row r="35" spans="2:23" ht="87.95" customHeight="1">
      <c r="B35" s="494" t="s">
        <v>396</v>
      </c>
      <c r="C35" s="495"/>
      <c r="D35" s="495"/>
      <c r="E35" s="495"/>
      <c r="F35" s="495"/>
      <c r="G35" s="495"/>
      <c r="H35" s="495"/>
      <c r="I35" s="495"/>
      <c r="J35" s="495"/>
      <c r="K35" s="495"/>
      <c r="L35" s="495"/>
      <c r="M35" s="495"/>
      <c r="N35" s="496"/>
      <c r="T35" s="1" t="s">
        <v>35</v>
      </c>
      <c r="U35" s="1">
        <f>SUM(U33:U34)</f>
        <v>1</v>
      </c>
      <c r="V35" s="1">
        <f>SUM(V33:V34)</f>
        <v>0</v>
      </c>
      <c r="W35" s="1">
        <f>SUM(W33:W34)</f>
        <v>3</v>
      </c>
    </row>
    <row r="36" spans="2:23">
      <c r="B36" s="33"/>
      <c r="C36" s="33"/>
      <c r="D36" s="33"/>
      <c r="E36" s="33"/>
      <c r="F36" s="33"/>
      <c r="G36" s="33"/>
      <c r="H36" s="33"/>
      <c r="I36" s="33"/>
      <c r="J36" s="33"/>
      <c r="K36" s="33"/>
      <c r="L36" s="33"/>
      <c r="M36" s="33"/>
      <c r="N36" s="33"/>
    </row>
    <row r="37" spans="2:23" ht="21" customHeight="1">
      <c r="B37" s="12" t="s">
        <v>36</v>
      </c>
      <c r="C37" s="12"/>
      <c r="D37" s="343"/>
      <c r="E37" s="344" t="s">
        <v>37</v>
      </c>
      <c r="F37" s="339"/>
      <c r="G37" s="339"/>
      <c r="H37" s="339"/>
      <c r="I37" s="339"/>
      <c r="J37" s="339"/>
      <c r="K37" s="339"/>
      <c r="L37" s="339"/>
      <c r="M37" s="339"/>
      <c r="N37" s="340"/>
      <c r="O37" s="5"/>
      <c r="T37" t="s">
        <v>38</v>
      </c>
    </row>
    <row r="38" spans="2:23">
      <c r="D38" s="62"/>
      <c r="F38" s="62"/>
      <c r="G38" s="62"/>
      <c r="H38" s="62"/>
      <c r="I38" s="62"/>
      <c r="J38" s="62"/>
      <c r="K38" s="62"/>
      <c r="L38" s="62"/>
      <c r="M38" s="62"/>
      <c r="N38" s="62"/>
      <c r="O38" s="5"/>
      <c r="T38" s="179" t="str">
        <f>IF(Check1="Yes","TRUE","FALSE")</f>
        <v>FALSE</v>
      </c>
    </row>
    <row r="39" spans="2:23" ht="21" customHeight="1">
      <c r="B39" s="62"/>
      <c r="D39" s="343"/>
      <c r="E39" s="344" t="s">
        <v>39</v>
      </c>
      <c r="F39" s="341"/>
      <c r="G39" s="341"/>
      <c r="H39" s="341"/>
      <c r="I39" s="341"/>
      <c r="J39" s="341"/>
      <c r="K39" s="341"/>
      <c r="L39" s="341"/>
      <c r="M39" s="341"/>
      <c r="N39" s="342"/>
      <c r="O39" s="5"/>
      <c r="T39" s="179"/>
    </row>
    <row r="40" spans="2:23">
      <c r="N40" s="63"/>
      <c r="O40" s="5"/>
      <c r="T40" s="179" t="str">
        <f>IF(Check2="Yes","TRUE","FALSE")</f>
        <v>FALSE</v>
      </c>
    </row>
    <row r="41" spans="2:23">
      <c r="B41" s="62" t="s">
        <v>40</v>
      </c>
      <c r="C41" s="62"/>
      <c r="D41" s="62"/>
      <c r="E41" s="64"/>
      <c r="F41" s="497" t="s">
        <v>397</v>
      </c>
      <c r="G41" s="498"/>
      <c r="H41" s="498"/>
      <c r="I41" s="498"/>
      <c r="J41" s="498"/>
      <c r="K41" s="498"/>
      <c r="L41" s="498"/>
      <c r="M41" s="499"/>
      <c r="N41" s="64"/>
      <c r="T41">
        <f>COUNTIF(T38:T40,FALSE)</f>
        <v>0</v>
      </c>
    </row>
    <row r="42" spans="2:23">
      <c r="B42" s="62" t="s">
        <v>41</v>
      </c>
      <c r="C42" s="64"/>
      <c r="D42" s="64"/>
      <c r="E42" s="64"/>
      <c r="F42" s="500">
        <v>41361</v>
      </c>
      <c r="G42" s="501"/>
      <c r="H42" s="501"/>
      <c r="I42" s="501"/>
      <c r="J42" s="501"/>
      <c r="K42" s="501"/>
      <c r="L42" s="501"/>
      <c r="M42" s="502"/>
      <c r="N42" s="64"/>
    </row>
    <row r="43" spans="2:23" ht="30" customHeight="1">
      <c r="B43" s="178" t="str">
        <f>IF(ISBLANK(F41),"Please signoff (select Yes and enter name) prior to form submission",IF(COUNTIF(T38:T40,"FALSE")&gt;0,"Please select Yes in signoff prior to form submission",""))</f>
        <v/>
      </c>
      <c r="C43" s="65"/>
      <c r="D43" s="65"/>
      <c r="E43" s="65"/>
      <c r="F43" s="65"/>
      <c r="G43" s="65"/>
      <c r="H43" s="65"/>
      <c r="I43" s="65"/>
      <c r="J43" s="65"/>
      <c r="K43" s="65"/>
      <c r="L43" s="65"/>
      <c r="M43" s="65"/>
      <c r="N43" s="65"/>
    </row>
    <row r="44" spans="2:23">
      <c r="B44" s="65"/>
      <c r="C44" s="65"/>
      <c r="D44" s="65"/>
      <c r="E44" s="65"/>
      <c r="F44" s="65"/>
      <c r="G44" s="65"/>
      <c r="H44" s="65"/>
      <c r="I44" s="65"/>
      <c r="J44" s="65"/>
      <c r="K44" s="65"/>
      <c r="L44" s="65"/>
      <c r="M44" s="65"/>
      <c r="N44" s="65"/>
    </row>
    <row r="45" spans="2:23">
      <c r="B45" s="65"/>
      <c r="C45" s="65"/>
      <c r="D45" s="65"/>
      <c r="E45" s="65"/>
      <c r="F45" s="65"/>
      <c r="G45" s="65"/>
      <c r="H45" s="65"/>
      <c r="I45" s="65"/>
      <c r="J45" s="65"/>
      <c r="K45" s="65"/>
      <c r="L45" s="65"/>
      <c r="M45" s="65"/>
      <c r="N45" s="65"/>
    </row>
  </sheetData>
  <sheetProtection sheet="1" formatColumns="0" selectLockedCells="1"/>
  <mergeCells count="5">
    <mergeCell ref="B35:N35"/>
    <mergeCell ref="F41:M41"/>
    <mergeCell ref="F42:M42"/>
    <mergeCell ref="B22:E30"/>
    <mergeCell ref="B31:E31"/>
  </mergeCells>
  <conditionalFormatting sqref="B1">
    <cfRule type="cellIs" dxfId="1782" priority="1" operator="equal">
      <formula>"AMBER"</formula>
    </cfRule>
  </conditionalFormatting>
  <conditionalFormatting sqref="B1">
    <cfRule type="cellIs" dxfId="1781" priority="2" operator="equal">
      <formula>"RED"</formula>
    </cfRule>
  </conditionalFormatting>
  <conditionalFormatting sqref="B1">
    <cfRule type="cellIs" dxfId="1780" priority="3" operator="equal">
      <formula>"GREEN"</formula>
    </cfRule>
  </conditionalFormatting>
  <conditionalFormatting sqref="B2">
    <cfRule type="cellIs" dxfId="1779" priority="4" operator="equal">
      <formula>"AMBER"</formula>
    </cfRule>
  </conditionalFormatting>
  <conditionalFormatting sqref="B2">
    <cfRule type="cellIs" dxfId="1778" priority="5" operator="equal">
      <formula>"RED"</formula>
    </cfRule>
  </conditionalFormatting>
  <conditionalFormatting sqref="B2">
    <cfRule type="cellIs" dxfId="1777" priority="6" operator="equal">
      <formula>"GREEN"</formula>
    </cfRule>
  </conditionalFormatting>
  <conditionalFormatting sqref="B3">
    <cfRule type="cellIs" dxfId="1776" priority="7" operator="equal">
      <formula>"AMBER"</formula>
    </cfRule>
  </conditionalFormatting>
  <conditionalFormatting sqref="B3">
    <cfRule type="cellIs" dxfId="1775" priority="8" operator="equal">
      <formula>"RED"</formula>
    </cfRule>
  </conditionalFormatting>
  <conditionalFormatting sqref="B3">
    <cfRule type="cellIs" dxfId="1774" priority="9" operator="equal">
      <formula>"GREEN"</formula>
    </cfRule>
  </conditionalFormatting>
  <conditionalFormatting sqref="B4">
    <cfRule type="cellIs" dxfId="1773" priority="10" operator="equal">
      <formula>"AMBER"</formula>
    </cfRule>
  </conditionalFormatting>
  <conditionalFormatting sqref="B4">
    <cfRule type="cellIs" dxfId="1772" priority="11" operator="equal">
      <formula>"RED"</formula>
    </cfRule>
  </conditionalFormatting>
  <conditionalFormatting sqref="B4">
    <cfRule type="cellIs" dxfId="1771" priority="12" operator="equal">
      <formula>"GREEN"</formula>
    </cfRule>
  </conditionalFormatting>
  <conditionalFormatting sqref="B5">
    <cfRule type="cellIs" dxfId="1770" priority="13" operator="equal">
      <formula>"AMBER"</formula>
    </cfRule>
  </conditionalFormatting>
  <conditionalFormatting sqref="B5">
    <cfRule type="cellIs" dxfId="1769" priority="14" operator="equal">
      <formula>"RED"</formula>
    </cfRule>
  </conditionalFormatting>
  <conditionalFormatting sqref="B5">
    <cfRule type="cellIs" dxfId="1768" priority="15" operator="equal">
      <formula>"GREEN"</formula>
    </cfRule>
  </conditionalFormatting>
  <conditionalFormatting sqref="B6">
    <cfRule type="cellIs" dxfId="1767" priority="16" operator="equal">
      <formula>"AMBER"</formula>
    </cfRule>
  </conditionalFormatting>
  <conditionalFormatting sqref="B6">
    <cfRule type="cellIs" dxfId="1766" priority="17" operator="equal">
      <formula>"RED"</formula>
    </cfRule>
  </conditionalFormatting>
  <conditionalFormatting sqref="B6">
    <cfRule type="cellIs" dxfId="1765" priority="18" operator="equal">
      <formula>"GREEN"</formula>
    </cfRule>
  </conditionalFormatting>
  <conditionalFormatting sqref="B7">
    <cfRule type="cellIs" dxfId="1764" priority="19" operator="equal">
      <formula>"AMBER"</formula>
    </cfRule>
  </conditionalFormatting>
  <conditionalFormatting sqref="B7">
    <cfRule type="cellIs" dxfId="1763" priority="20" operator="equal">
      <formula>"RED"</formula>
    </cfRule>
  </conditionalFormatting>
  <conditionalFormatting sqref="B7">
    <cfRule type="cellIs" dxfId="1762" priority="21" operator="equal">
      <formula>"GREEN"</formula>
    </cfRule>
  </conditionalFormatting>
  <conditionalFormatting sqref="B8">
    <cfRule type="cellIs" dxfId="1761" priority="22" operator="equal">
      <formula>"AMBER"</formula>
    </cfRule>
  </conditionalFormatting>
  <conditionalFormatting sqref="B8">
    <cfRule type="cellIs" dxfId="1760" priority="23" operator="equal">
      <formula>"RED"</formula>
    </cfRule>
  </conditionalFormatting>
  <conditionalFormatting sqref="B8">
    <cfRule type="cellIs" dxfId="1759" priority="24" operator="equal">
      <formula>"GREEN"</formula>
    </cfRule>
  </conditionalFormatting>
  <conditionalFormatting sqref="B9">
    <cfRule type="cellIs" dxfId="1758" priority="25" operator="equal">
      <formula>"AMBER"</formula>
    </cfRule>
  </conditionalFormatting>
  <conditionalFormatting sqref="B9">
    <cfRule type="cellIs" dxfId="1757" priority="26" operator="equal">
      <formula>"RED"</formula>
    </cfRule>
  </conditionalFormatting>
  <conditionalFormatting sqref="B9">
    <cfRule type="cellIs" dxfId="1756" priority="27" operator="equal">
      <formula>"GREEN"</formula>
    </cfRule>
  </conditionalFormatting>
  <conditionalFormatting sqref="B10">
    <cfRule type="cellIs" dxfId="1755" priority="28" operator="equal">
      <formula>"AMBER"</formula>
    </cfRule>
  </conditionalFormatting>
  <conditionalFormatting sqref="B10">
    <cfRule type="cellIs" dxfId="1754" priority="29" operator="equal">
      <formula>"RED"</formula>
    </cfRule>
  </conditionalFormatting>
  <conditionalFormatting sqref="B10">
    <cfRule type="cellIs" dxfId="1753" priority="30" operator="equal">
      <formula>"GREEN"</formula>
    </cfRule>
  </conditionalFormatting>
  <conditionalFormatting sqref="B43">
    <cfRule type="containsText" dxfId="1752" priority="31" operator="containsText" text="Please">
      <formula>NOT(ISERROR(SEARCH("Please",B43)))</formula>
    </cfRule>
  </conditionalFormatting>
  <conditionalFormatting sqref="D37">
    <cfRule type="containsText" dxfId="1751" priority="32" operator="containsText" text="Yes">
      <formula>NOT(ISERROR(SEARCH("Yes",D37)))</formula>
    </cfRule>
  </conditionalFormatting>
  <conditionalFormatting sqref="D37">
    <cfRule type="containsText" dxfId="1750" priority="33" operator="containsText" text="No">
      <formula>NOT(ISERROR(SEARCH("No",D37)))</formula>
    </cfRule>
  </conditionalFormatting>
  <conditionalFormatting sqref="D38">
    <cfRule type="containsText" dxfId="1749" priority="34" operator="containsText" text="Yes">
      <formula>NOT(ISERROR(SEARCH("Yes",D38)))</formula>
    </cfRule>
  </conditionalFormatting>
  <conditionalFormatting sqref="D38">
    <cfRule type="containsText" dxfId="1748" priority="35" operator="containsText" text="No">
      <formula>NOT(ISERROR(SEARCH("No",D38)))</formula>
    </cfRule>
  </conditionalFormatting>
  <conditionalFormatting sqref="D39">
    <cfRule type="containsText" dxfId="1747" priority="36" operator="containsText" text="Yes">
      <formula>NOT(ISERROR(SEARCH("Yes",D39)))</formula>
    </cfRule>
  </conditionalFormatting>
  <conditionalFormatting sqref="D39">
    <cfRule type="containsText" dxfId="1746" priority="37" operator="containsText" text="No">
      <formula>NOT(ISERROR(SEARCH("No",D39)))</formula>
    </cfRule>
  </conditionalFormatting>
  <conditionalFormatting sqref="G12">
    <cfRule type="cellIs" dxfId="1745" priority="38" operator="equal">
      <formula>"AMBER"</formula>
    </cfRule>
  </conditionalFormatting>
  <conditionalFormatting sqref="G12">
    <cfRule type="cellIs" dxfId="1744" priority="39" operator="equal">
      <formula>"RED"</formula>
    </cfRule>
  </conditionalFormatting>
  <conditionalFormatting sqref="G12">
    <cfRule type="cellIs" dxfId="1743" priority="40" operator="equal">
      <formula>"GREEN"</formula>
    </cfRule>
  </conditionalFormatting>
  <conditionalFormatting sqref="G13">
    <cfRule type="cellIs" dxfId="1742" priority="41" operator="equal">
      <formula>"AMBER"</formula>
    </cfRule>
  </conditionalFormatting>
  <conditionalFormatting sqref="G13">
    <cfRule type="cellIs" dxfId="1741" priority="42" operator="equal">
      <formula>"RED"</formula>
    </cfRule>
  </conditionalFormatting>
  <conditionalFormatting sqref="G13">
    <cfRule type="cellIs" dxfId="1740" priority="43" operator="equal">
      <formula>"GREEN"</formula>
    </cfRule>
  </conditionalFormatting>
  <conditionalFormatting sqref="G14">
    <cfRule type="cellIs" dxfId="1739" priority="44" operator="equal">
      <formula>"AMBER"</formula>
    </cfRule>
  </conditionalFormatting>
  <conditionalFormatting sqref="G14">
    <cfRule type="cellIs" dxfId="1738" priority="45" operator="equal">
      <formula>"RED"</formula>
    </cfRule>
  </conditionalFormatting>
  <conditionalFormatting sqref="G14">
    <cfRule type="cellIs" dxfId="1737" priority="46" operator="equal">
      <formula>"GREEN"</formula>
    </cfRule>
  </conditionalFormatting>
  <conditionalFormatting sqref="G15">
    <cfRule type="cellIs" dxfId="1736" priority="47" operator="equal">
      <formula>"AMBER"</formula>
    </cfRule>
  </conditionalFormatting>
  <conditionalFormatting sqref="G15">
    <cfRule type="cellIs" dxfId="1735" priority="48" operator="equal">
      <formula>"RED"</formula>
    </cfRule>
  </conditionalFormatting>
  <conditionalFormatting sqref="G15">
    <cfRule type="cellIs" dxfId="1734" priority="49" operator="equal">
      <formula>"GREEN"</formula>
    </cfRule>
  </conditionalFormatting>
  <conditionalFormatting sqref="G16">
    <cfRule type="cellIs" dxfId="1733" priority="50" operator="equal">
      <formula>"AMBER"</formula>
    </cfRule>
  </conditionalFormatting>
  <conditionalFormatting sqref="G16">
    <cfRule type="cellIs" dxfId="1732" priority="51" operator="equal">
      <formula>"RED"</formula>
    </cfRule>
  </conditionalFormatting>
  <conditionalFormatting sqref="G16">
    <cfRule type="cellIs" dxfId="1731" priority="52" operator="equal">
      <formula>"GREEN"</formula>
    </cfRule>
  </conditionalFormatting>
  <conditionalFormatting sqref="G17">
    <cfRule type="cellIs" dxfId="1730" priority="53" operator="equal">
      <formula>"AMBER"</formula>
    </cfRule>
  </conditionalFormatting>
  <conditionalFormatting sqref="G17">
    <cfRule type="cellIs" dxfId="1729" priority="54" operator="equal">
      <formula>"RED"</formula>
    </cfRule>
  </conditionalFormatting>
  <conditionalFormatting sqref="G17">
    <cfRule type="cellIs" dxfId="1728" priority="55" operator="equal">
      <formula>"GREEN"</formula>
    </cfRule>
  </conditionalFormatting>
  <conditionalFormatting sqref="G18">
    <cfRule type="cellIs" dxfId="1727" priority="56" operator="equal">
      <formula>"AMBER"</formula>
    </cfRule>
  </conditionalFormatting>
  <conditionalFormatting sqref="G18">
    <cfRule type="cellIs" dxfId="1726" priority="57" operator="equal">
      <formula>"RED"</formula>
    </cfRule>
  </conditionalFormatting>
  <conditionalFormatting sqref="G18">
    <cfRule type="cellIs" dxfId="1725" priority="58" operator="equal">
      <formula>"GREEN"</formula>
    </cfRule>
  </conditionalFormatting>
  <conditionalFormatting sqref="G19">
    <cfRule type="cellIs" dxfId="1724" priority="59" operator="equal">
      <formula>"AMBER"</formula>
    </cfRule>
  </conditionalFormatting>
  <conditionalFormatting sqref="G19">
    <cfRule type="cellIs" dxfId="1723" priority="60" operator="equal">
      <formula>"RED"</formula>
    </cfRule>
  </conditionalFormatting>
  <conditionalFormatting sqref="G19">
    <cfRule type="cellIs" dxfId="1722" priority="61" operator="equal">
      <formula>"GREEN"</formula>
    </cfRule>
  </conditionalFormatting>
  <conditionalFormatting sqref="G20">
    <cfRule type="cellIs" dxfId="1721" priority="62" operator="equal">
      <formula>"AMBER"</formula>
    </cfRule>
  </conditionalFormatting>
  <conditionalFormatting sqref="G20">
    <cfRule type="cellIs" dxfId="1720" priority="63" operator="equal">
      <formula>"RED"</formula>
    </cfRule>
  </conditionalFormatting>
  <conditionalFormatting sqref="G20">
    <cfRule type="cellIs" dxfId="1719" priority="64" operator="equal">
      <formula>"GREEN"</formula>
    </cfRule>
  </conditionalFormatting>
  <conditionalFormatting sqref="G21">
    <cfRule type="cellIs" dxfId="1718" priority="65" operator="equal">
      <formula>"AMBER"</formula>
    </cfRule>
  </conditionalFormatting>
  <conditionalFormatting sqref="G21">
    <cfRule type="cellIs" dxfId="1717" priority="66" operator="equal">
      <formula>"RED"</formula>
    </cfRule>
  </conditionalFormatting>
  <conditionalFormatting sqref="G21">
    <cfRule type="cellIs" dxfId="1716" priority="67" operator="equal">
      <formula>"GREEN"</formula>
    </cfRule>
  </conditionalFormatting>
  <conditionalFormatting sqref="G22">
    <cfRule type="cellIs" dxfId="1715" priority="68" operator="equal">
      <formula>"AMBER"</formula>
    </cfRule>
  </conditionalFormatting>
  <conditionalFormatting sqref="G22">
    <cfRule type="cellIs" dxfId="1714" priority="69" operator="equal">
      <formula>"RED"</formula>
    </cfRule>
  </conditionalFormatting>
  <conditionalFormatting sqref="G22">
    <cfRule type="cellIs" dxfId="1713" priority="70" operator="equal">
      <formula>"GREEN"</formula>
    </cfRule>
  </conditionalFormatting>
  <conditionalFormatting sqref="G23">
    <cfRule type="cellIs" dxfId="1712" priority="71" operator="equal">
      <formula>"AMBER"</formula>
    </cfRule>
  </conditionalFormatting>
  <conditionalFormatting sqref="G23">
    <cfRule type="cellIs" dxfId="1711" priority="72" operator="equal">
      <formula>"RED"</formula>
    </cfRule>
  </conditionalFormatting>
  <conditionalFormatting sqref="G23">
    <cfRule type="cellIs" dxfId="1710" priority="73" operator="equal">
      <formula>"GREEN"</formula>
    </cfRule>
  </conditionalFormatting>
  <conditionalFormatting sqref="G24">
    <cfRule type="cellIs" dxfId="1709" priority="74" operator="equal">
      <formula>"AMBER"</formula>
    </cfRule>
  </conditionalFormatting>
  <conditionalFormatting sqref="G24">
    <cfRule type="cellIs" dxfId="1708" priority="75" operator="equal">
      <formula>"RED"</formula>
    </cfRule>
  </conditionalFormatting>
  <conditionalFormatting sqref="G24">
    <cfRule type="cellIs" dxfId="1707" priority="76" operator="equal">
      <formula>"GREEN"</formula>
    </cfRule>
  </conditionalFormatting>
  <conditionalFormatting sqref="G25">
    <cfRule type="cellIs" dxfId="1706" priority="77" operator="equal">
      <formula>"AMBER"</formula>
    </cfRule>
  </conditionalFormatting>
  <conditionalFormatting sqref="G25">
    <cfRule type="cellIs" dxfId="1705" priority="78" operator="equal">
      <formula>"RED"</formula>
    </cfRule>
  </conditionalFormatting>
  <conditionalFormatting sqref="G25">
    <cfRule type="cellIs" dxfId="1704" priority="79" operator="equal">
      <formula>"GREEN"</formula>
    </cfRule>
  </conditionalFormatting>
  <conditionalFormatting sqref="G26">
    <cfRule type="cellIs" dxfId="1703" priority="80" operator="equal">
      <formula>"AMBER"</formula>
    </cfRule>
  </conditionalFormatting>
  <conditionalFormatting sqref="G26">
    <cfRule type="cellIs" dxfId="1702" priority="81" operator="equal">
      <formula>"RED"</formula>
    </cfRule>
  </conditionalFormatting>
  <conditionalFormatting sqref="G26">
    <cfRule type="cellIs" dxfId="1701" priority="82" operator="equal">
      <formula>"GREEN"</formula>
    </cfRule>
  </conditionalFormatting>
  <conditionalFormatting sqref="G27">
    <cfRule type="cellIs" dxfId="1700" priority="83" operator="equal">
      <formula>"AMBER"</formula>
    </cfRule>
  </conditionalFormatting>
  <conditionalFormatting sqref="G27">
    <cfRule type="cellIs" dxfId="1699" priority="84" operator="equal">
      <formula>"RED"</formula>
    </cfRule>
  </conditionalFormatting>
  <conditionalFormatting sqref="G27">
    <cfRule type="cellIs" dxfId="1698" priority="85" operator="equal">
      <formula>"GREEN"</formula>
    </cfRule>
  </conditionalFormatting>
  <conditionalFormatting sqref="G28">
    <cfRule type="cellIs" dxfId="1697" priority="86" operator="equal">
      <formula>"AMBER"</formula>
    </cfRule>
  </conditionalFormatting>
  <conditionalFormatting sqref="G28">
    <cfRule type="cellIs" dxfId="1696" priority="87" operator="equal">
      <formula>"RED"</formula>
    </cfRule>
  </conditionalFormatting>
  <conditionalFormatting sqref="G28">
    <cfRule type="cellIs" dxfId="1695" priority="88" operator="equal">
      <formula>"GREEN"</formula>
    </cfRule>
  </conditionalFormatting>
  <conditionalFormatting sqref="G29">
    <cfRule type="cellIs" dxfId="1694" priority="89" operator="equal">
      <formula>"AMBER"</formula>
    </cfRule>
  </conditionalFormatting>
  <conditionalFormatting sqref="G29">
    <cfRule type="cellIs" dxfId="1693" priority="90" operator="equal">
      <formula>"RED"</formula>
    </cfRule>
  </conditionalFormatting>
  <conditionalFormatting sqref="G29">
    <cfRule type="cellIs" dxfId="1692" priority="91" operator="equal">
      <formula>"GREEN"</formula>
    </cfRule>
  </conditionalFormatting>
  <conditionalFormatting sqref="G30">
    <cfRule type="cellIs" dxfId="1691" priority="92" operator="equal">
      <formula>"AMBER"</formula>
    </cfRule>
  </conditionalFormatting>
  <conditionalFormatting sqref="G30">
    <cfRule type="cellIs" dxfId="1690" priority="93" operator="equal">
      <formula>"RED"</formula>
    </cfRule>
  </conditionalFormatting>
  <conditionalFormatting sqref="G30">
    <cfRule type="cellIs" dxfId="1689" priority="94" operator="equal">
      <formula>"GREEN"</formula>
    </cfRule>
  </conditionalFormatting>
  <conditionalFormatting sqref="G31">
    <cfRule type="cellIs" dxfId="1688" priority="95" operator="equal">
      <formula>"AMBER"</formula>
    </cfRule>
  </conditionalFormatting>
  <conditionalFormatting sqref="G31">
    <cfRule type="cellIs" dxfId="1687" priority="96" operator="equal">
      <formula>"RED"</formula>
    </cfRule>
  </conditionalFormatting>
  <conditionalFormatting sqref="G31">
    <cfRule type="cellIs" dxfId="1686" priority="97" operator="equal">
      <formula>"GREEN"</formula>
    </cfRule>
  </conditionalFormatting>
  <conditionalFormatting sqref="G32">
    <cfRule type="cellIs" dxfId="1685" priority="98" operator="equal">
      <formula>"AMBER"</formula>
    </cfRule>
  </conditionalFormatting>
  <conditionalFormatting sqref="G32">
    <cfRule type="cellIs" dxfId="1684" priority="99" operator="equal">
      <formula>"RED"</formula>
    </cfRule>
  </conditionalFormatting>
  <conditionalFormatting sqref="G32">
    <cfRule type="cellIs" dxfId="1683" priority="100" operator="equal">
      <formula>"GREEN"</formula>
    </cfRule>
  </conditionalFormatting>
  <conditionalFormatting sqref="H12">
    <cfRule type="cellIs" dxfId="1682" priority="101" operator="equal">
      <formula>"AMBER"</formula>
    </cfRule>
  </conditionalFormatting>
  <conditionalFormatting sqref="H12">
    <cfRule type="cellIs" dxfId="1681" priority="102" operator="equal">
      <formula>"RED"</formula>
    </cfRule>
  </conditionalFormatting>
  <conditionalFormatting sqref="H12">
    <cfRule type="cellIs" dxfId="1680" priority="103" operator="equal">
      <formula>"GREEN"</formula>
    </cfRule>
  </conditionalFormatting>
  <conditionalFormatting sqref="H13">
    <cfRule type="cellIs" dxfId="1679" priority="104" operator="equal">
      <formula>"AMBER"</formula>
    </cfRule>
  </conditionalFormatting>
  <conditionalFormatting sqref="H13">
    <cfRule type="cellIs" dxfId="1678" priority="105" operator="equal">
      <formula>"RED"</formula>
    </cfRule>
  </conditionalFormatting>
  <conditionalFormatting sqref="H13">
    <cfRule type="cellIs" dxfId="1677" priority="106" operator="equal">
      <formula>"GREEN"</formula>
    </cfRule>
  </conditionalFormatting>
  <conditionalFormatting sqref="H14">
    <cfRule type="cellIs" dxfId="1676" priority="107" operator="equal">
      <formula>"AMBER"</formula>
    </cfRule>
  </conditionalFormatting>
  <conditionalFormatting sqref="H14">
    <cfRule type="cellIs" dxfId="1675" priority="108" operator="equal">
      <formula>"RED"</formula>
    </cfRule>
  </conditionalFormatting>
  <conditionalFormatting sqref="H14">
    <cfRule type="cellIs" dxfId="1674" priority="109" operator="equal">
      <formula>"GREEN"</formula>
    </cfRule>
  </conditionalFormatting>
  <conditionalFormatting sqref="H15">
    <cfRule type="cellIs" dxfId="1673" priority="110" operator="equal">
      <formula>"AMBER"</formula>
    </cfRule>
  </conditionalFormatting>
  <conditionalFormatting sqref="H15">
    <cfRule type="cellIs" dxfId="1672" priority="111" operator="equal">
      <formula>"RED"</formula>
    </cfRule>
  </conditionalFormatting>
  <conditionalFormatting sqref="H15">
    <cfRule type="cellIs" dxfId="1671" priority="112" operator="equal">
      <formula>"GREEN"</formula>
    </cfRule>
  </conditionalFormatting>
  <conditionalFormatting sqref="H16">
    <cfRule type="cellIs" dxfId="1670" priority="113" operator="equal">
      <formula>"AMBER"</formula>
    </cfRule>
  </conditionalFormatting>
  <conditionalFormatting sqref="H16">
    <cfRule type="cellIs" dxfId="1669" priority="114" operator="equal">
      <formula>"RED"</formula>
    </cfRule>
  </conditionalFormatting>
  <conditionalFormatting sqref="H16">
    <cfRule type="cellIs" dxfId="1668" priority="115" operator="equal">
      <formula>"GREEN"</formula>
    </cfRule>
  </conditionalFormatting>
  <conditionalFormatting sqref="H17">
    <cfRule type="cellIs" dxfId="1667" priority="116" operator="equal">
      <formula>"AMBER"</formula>
    </cfRule>
  </conditionalFormatting>
  <conditionalFormatting sqref="H17">
    <cfRule type="cellIs" dxfId="1666" priority="117" operator="equal">
      <formula>"RED"</formula>
    </cfRule>
  </conditionalFormatting>
  <conditionalFormatting sqref="H17">
    <cfRule type="cellIs" dxfId="1665" priority="118" operator="equal">
      <formula>"GREEN"</formula>
    </cfRule>
  </conditionalFormatting>
  <conditionalFormatting sqref="H18">
    <cfRule type="cellIs" dxfId="1664" priority="119" operator="equal">
      <formula>"AMBER"</formula>
    </cfRule>
  </conditionalFormatting>
  <conditionalFormatting sqref="H18">
    <cfRule type="cellIs" dxfId="1663" priority="120" operator="equal">
      <formula>"RED"</formula>
    </cfRule>
  </conditionalFormatting>
  <conditionalFormatting sqref="H18">
    <cfRule type="cellIs" dxfId="1662" priority="121" operator="equal">
      <formula>"GREEN"</formula>
    </cfRule>
  </conditionalFormatting>
  <conditionalFormatting sqref="H19">
    <cfRule type="cellIs" dxfId="1661" priority="122" operator="equal">
      <formula>"AMBER"</formula>
    </cfRule>
  </conditionalFormatting>
  <conditionalFormatting sqref="H19">
    <cfRule type="cellIs" dxfId="1660" priority="123" operator="equal">
      <formula>"RED"</formula>
    </cfRule>
  </conditionalFormatting>
  <conditionalFormatting sqref="H19">
    <cfRule type="cellIs" dxfId="1659" priority="124" operator="equal">
      <formula>"GREEN"</formula>
    </cfRule>
  </conditionalFormatting>
  <conditionalFormatting sqref="H20">
    <cfRule type="cellIs" dxfId="1658" priority="125" operator="equal">
      <formula>"AMBER"</formula>
    </cfRule>
  </conditionalFormatting>
  <conditionalFormatting sqref="H20">
    <cfRule type="cellIs" dxfId="1657" priority="126" operator="equal">
      <formula>"RED"</formula>
    </cfRule>
  </conditionalFormatting>
  <conditionalFormatting sqref="H20">
    <cfRule type="cellIs" dxfId="1656" priority="127" operator="equal">
      <formula>"GREEN"</formula>
    </cfRule>
  </conditionalFormatting>
  <conditionalFormatting sqref="H21">
    <cfRule type="cellIs" dxfId="1655" priority="128" operator="equal">
      <formula>"AMBER"</formula>
    </cfRule>
  </conditionalFormatting>
  <conditionalFormatting sqref="H21">
    <cfRule type="cellIs" dxfId="1654" priority="129" operator="equal">
      <formula>"RED"</formula>
    </cfRule>
  </conditionalFormatting>
  <conditionalFormatting sqref="H21">
    <cfRule type="cellIs" dxfId="1653" priority="130" operator="equal">
      <formula>"GREEN"</formula>
    </cfRule>
  </conditionalFormatting>
  <conditionalFormatting sqref="H22">
    <cfRule type="cellIs" dxfId="1652" priority="131" operator="equal">
      <formula>"AMBER"</formula>
    </cfRule>
  </conditionalFormatting>
  <conditionalFormatting sqref="H22">
    <cfRule type="cellIs" dxfId="1651" priority="132" operator="equal">
      <formula>"RED"</formula>
    </cfRule>
  </conditionalFormatting>
  <conditionalFormatting sqref="H22">
    <cfRule type="cellIs" dxfId="1650" priority="133" operator="equal">
      <formula>"GREEN"</formula>
    </cfRule>
  </conditionalFormatting>
  <conditionalFormatting sqref="H23">
    <cfRule type="cellIs" dxfId="1649" priority="134" operator="equal">
      <formula>"AMBER"</formula>
    </cfRule>
  </conditionalFormatting>
  <conditionalFormatting sqref="H23">
    <cfRule type="cellIs" dxfId="1648" priority="135" operator="equal">
      <formula>"RED"</formula>
    </cfRule>
  </conditionalFormatting>
  <conditionalFormatting sqref="H23">
    <cfRule type="cellIs" dxfId="1647" priority="136" operator="equal">
      <formula>"GREEN"</formula>
    </cfRule>
  </conditionalFormatting>
  <conditionalFormatting sqref="H24">
    <cfRule type="cellIs" dxfId="1646" priority="137" operator="equal">
      <formula>"AMBER"</formula>
    </cfRule>
  </conditionalFormatting>
  <conditionalFormatting sqref="H24">
    <cfRule type="cellIs" dxfId="1645" priority="138" operator="equal">
      <formula>"RED"</formula>
    </cfRule>
  </conditionalFormatting>
  <conditionalFormatting sqref="H24">
    <cfRule type="cellIs" dxfId="1644" priority="139" operator="equal">
      <formula>"GREEN"</formula>
    </cfRule>
  </conditionalFormatting>
  <conditionalFormatting sqref="H25">
    <cfRule type="cellIs" dxfId="1643" priority="140" operator="equal">
      <formula>"AMBER"</formula>
    </cfRule>
  </conditionalFormatting>
  <conditionalFormatting sqref="H25">
    <cfRule type="cellIs" dxfId="1642" priority="141" operator="equal">
      <formula>"RED"</formula>
    </cfRule>
  </conditionalFormatting>
  <conditionalFormatting sqref="H25">
    <cfRule type="cellIs" dxfId="1641" priority="142" operator="equal">
      <formula>"GREEN"</formula>
    </cfRule>
  </conditionalFormatting>
  <conditionalFormatting sqref="H26">
    <cfRule type="cellIs" dxfId="1640" priority="143" operator="equal">
      <formula>"AMBER"</formula>
    </cfRule>
  </conditionalFormatting>
  <conditionalFormatting sqref="H26">
    <cfRule type="cellIs" dxfId="1639" priority="144" operator="equal">
      <formula>"RED"</formula>
    </cfRule>
  </conditionalFormatting>
  <conditionalFormatting sqref="H26">
    <cfRule type="cellIs" dxfId="1638" priority="145" operator="equal">
      <formula>"GREEN"</formula>
    </cfRule>
  </conditionalFormatting>
  <conditionalFormatting sqref="H27">
    <cfRule type="cellIs" dxfId="1637" priority="146" operator="equal">
      <formula>"AMBER"</formula>
    </cfRule>
  </conditionalFormatting>
  <conditionalFormatting sqref="H27">
    <cfRule type="cellIs" dxfId="1636" priority="147" operator="equal">
      <formula>"RED"</formula>
    </cfRule>
  </conditionalFormatting>
  <conditionalFormatting sqref="H27">
    <cfRule type="cellIs" dxfId="1635" priority="148" operator="equal">
      <formula>"GREEN"</formula>
    </cfRule>
  </conditionalFormatting>
  <conditionalFormatting sqref="H28">
    <cfRule type="cellIs" dxfId="1634" priority="149" operator="equal">
      <formula>"AMBER"</formula>
    </cfRule>
  </conditionalFormatting>
  <conditionalFormatting sqref="H28">
    <cfRule type="cellIs" dxfId="1633" priority="150" operator="equal">
      <formula>"RED"</formula>
    </cfRule>
  </conditionalFormatting>
  <conditionalFormatting sqref="H28">
    <cfRule type="cellIs" dxfId="1632" priority="151" operator="equal">
      <formula>"GREEN"</formula>
    </cfRule>
  </conditionalFormatting>
  <conditionalFormatting sqref="H29">
    <cfRule type="cellIs" dxfId="1631" priority="152" operator="equal">
      <formula>"AMBER"</formula>
    </cfRule>
  </conditionalFormatting>
  <conditionalFormatting sqref="H29">
    <cfRule type="cellIs" dxfId="1630" priority="153" operator="equal">
      <formula>"RED"</formula>
    </cfRule>
  </conditionalFormatting>
  <conditionalFormatting sqref="H29">
    <cfRule type="cellIs" dxfId="1629" priority="154" operator="equal">
      <formula>"GREEN"</formula>
    </cfRule>
  </conditionalFormatting>
  <conditionalFormatting sqref="H30">
    <cfRule type="cellIs" dxfId="1628" priority="155" operator="equal">
      <formula>"AMBER"</formula>
    </cfRule>
  </conditionalFormatting>
  <conditionalFormatting sqref="H30">
    <cfRule type="cellIs" dxfId="1627" priority="156" operator="equal">
      <formula>"RED"</formula>
    </cfRule>
  </conditionalFormatting>
  <conditionalFormatting sqref="H30">
    <cfRule type="cellIs" dxfId="1626" priority="157" operator="equal">
      <formula>"GREEN"</formula>
    </cfRule>
  </conditionalFormatting>
  <conditionalFormatting sqref="H31">
    <cfRule type="cellIs" dxfId="1625" priority="158" operator="equal">
      <formula>"AMBER"</formula>
    </cfRule>
  </conditionalFormatting>
  <conditionalFormatting sqref="H31">
    <cfRule type="cellIs" dxfId="1624" priority="159" operator="equal">
      <formula>"RED"</formula>
    </cfRule>
  </conditionalFormatting>
  <conditionalFormatting sqref="H31">
    <cfRule type="cellIs" dxfId="1623" priority="160" operator="equal">
      <formula>"GREEN"</formula>
    </cfRule>
  </conditionalFormatting>
  <conditionalFormatting sqref="H32">
    <cfRule type="cellIs" dxfId="1622" priority="161" operator="equal">
      <formula>"AMBER"</formula>
    </cfRule>
  </conditionalFormatting>
  <conditionalFormatting sqref="H32">
    <cfRule type="cellIs" dxfId="1621" priority="162" operator="equal">
      <formula>"RED"</formula>
    </cfRule>
  </conditionalFormatting>
  <conditionalFormatting sqref="H32">
    <cfRule type="cellIs" dxfId="1620" priority="163" operator="equal">
      <formula>"GREEN"</formula>
    </cfRule>
  </conditionalFormatting>
  <conditionalFormatting sqref="I12">
    <cfRule type="cellIs" dxfId="1619" priority="164" operator="equal">
      <formula>"AMBER"</formula>
    </cfRule>
  </conditionalFormatting>
  <conditionalFormatting sqref="I12">
    <cfRule type="cellIs" dxfId="1618" priority="165" operator="equal">
      <formula>"RED"</formula>
    </cfRule>
  </conditionalFormatting>
  <conditionalFormatting sqref="I12">
    <cfRule type="cellIs" dxfId="1617" priority="166" operator="equal">
      <formula>"GREEN"</formula>
    </cfRule>
  </conditionalFormatting>
  <conditionalFormatting sqref="I13">
    <cfRule type="cellIs" dxfId="1616" priority="167" operator="equal">
      <formula>"AMBER"</formula>
    </cfRule>
  </conditionalFormatting>
  <conditionalFormatting sqref="I13">
    <cfRule type="cellIs" dxfId="1615" priority="168" operator="equal">
      <formula>"RED"</formula>
    </cfRule>
  </conditionalFormatting>
  <conditionalFormatting sqref="I13">
    <cfRule type="cellIs" dxfId="1614" priority="169" operator="equal">
      <formula>"GREEN"</formula>
    </cfRule>
  </conditionalFormatting>
  <conditionalFormatting sqref="I14">
    <cfRule type="cellIs" dxfId="1613" priority="170" operator="equal">
      <formula>"AMBER"</formula>
    </cfRule>
  </conditionalFormatting>
  <conditionalFormatting sqref="I14">
    <cfRule type="cellIs" dxfId="1612" priority="171" operator="equal">
      <formula>"RED"</formula>
    </cfRule>
  </conditionalFormatting>
  <conditionalFormatting sqref="I14">
    <cfRule type="cellIs" dxfId="1611" priority="172" operator="equal">
      <formula>"GREEN"</formula>
    </cfRule>
  </conditionalFormatting>
  <conditionalFormatting sqref="I15">
    <cfRule type="cellIs" dxfId="1610" priority="173" operator="equal">
      <formula>"AMBER"</formula>
    </cfRule>
  </conditionalFormatting>
  <conditionalFormatting sqref="I15">
    <cfRule type="cellIs" dxfId="1609" priority="174" operator="equal">
      <formula>"RED"</formula>
    </cfRule>
  </conditionalFormatting>
  <conditionalFormatting sqref="I15">
    <cfRule type="cellIs" dxfId="1608" priority="175" operator="equal">
      <formula>"GREEN"</formula>
    </cfRule>
  </conditionalFormatting>
  <conditionalFormatting sqref="I16">
    <cfRule type="cellIs" dxfId="1607" priority="176" operator="equal">
      <formula>"AMBER"</formula>
    </cfRule>
  </conditionalFormatting>
  <conditionalFormatting sqref="I16">
    <cfRule type="cellIs" dxfId="1606" priority="177" operator="equal">
      <formula>"RED"</formula>
    </cfRule>
  </conditionalFormatting>
  <conditionalFormatting sqref="I16">
    <cfRule type="cellIs" dxfId="1605" priority="178" operator="equal">
      <formula>"GREEN"</formula>
    </cfRule>
  </conditionalFormatting>
  <conditionalFormatting sqref="I17">
    <cfRule type="cellIs" dxfId="1604" priority="179" operator="equal">
      <formula>"AMBER"</formula>
    </cfRule>
  </conditionalFormatting>
  <conditionalFormatting sqref="I17">
    <cfRule type="cellIs" dxfId="1603" priority="180" operator="equal">
      <formula>"RED"</formula>
    </cfRule>
  </conditionalFormatting>
  <conditionalFormatting sqref="I17">
    <cfRule type="cellIs" dxfId="1602" priority="181" operator="equal">
      <formula>"GREEN"</formula>
    </cfRule>
  </conditionalFormatting>
  <conditionalFormatting sqref="I18">
    <cfRule type="cellIs" dxfId="1601" priority="182" operator="equal">
      <formula>"AMBER"</formula>
    </cfRule>
  </conditionalFormatting>
  <conditionalFormatting sqref="I18">
    <cfRule type="cellIs" dxfId="1600" priority="183" operator="equal">
      <formula>"RED"</formula>
    </cfRule>
  </conditionalFormatting>
  <conditionalFormatting sqref="I18">
    <cfRule type="cellIs" dxfId="1599" priority="184" operator="equal">
      <formula>"GREEN"</formula>
    </cfRule>
  </conditionalFormatting>
  <conditionalFormatting sqref="I19">
    <cfRule type="cellIs" dxfId="1598" priority="185" operator="equal">
      <formula>"AMBER"</formula>
    </cfRule>
  </conditionalFormatting>
  <conditionalFormatting sqref="I19">
    <cfRule type="cellIs" dxfId="1597" priority="186" operator="equal">
      <formula>"RED"</formula>
    </cfRule>
  </conditionalFormatting>
  <conditionalFormatting sqref="I19">
    <cfRule type="cellIs" dxfId="1596" priority="187" operator="equal">
      <formula>"GREEN"</formula>
    </cfRule>
  </conditionalFormatting>
  <conditionalFormatting sqref="I20">
    <cfRule type="cellIs" dxfId="1595" priority="188" operator="equal">
      <formula>"AMBER"</formula>
    </cfRule>
  </conditionalFormatting>
  <conditionalFormatting sqref="I20">
    <cfRule type="cellIs" dxfId="1594" priority="189" operator="equal">
      <formula>"RED"</formula>
    </cfRule>
  </conditionalFormatting>
  <conditionalFormatting sqref="I20">
    <cfRule type="cellIs" dxfId="1593" priority="190" operator="equal">
      <formula>"GREEN"</formula>
    </cfRule>
  </conditionalFormatting>
  <conditionalFormatting sqref="I21">
    <cfRule type="cellIs" dxfId="1592" priority="191" operator="equal">
      <formula>"AMBER"</formula>
    </cfRule>
  </conditionalFormatting>
  <conditionalFormatting sqref="I21">
    <cfRule type="cellIs" dxfId="1591" priority="192" operator="equal">
      <formula>"RED"</formula>
    </cfRule>
  </conditionalFormatting>
  <conditionalFormatting sqref="I21">
    <cfRule type="cellIs" dxfId="1590" priority="193" operator="equal">
      <formula>"GREEN"</formula>
    </cfRule>
  </conditionalFormatting>
  <conditionalFormatting sqref="I22">
    <cfRule type="cellIs" dxfId="1589" priority="194" operator="equal">
      <formula>"AMBER"</formula>
    </cfRule>
  </conditionalFormatting>
  <conditionalFormatting sqref="I22">
    <cfRule type="cellIs" dxfId="1588" priority="195" operator="equal">
      <formula>"RED"</formula>
    </cfRule>
  </conditionalFormatting>
  <conditionalFormatting sqref="I22">
    <cfRule type="cellIs" dxfId="1587" priority="196" operator="equal">
      <formula>"GREEN"</formula>
    </cfRule>
  </conditionalFormatting>
  <conditionalFormatting sqref="I23">
    <cfRule type="cellIs" dxfId="1586" priority="197" operator="equal">
      <formula>"AMBER"</formula>
    </cfRule>
  </conditionalFormatting>
  <conditionalFormatting sqref="I23">
    <cfRule type="cellIs" dxfId="1585" priority="198" operator="equal">
      <formula>"RED"</formula>
    </cfRule>
  </conditionalFormatting>
  <conditionalFormatting sqref="I23">
    <cfRule type="cellIs" dxfId="1584" priority="199" operator="equal">
      <formula>"GREEN"</formula>
    </cfRule>
  </conditionalFormatting>
  <conditionalFormatting sqref="I24">
    <cfRule type="cellIs" dxfId="1583" priority="200" operator="equal">
      <formula>"AMBER"</formula>
    </cfRule>
  </conditionalFormatting>
  <conditionalFormatting sqref="I24">
    <cfRule type="cellIs" dxfId="1582" priority="201" operator="equal">
      <formula>"RED"</formula>
    </cfRule>
  </conditionalFormatting>
  <conditionalFormatting sqref="I24">
    <cfRule type="cellIs" dxfId="1581" priority="202" operator="equal">
      <formula>"GREEN"</formula>
    </cfRule>
  </conditionalFormatting>
  <conditionalFormatting sqref="I25">
    <cfRule type="cellIs" dxfId="1580" priority="203" operator="equal">
      <formula>"AMBER"</formula>
    </cfRule>
  </conditionalFormatting>
  <conditionalFormatting sqref="I25">
    <cfRule type="cellIs" dxfId="1579" priority="204" operator="equal">
      <formula>"RED"</formula>
    </cfRule>
  </conditionalFormatting>
  <conditionalFormatting sqref="I25">
    <cfRule type="cellIs" dxfId="1578" priority="205" operator="equal">
      <formula>"GREEN"</formula>
    </cfRule>
  </conditionalFormatting>
  <conditionalFormatting sqref="I26">
    <cfRule type="cellIs" dxfId="1577" priority="206" operator="equal">
      <formula>"AMBER"</formula>
    </cfRule>
  </conditionalFormatting>
  <conditionalFormatting sqref="I26">
    <cfRule type="cellIs" dxfId="1576" priority="207" operator="equal">
      <formula>"RED"</formula>
    </cfRule>
  </conditionalFormatting>
  <conditionalFormatting sqref="I26">
    <cfRule type="cellIs" dxfId="1575" priority="208" operator="equal">
      <formula>"GREEN"</formula>
    </cfRule>
  </conditionalFormatting>
  <conditionalFormatting sqref="I27">
    <cfRule type="cellIs" dxfId="1574" priority="209" operator="equal">
      <formula>"AMBER"</formula>
    </cfRule>
  </conditionalFormatting>
  <conditionalFormatting sqref="I27">
    <cfRule type="cellIs" dxfId="1573" priority="210" operator="equal">
      <formula>"RED"</formula>
    </cfRule>
  </conditionalFormatting>
  <conditionalFormatting sqref="I27">
    <cfRule type="cellIs" dxfId="1572" priority="211" operator="equal">
      <formula>"GREEN"</formula>
    </cfRule>
  </conditionalFormatting>
  <conditionalFormatting sqref="I28">
    <cfRule type="cellIs" dxfId="1571" priority="212" operator="equal">
      <formula>"AMBER"</formula>
    </cfRule>
  </conditionalFormatting>
  <conditionalFormatting sqref="I28">
    <cfRule type="cellIs" dxfId="1570" priority="213" operator="equal">
      <formula>"RED"</formula>
    </cfRule>
  </conditionalFormatting>
  <conditionalFormatting sqref="I28">
    <cfRule type="cellIs" dxfId="1569" priority="214" operator="equal">
      <formula>"GREEN"</formula>
    </cfRule>
  </conditionalFormatting>
  <conditionalFormatting sqref="I29">
    <cfRule type="cellIs" dxfId="1568" priority="215" operator="equal">
      <formula>"AMBER"</formula>
    </cfRule>
  </conditionalFormatting>
  <conditionalFormatting sqref="I29">
    <cfRule type="cellIs" dxfId="1567" priority="216" operator="equal">
      <formula>"RED"</formula>
    </cfRule>
  </conditionalFormatting>
  <conditionalFormatting sqref="I29">
    <cfRule type="cellIs" dxfId="1566" priority="217" operator="equal">
      <formula>"GREEN"</formula>
    </cfRule>
  </conditionalFormatting>
  <conditionalFormatting sqref="I30">
    <cfRule type="cellIs" dxfId="1565" priority="218" operator="equal">
      <formula>"AMBER"</formula>
    </cfRule>
  </conditionalFormatting>
  <conditionalFormatting sqref="I30">
    <cfRule type="cellIs" dxfId="1564" priority="219" operator="equal">
      <formula>"RED"</formula>
    </cfRule>
  </conditionalFormatting>
  <conditionalFormatting sqref="I30">
    <cfRule type="cellIs" dxfId="1563" priority="220" operator="equal">
      <formula>"GREEN"</formula>
    </cfRule>
  </conditionalFormatting>
  <conditionalFormatting sqref="I31">
    <cfRule type="cellIs" dxfId="1562" priority="221" operator="equal">
      <formula>"AMBER"</formula>
    </cfRule>
  </conditionalFormatting>
  <conditionalFormatting sqref="I31">
    <cfRule type="cellIs" dxfId="1561" priority="222" operator="equal">
      <formula>"RED"</formula>
    </cfRule>
  </conditionalFormatting>
  <conditionalFormatting sqref="I31">
    <cfRule type="cellIs" dxfId="1560" priority="223" operator="equal">
      <formula>"GREEN"</formula>
    </cfRule>
  </conditionalFormatting>
  <conditionalFormatting sqref="I32">
    <cfRule type="cellIs" dxfId="1559" priority="224" operator="equal">
      <formula>"AMBER"</formula>
    </cfRule>
  </conditionalFormatting>
  <conditionalFormatting sqref="I32">
    <cfRule type="cellIs" dxfId="1558" priority="225" operator="equal">
      <formula>"RED"</formula>
    </cfRule>
  </conditionalFormatting>
  <conditionalFormatting sqref="I32">
    <cfRule type="cellIs" dxfId="1557" priority="226" operator="equal">
      <formula>"GREEN"</formula>
    </cfRule>
  </conditionalFormatting>
  <conditionalFormatting sqref="J12">
    <cfRule type="cellIs" dxfId="1556" priority="227" operator="equal">
      <formula>"AMBER"</formula>
    </cfRule>
  </conditionalFormatting>
  <conditionalFormatting sqref="J12">
    <cfRule type="cellIs" dxfId="1555" priority="228" operator="equal">
      <formula>"RED"</formula>
    </cfRule>
  </conditionalFormatting>
  <conditionalFormatting sqref="J12">
    <cfRule type="cellIs" dxfId="1554" priority="229" operator="equal">
      <formula>"GREEN"</formula>
    </cfRule>
  </conditionalFormatting>
  <conditionalFormatting sqref="J13">
    <cfRule type="cellIs" dxfId="1553" priority="230" operator="equal">
      <formula>"AMBER"</formula>
    </cfRule>
  </conditionalFormatting>
  <conditionalFormatting sqref="J13">
    <cfRule type="cellIs" dxfId="1552" priority="231" operator="equal">
      <formula>"RED"</formula>
    </cfRule>
  </conditionalFormatting>
  <conditionalFormatting sqref="J13">
    <cfRule type="cellIs" dxfId="1551" priority="232" operator="equal">
      <formula>"GREEN"</formula>
    </cfRule>
  </conditionalFormatting>
  <conditionalFormatting sqref="J14">
    <cfRule type="cellIs" dxfId="1550" priority="233" operator="equal">
      <formula>"AMBER"</formula>
    </cfRule>
  </conditionalFormatting>
  <conditionalFormatting sqref="J14">
    <cfRule type="cellIs" dxfId="1549" priority="234" operator="equal">
      <formula>"RED"</formula>
    </cfRule>
  </conditionalFormatting>
  <conditionalFormatting sqref="J14">
    <cfRule type="cellIs" dxfId="1548" priority="235" operator="equal">
      <formula>"GREEN"</formula>
    </cfRule>
  </conditionalFormatting>
  <conditionalFormatting sqref="J15">
    <cfRule type="cellIs" dxfId="1547" priority="236" operator="equal">
      <formula>"AMBER"</formula>
    </cfRule>
  </conditionalFormatting>
  <conditionalFormatting sqref="J15">
    <cfRule type="cellIs" dxfId="1546" priority="237" operator="equal">
      <formula>"RED"</formula>
    </cfRule>
  </conditionalFormatting>
  <conditionalFormatting sqref="J15">
    <cfRule type="cellIs" dxfId="1545" priority="238" operator="equal">
      <formula>"GREEN"</formula>
    </cfRule>
  </conditionalFormatting>
  <conditionalFormatting sqref="J16">
    <cfRule type="cellIs" dxfId="1544" priority="239" operator="equal">
      <formula>"AMBER"</formula>
    </cfRule>
  </conditionalFormatting>
  <conditionalFormatting sqref="J16">
    <cfRule type="cellIs" dxfId="1543" priority="240" operator="equal">
      <formula>"RED"</formula>
    </cfRule>
  </conditionalFormatting>
  <conditionalFormatting sqref="J16">
    <cfRule type="cellIs" dxfId="1542" priority="241" operator="equal">
      <formula>"GREEN"</formula>
    </cfRule>
  </conditionalFormatting>
  <conditionalFormatting sqref="J17">
    <cfRule type="cellIs" dxfId="1541" priority="242" operator="equal">
      <formula>"AMBER"</formula>
    </cfRule>
  </conditionalFormatting>
  <conditionalFormatting sqref="J17">
    <cfRule type="cellIs" dxfId="1540" priority="243" operator="equal">
      <formula>"RED"</formula>
    </cfRule>
  </conditionalFormatting>
  <conditionalFormatting sqref="J17">
    <cfRule type="cellIs" dxfId="1539" priority="244" operator="equal">
      <formula>"GREEN"</formula>
    </cfRule>
  </conditionalFormatting>
  <conditionalFormatting sqref="J18">
    <cfRule type="cellIs" dxfId="1538" priority="245" operator="equal">
      <formula>"AMBER"</formula>
    </cfRule>
  </conditionalFormatting>
  <conditionalFormatting sqref="J18">
    <cfRule type="cellIs" dxfId="1537" priority="246" operator="equal">
      <formula>"RED"</formula>
    </cfRule>
  </conditionalFormatting>
  <conditionalFormatting sqref="J18">
    <cfRule type="cellIs" dxfId="1536" priority="247" operator="equal">
      <formula>"GREEN"</formula>
    </cfRule>
  </conditionalFormatting>
  <conditionalFormatting sqref="J19">
    <cfRule type="cellIs" dxfId="1535" priority="248" operator="equal">
      <formula>"AMBER"</formula>
    </cfRule>
  </conditionalFormatting>
  <conditionalFormatting sqref="J19">
    <cfRule type="cellIs" dxfId="1534" priority="249" operator="equal">
      <formula>"RED"</formula>
    </cfRule>
  </conditionalFormatting>
  <conditionalFormatting sqref="J19">
    <cfRule type="cellIs" dxfId="1533" priority="250" operator="equal">
      <formula>"GREEN"</formula>
    </cfRule>
  </conditionalFormatting>
  <conditionalFormatting sqref="J20">
    <cfRule type="cellIs" dxfId="1532" priority="251" operator="equal">
      <formula>"AMBER"</formula>
    </cfRule>
  </conditionalFormatting>
  <conditionalFormatting sqref="J20">
    <cfRule type="cellIs" dxfId="1531" priority="252" operator="equal">
      <formula>"RED"</formula>
    </cfRule>
  </conditionalFormatting>
  <conditionalFormatting sqref="J20">
    <cfRule type="cellIs" dxfId="1530" priority="253" operator="equal">
      <formula>"GREEN"</formula>
    </cfRule>
  </conditionalFormatting>
  <conditionalFormatting sqref="J21">
    <cfRule type="cellIs" dxfId="1529" priority="254" operator="equal">
      <formula>"AMBER"</formula>
    </cfRule>
  </conditionalFormatting>
  <conditionalFormatting sqref="J21">
    <cfRule type="cellIs" dxfId="1528" priority="255" operator="equal">
      <formula>"RED"</formula>
    </cfRule>
  </conditionalFormatting>
  <conditionalFormatting sqref="J21">
    <cfRule type="cellIs" dxfId="1527" priority="256" operator="equal">
      <formula>"GREEN"</formula>
    </cfRule>
  </conditionalFormatting>
  <conditionalFormatting sqref="J22">
    <cfRule type="cellIs" dxfId="1526" priority="257" operator="equal">
      <formula>"AMBER"</formula>
    </cfRule>
  </conditionalFormatting>
  <conditionalFormatting sqref="J22">
    <cfRule type="cellIs" dxfId="1525" priority="258" operator="equal">
      <formula>"RED"</formula>
    </cfRule>
  </conditionalFormatting>
  <conditionalFormatting sqref="J22">
    <cfRule type="cellIs" dxfId="1524" priority="259" operator="equal">
      <formula>"GREEN"</formula>
    </cfRule>
  </conditionalFormatting>
  <conditionalFormatting sqref="J23">
    <cfRule type="cellIs" dxfId="1523" priority="260" operator="equal">
      <formula>"AMBER"</formula>
    </cfRule>
  </conditionalFormatting>
  <conditionalFormatting sqref="J23">
    <cfRule type="cellIs" dxfId="1522" priority="261" operator="equal">
      <formula>"RED"</formula>
    </cfRule>
  </conditionalFormatting>
  <conditionalFormatting sqref="J23">
    <cfRule type="cellIs" dxfId="1521" priority="262" operator="equal">
      <formula>"GREEN"</formula>
    </cfRule>
  </conditionalFormatting>
  <conditionalFormatting sqref="J24">
    <cfRule type="cellIs" dxfId="1520" priority="263" operator="equal">
      <formula>"AMBER"</formula>
    </cfRule>
  </conditionalFormatting>
  <conditionalFormatting sqref="J24">
    <cfRule type="cellIs" dxfId="1519" priority="264" operator="equal">
      <formula>"RED"</formula>
    </cfRule>
  </conditionalFormatting>
  <conditionalFormatting sqref="J24">
    <cfRule type="cellIs" dxfId="1518" priority="265" operator="equal">
      <formula>"GREEN"</formula>
    </cfRule>
  </conditionalFormatting>
  <conditionalFormatting sqref="J25">
    <cfRule type="cellIs" dxfId="1517" priority="266" operator="equal">
      <formula>"AMBER"</formula>
    </cfRule>
  </conditionalFormatting>
  <conditionalFormatting sqref="J25">
    <cfRule type="cellIs" dxfId="1516" priority="267" operator="equal">
      <formula>"RED"</formula>
    </cfRule>
  </conditionalFormatting>
  <conditionalFormatting sqref="J25">
    <cfRule type="cellIs" dxfId="1515" priority="268" operator="equal">
      <formula>"GREEN"</formula>
    </cfRule>
  </conditionalFormatting>
  <conditionalFormatting sqref="J26">
    <cfRule type="cellIs" dxfId="1514" priority="269" operator="equal">
      <formula>"AMBER"</formula>
    </cfRule>
  </conditionalFormatting>
  <conditionalFormatting sqref="J26">
    <cfRule type="cellIs" dxfId="1513" priority="270" operator="equal">
      <formula>"RED"</formula>
    </cfRule>
  </conditionalFormatting>
  <conditionalFormatting sqref="J26">
    <cfRule type="cellIs" dxfId="1512" priority="271" operator="equal">
      <formula>"GREEN"</formula>
    </cfRule>
  </conditionalFormatting>
  <conditionalFormatting sqref="J27">
    <cfRule type="cellIs" dxfId="1511" priority="272" operator="equal">
      <formula>"AMBER"</formula>
    </cfRule>
  </conditionalFormatting>
  <conditionalFormatting sqref="J27">
    <cfRule type="cellIs" dxfId="1510" priority="273" operator="equal">
      <formula>"RED"</formula>
    </cfRule>
  </conditionalFormatting>
  <conditionalFormatting sqref="J27">
    <cfRule type="cellIs" dxfId="1509" priority="274" operator="equal">
      <formula>"GREEN"</formula>
    </cfRule>
  </conditionalFormatting>
  <conditionalFormatting sqref="J28">
    <cfRule type="cellIs" dxfId="1508" priority="275" operator="equal">
      <formula>"AMBER"</formula>
    </cfRule>
  </conditionalFormatting>
  <conditionalFormatting sqref="J28">
    <cfRule type="cellIs" dxfId="1507" priority="276" operator="equal">
      <formula>"RED"</formula>
    </cfRule>
  </conditionalFormatting>
  <conditionalFormatting sqref="J28">
    <cfRule type="cellIs" dxfId="1506" priority="277" operator="equal">
      <formula>"GREEN"</formula>
    </cfRule>
  </conditionalFormatting>
  <conditionalFormatting sqref="J29">
    <cfRule type="cellIs" dxfId="1505" priority="278" operator="equal">
      <formula>"AMBER"</formula>
    </cfRule>
  </conditionalFormatting>
  <conditionalFormatting sqref="J29">
    <cfRule type="cellIs" dxfId="1504" priority="279" operator="equal">
      <formula>"RED"</formula>
    </cfRule>
  </conditionalFormatting>
  <conditionalFormatting sqref="J29">
    <cfRule type="cellIs" dxfId="1503" priority="280" operator="equal">
      <formula>"GREEN"</formula>
    </cfRule>
  </conditionalFormatting>
  <conditionalFormatting sqref="J30">
    <cfRule type="cellIs" dxfId="1502" priority="281" operator="equal">
      <formula>"AMBER"</formula>
    </cfRule>
  </conditionalFormatting>
  <conditionalFormatting sqref="J30">
    <cfRule type="cellIs" dxfId="1501" priority="282" operator="equal">
      <formula>"RED"</formula>
    </cfRule>
  </conditionalFormatting>
  <conditionalFormatting sqref="J30">
    <cfRule type="cellIs" dxfId="1500" priority="283" operator="equal">
      <formula>"GREEN"</formula>
    </cfRule>
  </conditionalFormatting>
  <conditionalFormatting sqref="J31">
    <cfRule type="cellIs" dxfId="1499" priority="284" operator="equal">
      <formula>"AMBER"</formula>
    </cfRule>
  </conditionalFormatting>
  <conditionalFormatting sqref="J31">
    <cfRule type="cellIs" dxfId="1498" priority="285" operator="equal">
      <formula>"RED"</formula>
    </cfRule>
  </conditionalFormatting>
  <conditionalFormatting sqref="J31">
    <cfRule type="cellIs" dxfId="1497" priority="286" operator="equal">
      <formula>"GREEN"</formula>
    </cfRule>
  </conditionalFormatting>
  <conditionalFormatting sqref="J32">
    <cfRule type="cellIs" dxfId="1496" priority="287" operator="equal">
      <formula>"AMBER"</formula>
    </cfRule>
  </conditionalFormatting>
  <conditionalFormatting sqref="J32">
    <cfRule type="cellIs" dxfId="1495" priority="288" operator="equal">
      <formula>"RED"</formula>
    </cfRule>
  </conditionalFormatting>
  <conditionalFormatting sqref="J32">
    <cfRule type="cellIs" dxfId="1494" priority="289" operator="equal">
      <formula>"GREEN"</formula>
    </cfRule>
  </conditionalFormatting>
  <conditionalFormatting sqref="K12">
    <cfRule type="cellIs" dxfId="1493" priority="290" operator="equal">
      <formula>"AMBER"</formula>
    </cfRule>
  </conditionalFormatting>
  <conditionalFormatting sqref="K12">
    <cfRule type="cellIs" dxfId="1492" priority="291" operator="equal">
      <formula>"RED"</formula>
    </cfRule>
  </conditionalFormatting>
  <conditionalFormatting sqref="K12">
    <cfRule type="cellIs" dxfId="1491" priority="292" operator="equal">
      <formula>"GREEN"</formula>
    </cfRule>
  </conditionalFormatting>
  <conditionalFormatting sqref="K13">
    <cfRule type="cellIs" dxfId="1490" priority="293" operator="equal">
      <formula>"AMBER"</formula>
    </cfRule>
  </conditionalFormatting>
  <conditionalFormatting sqref="K13">
    <cfRule type="cellIs" dxfId="1489" priority="294" operator="equal">
      <formula>"RED"</formula>
    </cfRule>
  </conditionalFormatting>
  <conditionalFormatting sqref="K13">
    <cfRule type="cellIs" dxfId="1488" priority="295" operator="equal">
      <formula>"GREEN"</formula>
    </cfRule>
  </conditionalFormatting>
  <conditionalFormatting sqref="K14">
    <cfRule type="cellIs" dxfId="1487" priority="296" operator="equal">
      <formula>"AMBER"</formula>
    </cfRule>
  </conditionalFormatting>
  <conditionalFormatting sqref="K14">
    <cfRule type="cellIs" dxfId="1486" priority="297" operator="equal">
      <formula>"RED"</formula>
    </cfRule>
  </conditionalFormatting>
  <conditionalFormatting sqref="K14">
    <cfRule type="cellIs" dxfId="1485" priority="298" operator="equal">
      <formula>"GREEN"</formula>
    </cfRule>
  </conditionalFormatting>
  <conditionalFormatting sqref="K15">
    <cfRule type="cellIs" dxfId="1484" priority="299" operator="equal">
      <formula>"AMBER"</formula>
    </cfRule>
  </conditionalFormatting>
  <conditionalFormatting sqref="K15">
    <cfRule type="cellIs" dxfId="1483" priority="300" operator="equal">
      <formula>"RED"</formula>
    </cfRule>
  </conditionalFormatting>
  <conditionalFormatting sqref="K15">
    <cfRule type="cellIs" dxfId="1482" priority="301" operator="equal">
      <formula>"GREEN"</formula>
    </cfRule>
  </conditionalFormatting>
  <conditionalFormatting sqref="K16">
    <cfRule type="cellIs" dxfId="1481" priority="302" operator="equal">
      <formula>"AMBER"</formula>
    </cfRule>
  </conditionalFormatting>
  <conditionalFormatting sqref="K16">
    <cfRule type="cellIs" dxfId="1480" priority="303" operator="equal">
      <formula>"RED"</formula>
    </cfRule>
  </conditionalFormatting>
  <conditionalFormatting sqref="K16">
    <cfRule type="cellIs" dxfId="1479" priority="304" operator="equal">
      <formula>"GREEN"</formula>
    </cfRule>
  </conditionalFormatting>
  <conditionalFormatting sqref="K17">
    <cfRule type="cellIs" dxfId="1478" priority="305" operator="equal">
      <formula>"AMBER"</formula>
    </cfRule>
  </conditionalFormatting>
  <conditionalFormatting sqref="K17">
    <cfRule type="cellIs" dxfId="1477" priority="306" operator="equal">
      <formula>"RED"</formula>
    </cfRule>
  </conditionalFormatting>
  <conditionalFormatting sqref="K17">
    <cfRule type="cellIs" dxfId="1476" priority="307" operator="equal">
      <formula>"GREEN"</formula>
    </cfRule>
  </conditionalFormatting>
  <conditionalFormatting sqref="K18">
    <cfRule type="cellIs" dxfId="1475" priority="308" operator="equal">
      <formula>"AMBER"</formula>
    </cfRule>
  </conditionalFormatting>
  <conditionalFormatting sqref="K18">
    <cfRule type="cellIs" dxfId="1474" priority="309" operator="equal">
      <formula>"RED"</formula>
    </cfRule>
  </conditionalFormatting>
  <conditionalFormatting sqref="K18">
    <cfRule type="cellIs" dxfId="1473" priority="310" operator="equal">
      <formula>"GREEN"</formula>
    </cfRule>
  </conditionalFormatting>
  <conditionalFormatting sqref="K19">
    <cfRule type="cellIs" dxfId="1472" priority="311" operator="equal">
      <formula>"AMBER"</formula>
    </cfRule>
  </conditionalFormatting>
  <conditionalFormatting sqref="K19">
    <cfRule type="cellIs" dxfId="1471" priority="312" operator="equal">
      <formula>"RED"</formula>
    </cfRule>
  </conditionalFormatting>
  <conditionalFormatting sqref="K19">
    <cfRule type="cellIs" dxfId="1470" priority="313" operator="equal">
      <formula>"GREEN"</formula>
    </cfRule>
  </conditionalFormatting>
  <conditionalFormatting sqref="K20">
    <cfRule type="cellIs" dxfId="1469" priority="314" operator="equal">
      <formula>"AMBER"</formula>
    </cfRule>
  </conditionalFormatting>
  <conditionalFormatting sqref="K20">
    <cfRule type="cellIs" dxfId="1468" priority="315" operator="equal">
      <formula>"RED"</formula>
    </cfRule>
  </conditionalFormatting>
  <conditionalFormatting sqref="K20">
    <cfRule type="cellIs" dxfId="1467" priority="316" operator="equal">
      <formula>"GREEN"</formula>
    </cfRule>
  </conditionalFormatting>
  <conditionalFormatting sqref="K21">
    <cfRule type="cellIs" dxfId="1466" priority="317" operator="equal">
      <formula>"AMBER"</formula>
    </cfRule>
  </conditionalFormatting>
  <conditionalFormatting sqref="K21">
    <cfRule type="cellIs" dxfId="1465" priority="318" operator="equal">
      <formula>"RED"</formula>
    </cfRule>
  </conditionalFormatting>
  <conditionalFormatting sqref="K21">
    <cfRule type="cellIs" dxfId="1464" priority="319" operator="equal">
      <formula>"GREEN"</formula>
    </cfRule>
  </conditionalFormatting>
  <conditionalFormatting sqref="K22">
    <cfRule type="cellIs" dxfId="1463" priority="320" operator="equal">
      <formula>"AMBER"</formula>
    </cfRule>
  </conditionalFormatting>
  <conditionalFormatting sqref="K22">
    <cfRule type="cellIs" dxfId="1462" priority="321" operator="equal">
      <formula>"RED"</formula>
    </cfRule>
  </conditionalFormatting>
  <conditionalFormatting sqref="K22">
    <cfRule type="cellIs" dxfId="1461" priority="322" operator="equal">
      <formula>"GREEN"</formula>
    </cfRule>
  </conditionalFormatting>
  <conditionalFormatting sqref="K23">
    <cfRule type="cellIs" dxfId="1460" priority="323" operator="equal">
      <formula>"AMBER"</formula>
    </cfRule>
  </conditionalFormatting>
  <conditionalFormatting sqref="K23">
    <cfRule type="cellIs" dxfId="1459" priority="324" operator="equal">
      <formula>"RED"</formula>
    </cfRule>
  </conditionalFormatting>
  <conditionalFormatting sqref="K23">
    <cfRule type="cellIs" dxfId="1458" priority="325" operator="equal">
      <formula>"GREEN"</formula>
    </cfRule>
  </conditionalFormatting>
  <conditionalFormatting sqref="K24">
    <cfRule type="cellIs" dxfId="1457" priority="326" operator="equal">
      <formula>"AMBER"</formula>
    </cfRule>
  </conditionalFormatting>
  <conditionalFormatting sqref="K24">
    <cfRule type="cellIs" dxfId="1456" priority="327" operator="equal">
      <formula>"RED"</formula>
    </cfRule>
  </conditionalFormatting>
  <conditionalFormatting sqref="K24">
    <cfRule type="cellIs" dxfId="1455" priority="328" operator="equal">
      <formula>"GREEN"</formula>
    </cfRule>
  </conditionalFormatting>
  <conditionalFormatting sqref="K25">
    <cfRule type="cellIs" dxfId="1454" priority="329" operator="equal">
      <formula>"AMBER"</formula>
    </cfRule>
  </conditionalFormatting>
  <conditionalFormatting sqref="K25">
    <cfRule type="cellIs" dxfId="1453" priority="330" operator="equal">
      <formula>"RED"</formula>
    </cfRule>
  </conditionalFormatting>
  <conditionalFormatting sqref="K25">
    <cfRule type="cellIs" dxfId="1452" priority="331" operator="equal">
      <formula>"GREEN"</formula>
    </cfRule>
  </conditionalFormatting>
  <conditionalFormatting sqref="K26">
    <cfRule type="cellIs" dxfId="1451" priority="332" operator="equal">
      <formula>"AMBER"</formula>
    </cfRule>
  </conditionalFormatting>
  <conditionalFormatting sqref="K26">
    <cfRule type="cellIs" dxfId="1450" priority="333" operator="equal">
      <formula>"RED"</formula>
    </cfRule>
  </conditionalFormatting>
  <conditionalFormatting sqref="K26">
    <cfRule type="cellIs" dxfId="1449" priority="334" operator="equal">
      <formula>"GREEN"</formula>
    </cfRule>
  </conditionalFormatting>
  <conditionalFormatting sqref="K27">
    <cfRule type="cellIs" dxfId="1448" priority="335" operator="equal">
      <formula>"AMBER"</formula>
    </cfRule>
  </conditionalFormatting>
  <conditionalFormatting sqref="K27">
    <cfRule type="cellIs" dxfId="1447" priority="336" operator="equal">
      <formula>"RED"</formula>
    </cfRule>
  </conditionalFormatting>
  <conditionalFormatting sqref="K27">
    <cfRule type="cellIs" dxfId="1446" priority="337" operator="equal">
      <formula>"GREEN"</formula>
    </cfRule>
  </conditionalFormatting>
  <conditionalFormatting sqref="K28">
    <cfRule type="cellIs" dxfId="1445" priority="338" operator="equal">
      <formula>"AMBER"</formula>
    </cfRule>
  </conditionalFormatting>
  <conditionalFormatting sqref="K28">
    <cfRule type="cellIs" dxfId="1444" priority="339" operator="equal">
      <formula>"RED"</formula>
    </cfRule>
  </conditionalFormatting>
  <conditionalFormatting sqref="K28">
    <cfRule type="cellIs" dxfId="1443" priority="340" operator="equal">
      <formula>"GREEN"</formula>
    </cfRule>
  </conditionalFormatting>
  <conditionalFormatting sqref="K29">
    <cfRule type="cellIs" dxfId="1442" priority="341" operator="equal">
      <formula>"AMBER"</formula>
    </cfRule>
  </conditionalFormatting>
  <conditionalFormatting sqref="K29">
    <cfRule type="cellIs" dxfId="1441" priority="342" operator="equal">
      <formula>"RED"</formula>
    </cfRule>
  </conditionalFormatting>
  <conditionalFormatting sqref="K29">
    <cfRule type="cellIs" dxfId="1440" priority="343" operator="equal">
      <formula>"GREEN"</formula>
    </cfRule>
  </conditionalFormatting>
  <conditionalFormatting sqref="K30">
    <cfRule type="cellIs" dxfId="1439" priority="344" operator="equal">
      <formula>"AMBER"</formula>
    </cfRule>
  </conditionalFormatting>
  <conditionalFormatting sqref="K30">
    <cfRule type="cellIs" dxfId="1438" priority="345" operator="equal">
      <formula>"RED"</formula>
    </cfRule>
  </conditionalFormatting>
  <conditionalFormatting sqref="K30">
    <cfRule type="cellIs" dxfId="1437" priority="346" operator="equal">
      <formula>"GREEN"</formula>
    </cfRule>
  </conditionalFormatting>
  <conditionalFormatting sqref="K31">
    <cfRule type="cellIs" dxfId="1436" priority="347" operator="equal">
      <formula>"AMBER"</formula>
    </cfRule>
  </conditionalFormatting>
  <conditionalFormatting sqref="K31">
    <cfRule type="cellIs" dxfId="1435" priority="348" operator="equal">
      <formula>"RED"</formula>
    </cfRule>
  </conditionalFormatting>
  <conditionalFormatting sqref="K31">
    <cfRule type="cellIs" dxfId="1434" priority="349" operator="equal">
      <formula>"GREEN"</formula>
    </cfRule>
  </conditionalFormatting>
  <conditionalFormatting sqref="K32">
    <cfRule type="cellIs" dxfId="1433" priority="350" operator="equal">
      <formula>"AMBER"</formula>
    </cfRule>
  </conditionalFormatting>
  <conditionalFormatting sqref="K32">
    <cfRule type="cellIs" dxfId="1432" priority="351" operator="equal">
      <formula>"RED"</formula>
    </cfRule>
  </conditionalFormatting>
  <conditionalFormatting sqref="K32">
    <cfRule type="cellIs" dxfId="1431" priority="352" operator="equal">
      <formula>"GREEN"</formula>
    </cfRule>
  </conditionalFormatting>
  <conditionalFormatting sqref="L12">
    <cfRule type="cellIs" dxfId="1430" priority="353" operator="equal">
      <formula>"AMBER"</formula>
    </cfRule>
  </conditionalFormatting>
  <conditionalFormatting sqref="L12">
    <cfRule type="cellIs" dxfId="1429" priority="354" operator="equal">
      <formula>"RED"</formula>
    </cfRule>
  </conditionalFormatting>
  <conditionalFormatting sqref="L12">
    <cfRule type="cellIs" dxfId="1428" priority="355" operator="equal">
      <formula>"GREEN"</formula>
    </cfRule>
  </conditionalFormatting>
  <conditionalFormatting sqref="L13">
    <cfRule type="cellIs" dxfId="1427" priority="356" operator="equal">
      <formula>"AMBER"</formula>
    </cfRule>
  </conditionalFormatting>
  <conditionalFormatting sqref="L13">
    <cfRule type="cellIs" dxfId="1426" priority="357" operator="equal">
      <formula>"RED"</formula>
    </cfRule>
  </conditionalFormatting>
  <conditionalFormatting sqref="L13">
    <cfRule type="cellIs" dxfId="1425" priority="358" operator="equal">
      <formula>"GREEN"</formula>
    </cfRule>
  </conditionalFormatting>
  <conditionalFormatting sqref="L14">
    <cfRule type="cellIs" dxfId="1424" priority="359" operator="equal">
      <formula>"AMBER"</formula>
    </cfRule>
  </conditionalFormatting>
  <conditionalFormatting sqref="L14">
    <cfRule type="cellIs" dxfId="1423" priority="360" operator="equal">
      <formula>"RED"</formula>
    </cfRule>
  </conditionalFormatting>
  <conditionalFormatting sqref="L14">
    <cfRule type="cellIs" dxfId="1422" priority="361" operator="equal">
      <formula>"GREEN"</formula>
    </cfRule>
  </conditionalFormatting>
  <conditionalFormatting sqref="L15">
    <cfRule type="cellIs" dxfId="1421" priority="362" operator="equal">
      <formula>"AMBER"</formula>
    </cfRule>
  </conditionalFormatting>
  <conditionalFormatting sqref="L15">
    <cfRule type="cellIs" dxfId="1420" priority="363" operator="equal">
      <formula>"RED"</formula>
    </cfRule>
  </conditionalFormatting>
  <conditionalFormatting sqref="L15">
    <cfRule type="cellIs" dxfId="1419" priority="364" operator="equal">
      <formula>"GREEN"</formula>
    </cfRule>
  </conditionalFormatting>
  <conditionalFormatting sqref="L16">
    <cfRule type="cellIs" dxfId="1418" priority="365" operator="equal">
      <formula>"AMBER"</formula>
    </cfRule>
  </conditionalFormatting>
  <conditionalFormatting sqref="L16">
    <cfRule type="cellIs" dxfId="1417" priority="366" operator="equal">
      <formula>"RED"</formula>
    </cfRule>
  </conditionalFormatting>
  <conditionalFormatting sqref="L16">
    <cfRule type="cellIs" dxfId="1416" priority="367" operator="equal">
      <formula>"GREEN"</formula>
    </cfRule>
  </conditionalFormatting>
  <conditionalFormatting sqref="L17">
    <cfRule type="cellIs" dxfId="1415" priority="368" operator="equal">
      <formula>"AMBER"</formula>
    </cfRule>
  </conditionalFormatting>
  <conditionalFormatting sqref="L17">
    <cfRule type="cellIs" dxfId="1414" priority="369" operator="equal">
      <formula>"RED"</formula>
    </cfRule>
  </conditionalFormatting>
  <conditionalFormatting sqref="L17">
    <cfRule type="cellIs" dxfId="1413" priority="370" operator="equal">
      <formula>"GREEN"</formula>
    </cfRule>
  </conditionalFormatting>
  <conditionalFormatting sqref="L18">
    <cfRule type="cellIs" dxfId="1412" priority="371" operator="equal">
      <formula>"AMBER"</formula>
    </cfRule>
  </conditionalFormatting>
  <conditionalFormatting sqref="L18">
    <cfRule type="cellIs" dxfId="1411" priority="372" operator="equal">
      <formula>"RED"</formula>
    </cfRule>
  </conditionalFormatting>
  <conditionalFormatting sqref="L18">
    <cfRule type="cellIs" dxfId="1410" priority="373" operator="equal">
      <formula>"GREEN"</formula>
    </cfRule>
  </conditionalFormatting>
  <conditionalFormatting sqref="L19">
    <cfRule type="cellIs" dxfId="1409" priority="374" operator="equal">
      <formula>"AMBER"</formula>
    </cfRule>
  </conditionalFormatting>
  <conditionalFormatting sqref="L19">
    <cfRule type="cellIs" dxfId="1408" priority="375" operator="equal">
      <formula>"RED"</formula>
    </cfRule>
  </conditionalFormatting>
  <conditionalFormatting sqref="L19">
    <cfRule type="cellIs" dxfId="1407" priority="376" operator="equal">
      <formula>"GREEN"</formula>
    </cfRule>
  </conditionalFormatting>
  <conditionalFormatting sqref="L20">
    <cfRule type="cellIs" dxfId="1406" priority="377" operator="equal">
      <formula>"AMBER"</formula>
    </cfRule>
  </conditionalFormatting>
  <conditionalFormatting sqref="L20">
    <cfRule type="cellIs" dxfId="1405" priority="378" operator="equal">
      <formula>"RED"</formula>
    </cfRule>
  </conditionalFormatting>
  <conditionalFormatting sqref="L20">
    <cfRule type="cellIs" dxfId="1404" priority="379" operator="equal">
      <formula>"GREEN"</formula>
    </cfRule>
  </conditionalFormatting>
  <conditionalFormatting sqref="L21">
    <cfRule type="cellIs" dxfId="1403" priority="380" operator="equal">
      <formula>"AMBER"</formula>
    </cfRule>
  </conditionalFormatting>
  <conditionalFormatting sqref="L21">
    <cfRule type="cellIs" dxfId="1402" priority="381" operator="equal">
      <formula>"RED"</formula>
    </cfRule>
  </conditionalFormatting>
  <conditionalFormatting sqref="L21">
    <cfRule type="cellIs" dxfId="1401" priority="382" operator="equal">
      <formula>"GREEN"</formula>
    </cfRule>
  </conditionalFormatting>
  <conditionalFormatting sqref="L22">
    <cfRule type="cellIs" dxfId="1400" priority="383" operator="equal">
      <formula>"AMBER"</formula>
    </cfRule>
  </conditionalFormatting>
  <conditionalFormatting sqref="L22">
    <cfRule type="cellIs" dxfId="1399" priority="384" operator="equal">
      <formula>"RED"</formula>
    </cfRule>
  </conditionalFormatting>
  <conditionalFormatting sqref="L22">
    <cfRule type="cellIs" dxfId="1398" priority="385" operator="equal">
      <formula>"GREEN"</formula>
    </cfRule>
  </conditionalFormatting>
  <conditionalFormatting sqref="L23">
    <cfRule type="cellIs" dxfId="1397" priority="386" operator="equal">
      <formula>"AMBER"</formula>
    </cfRule>
  </conditionalFormatting>
  <conditionalFormatting sqref="L23">
    <cfRule type="cellIs" dxfId="1396" priority="387" operator="equal">
      <formula>"RED"</formula>
    </cfRule>
  </conditionalFormatting>
  <conditionalFormatting sqref="L23">
    <cfRule type="cellIs" dxfId="1395" priority="388" operator="equal">
      <formula>"GREEN"</formula>
    </cfRule>
  </conditionalFormatting>
  <conditionalFormatting sqref="L24">
    <cfRule type="cellIs" dxfId="1394" priority="389" operator="equal">
      <formula>"AMBER"</formula>
    </cfRule>
  </conditionalFormatting>
  <conditionalFormatting sqref="L24">
    <cfRule type="cellIs" dxfId="1393" priority="390" operator="equal">
      <formula>"RED"</formula>
    </cfRule>
  </conditionalFormatting>
  <conditionalFormatting sqref="L24">
    <cfRule type="cellIs" dxfId="1392" priority="391" operator="equal">
      <formula>"GREEN"</formula>
    </cfRule>
  </conditionalFormatting>
  <conditionalFormatting sqref="L25">
    <cfRule type="cellIs" dxfId="1391" priority="392" operator="equal">
      <formula>"AMBER"</formula>
    </cfRule>
  </conditionalFormatting>
  <conditionalFormatting sqref="L25">
    <cfRule type="cellIs" dxfId="1390" priority="393" operator="equal">
      <formula>"RED"</formula>
    </cfRule>
  </conditionalFormatting>
  <conditionalFormatting sqref="L25">
    <cfRule type="cellIs" dxfId="1389" priority="394" operator="equal">
      <formula>"GREEN"</formula>
    </cfRule>
  </conditionalFormatting>
  <conditionalFormatting sqref="L26">
    <cfRule type="cellIs" dxfId="1388" priority="395" operator="equal">
      <formula>"AMBER"</formula>
    </cfRule>
  </conditionalFormatting>
  <conditionalFormatting sqref="L26">
    <cfRule type="cellIs" dxfId="1387" priority="396" operator="equal">
      <formula>"RED"</formula>
    </cfRule>
  </conditionalFormatting>
  <conditionalFormatting sqref="L26">
    <cfRule type="cellIs" dxfId="1386" priority="397" operator="equal">
      <formula>"GREEN"</formula>
    </cfRule>
  </conditionalFormatting>
  <conditionalFormatting sqref="L27">
    <cfRule type="cellIs" dxfId="1385" priority="398" operator="equal">
      <formula>"AMBER"</formula>
    </cfRule>
  </conditionalFormatting>
  <conditionalFormatting sqref="L27">
    <cfRule type="cellIs" dxfId="1384" priority="399" operator="equal">
      <formula>"RED"</formula>
    </cfRule>
  </conditionalFormatting>
  <conditionalFormatting sqref="L27">
    <cfRule type="cellIs" dxfId="1383" priority="400" operator="equal">
      <formula>"GREEN"</formula>
    </cfRule>
  </conditionalFormatting>
  <conditionalFormatting sqref="L28">
    <cfRule type="cellIs" dxfId="1382" priority="401" operator="equal">
      <formula>"AMBER"</formula>
    </cfRule>
  </conditionalFormatting>
  <conditionalFormatting sqref="L28">
    <cfRule type="cellIs" dxfId="1381" priority="402" operator="equal">
      <formula>"RED"</formula>
    </cfRule>
  </conditionalFormatting>
  <conditionalFormatting sqref="L28">
    <cfRule type="cellIs" dxfId="1380" priority="403" operator="equal">
      <formula>"GREEN"</formula>
    </cfRule>
  </conditionalFormatting>
  <conditionalFormatting sqref="L29">
    <cfRule type="cellIs" dxfId="1379" priority="404" operator="equal">
      <formula>"AMBER"</formula>
    </cfRule>
  </conditionalFormatting>
  <conditionalFormatting sqref="L29">
    <cfRule type="cellIs" dxfId="1378" priority="405" operator="equal">
      <formula>"RED"</formula>
    </cfRule>
  </conditionalFormatting>
  <conditionalFormatting sqref="L29">
    <cfRule type="cellIs" dxfId="1377" priority="406" operator="equal">
      <formula>"GREEN"</formula>
    </cfRule>
  </conditionalFormatting>
  <conditionalFormatting sqref="L30">
    <cfRule type="cellIs" dxfId="1376" priority="407" operator="equal">
      <formula>"AMBER"</formula>
    </cfRule>
  </conditionalFormatting>
  <conditionalFormatting sqref="L30">
    <cfRule type="cellIs" dxfId="1375" priority="408" operator="equal">
      <formula>"RED"</formula>
    </cfRule>
  </conditionalFormatting>
  <conditionalFormatting sqref="L30">
    <cfRule type="cellIs" dxfId="1374" priority="409" operator="equal">
      <formula>"GREEN"</formula>
    </cfRule>
  </conditionalFormatting>
  <conditionalFormatting sqref="L31">
    <cfRule type="cellIs" dxfId="1373" priority="410" operator="equal">
      <formula>"AMBER"</formula>
    </cfRule>
  </conditionalFormatting>
  <conditionalFormatting sqref="L31">
    <cfRule type="cellIs" dxfId="1372" priority="411" operator="equal">
      <formula>"RED"</formula>
    </cfRule>
  </conditionalFormatting>
  <conditionalFormatting sqref="L31">
    <cfRule type="cellIs" dxfId="1371" priority="412" operator="equal">
      <formula>"GREEN"</formula>
    </cfRule>
  </conditionalFormatting>
  <conditionalFormatting sqref="L32">
    <cfRule type="cellIs" dxfId="1370" priority="413" operator="equal">
      <formula>"AMBER"</formula>
    </cfRule>
  </conditionalFormatting>
  <conditionalFormatting sqref="L32">
    <cfRule type="cellIs" dxfId="1369" priority="414" operator="equal">
      <formula>"RED"</formula>
    </cfRule>
  </conditionalFormatting>
  <conditionalFormatting sqref="L32">
    <cfRule type="cellIs" dxfId="1368" priority="415" operator="equal">
      <formula>"GREEN"</formula>
    </cfRule>
  </conditionalFormatting>
  <conditionalFormatting sqref="M12">
    <cfRule type="cellIs" dxfId="1367" priority="416" operator="equal">
      <formula>"AMBER"</formula>
    </cfRule>
  </conditionalFormatting>
  <conditionalFormatting sqref="M12">
    <cfRule type="cellIs" dxfId="1366" priority="417" operator="equal">
      <formula>"RED"</formula>
    </cfRule>
  </conditionalFormatting>
  <conditionalFormatting sqref="M12">
    <cfRule type="cellIs" dxfId="1365" priority="418" operator="equal">
      <formula>"GREEN"</formula>
    </cfRule>
  </conditionalFormatting>
  <conditionalFormatting sqref="M13">
    <cfRule type="cellIs" dxfId="1364" priority="419" operator="equal">
      <formula>"AMBER"</formula>
    </cfRule>
  </conditionalFormatting>
  <conditionalFormatting sqref="M13">
    <cfRule type="cellIs" dxfId="1363" priority="420" operator="equal">
      <formula>"RED"</formula>
    </cfRule>
  </conditionalFormatting>
  <conditionalFormatting sqref="M13">
    <cfRule type="cellIs" dxfId="1362" priority="421" operator="equal">
      <formula>"GREEN"</formula>
    </cfRule>
  </conditionalFormatting>
  <conditionalFormatting sqref="M14">
    <cfRule type="cellIs" dxfId="1361" priority="422" operator="equal">
      <formula>"AMBER"</formula>
    </cfRule>
  </conditionalFormatting>
  <conditionalFormatting sqref="M14">
    <cfRule type="cellIs" dxfId="1360" priority="423" operator="equal">
      <formula>"RED"</formula>
    </cfRule>
  </conditionalFormatting>
  <conditionalFormatting sqref="M14">
    <cfRule type="cellIs" dxfId="1359" priority="424" operator="equal">
      <formula>"GREEN"</formula>
    </cfRule>
  </conditionalFormatting>
  <conditionalFormatting sqref="M15">
    <cfRule type="cellIs" dxfId="1358" priority="425" operator="equal">
      <formula>"AMBER"</formula>
    </cfRule>
  </conditionalFormatting>
  <conditionalFormatting sqref="M15">
    <cfRule type="cellIs" dxfId="1357" priority="426" operator="equal">
      <formula>"RED"</formula>
    </cfRule>
  </conditionalFormatting>
  <conditionalFormatting sqref="M15">
    <cfRule type="cellIs" dxfId="1356" priority="427" operator="equal">
      <formula>"GREEN"</formula>
    </cfRule>
  </conditionalFormatting>
  <conditionalFormatting sqref="M16">
    <cfRule type="cellIs" dxfId="1355" priority="428" operator="equal">
      <formula>"AMBER"</formula>
    </cfRule>
  </conditionalFormatting>
  <conditionalFormatting sqref="M16">
    <cfRule type="cellIs" dxfId="1354" priority="429" operator="equal">
      <formula>"RED"</formula>
    </cfRule>
  </conditionalFormatting>
  <conditionalFormatting sqref="M16">
    <cfRule type="cellIs" dxfId="1353" priority="430" operator="equal">
      <formula>"GREEN"</formula>
    </cfRule>
  </conditionalFormatting>
  <conditionalFormatting sqref="M17">
    <cfRule type="cellIs" dxfId="1352" priority="431" operator="equal">
      <formula>"AMBER"</formula>
    </cfRule>
  </conditionalFormatting>
  <conditionalFormatting sqref="M17">
    <cfRule type="cellIs" dxfId="1351" priority="432" operator="equal">
      <formula>"RED"</formula>
    </cfRule>
  </conditionalFormatting>
  <conditionalFormatting sqref="M17">
    <cfRule type="cellIs" dxfId="1350" priority="433" operator="equal">
      <formula>"GREEN"</formula>
    </cfRule>
  </conditionalFormatting>
  <conditionalFormatting sqref="M18">
    <cfRule type="cellIs" dxfId="1349" priority="434" operator="equal">
      <formula>"AMBER"</formula>
    </cfRule>
  </conditionalFormatting>
  <conditionalFormatting sqref="M18">
    <cfRule type="cellIs" dxfId="1348" priority="435" operator="equal">
      <formula>"RED"</formula>
    </cfRule>
  </conditionalFormatting>
  <conditionalFormatting sqref="M18">
    <cfRule type="cellIs" dxfId="1347" priority="436" operator="equal">
      <formula>"GREEN"</formula>
    </cfRule>
  </conditionalFormatting>
  <conditionalFormatting sqref="M19">
    <cfRule type="cellIs" dxfId="1346" priority="437" operator="equal">
      <formula>"AMBER"</formula>
    </cfRule>
  </conditionalFormatting>
  <conditionalFormatting sqref="M19">
    <cfRule type="cellIs" dxfId="1345" priority="438" operator="equal">
      <formula>"RED"</formula>
    </cfRule>
  </conditionalFormatting>
  <conditionalFormatting sqref="M19">
    <cfRule type="cellIs" dxfId="1344" priority="439" operator="equal">
      <formula>"GREEN"</formula>
    </cfRule>
  </conditionalFormatting>
  <conditionalFormatting sqref="M20">
    <cfRule type="cellIs" dxfId="1343" priority="440" operator="equal">
      <formula>"AMBER"</formula>
    </cfRule>
  </conditionalFormatting>
  <conditionalFormatting sqref="M20">
    <cfRule type="cellIs" dxfId="1342" priority="441" operator="equal">
      <formula>"RED"</formula>
    </cfRule>
  </conditionalFormatting>
  <conditionalFormatting sqref="M20">
    <cfRule type="cellIs" dxfId="1341" priority="442" operator="equal">
      <formula>"GREEN"</formula>
    </cfRule>
  </conditionalFormatting>
  <conditionalFormatting sqref="M21">
    <cfRule type="cellIs" dxfId="1340" priority="443" operator="equal">
      <formula>"AMBER"</formula>
    </cfRule>
  </conditionalFormatting>
  <conditionalFormatting sqref="M21">
    <cfRule type="cellIs" dxfId="1339" priority="444" operator="equal">
      <formula>"RED"</formula>
    </cfRule>
  </conditionalFormatting>
  <conditionalFormatting sqref="M21">
    <cfRule type="cellIs" dxfId="1338" priority="445" operator="equal">
      <formula>"GREEN"</formula>
    </cfRule>
  </conditionalFormatting>
  <conditionalFormatting sqref="M22">
    <cfRule type="cellIs" dxfId="1337" priority="446" operator="equal">
      <formula>"AMBER"</formula>
    </cfRule>
  </conditionalFormatting>
  <conditionalFormatting sqref="M22">
    <cfRule type="cellIs" dxfId="1336" priority="447" operator="equal">
      <formula>"RED"</formula>
    </cfRule>
  </conditionalFormatting>
  <conditionalFormatting sqref="M22">
    <cfRule type="cellIs" dxfId="1335" priority="448" operator="equal">
      <formula>"GREEN"</formula>
    </cfRule>
  </conditionalFormatting>
  <conditionalFormatting sqref="M23">
    <cfRule type="cellIs" dxfId="1334" priority="449" operator="equal">
      <formula>"AMBER"</formula>
    </cfRule>
  </conditionalFormatting>
  <conditionalFormatting sqref="M23">
    <cfRule type="cellIs" dxfId="1333" priority="450" operator="equal">
      <formula>"RED"</formula>
    </cfRule>
  </conditionalFormatting>
  <conditionalFormatting sqref="M23">
    <cfRule type="cellIs" dxfId="1332" priority="451" operator="equal">
      <formula>"GREEN"</formula>
    </cfRule>
  </conditionalFormatting>
  <conditionalFormatting sqref="M24">
    <cfRule type="cellIs" dxfId="1331" priority="452" operator="equal">
      <formula>"AMBER"</formula>
    </cfRule>
  </conditionalFormatting>
  <conditionalFormatting sqref="M24">
    <cfRule type="cellIs" dxfId="1330" priority="453" operator="equal">
      <formula>"RED"</formula>
    </cfRule>
  </conditionalFormatting>
  <conditionalFormatting sqref="M24">
    <cfRule type="cellIs" dxfId="1329" priority="454" operator="equal">
      <formula>"GREEN"</formula>
    </cfRule>
  </conditionalFormatting>
  <conditionalFormatting sqref="M25">
    <cfRule type="cellIs" dxfId="1328" priority="455" operator="equal">
      <formula>"AMBER"</formula>
    </cfRule>
  </conditionalFormatting>
  <conditionalFormatting sqref="M25">
    <cfRule type="cellIs" dxfId="1327" priority="456" operator="equal">
      <formula>"RED"</formula>
    </cfRule>
  </conditionalFormatting>
  <conditionalFormatting sqref="M25">
    <cfRule type="cellIs" dxfId="1326" priority="457" operator="equal">
      <formula>"GREEN"</formula>
    </cfRule>
  </conditionalFormatting>
  <conditionalFormatting sqref="M26">
    <cfRule type="cellIs" dxfId="1325" priority="458" operator="equal">
      <formula>"AMBER"</formula>
    </cfRule>
  </conditionalFormatting>
  <conditionalFormatting sqref="M26">
    <cfRule type="cellIs" dxfId="1324" priority="459" operator="equal">
      <formula>"RED"</formula>
    </cfRule>
  </conditionalFormatting>
  <conditionalFormatting sqref="M26">
    <cfRule type="cellIs" dxfId="1323" priority="460" operator="equal">
      <formula>"GREEN"</formula>
    </cfRule>
  </conditionalFormatting>
  <conditionalFormatting sqref="M27">
    <cfRule type="cellIs" dxfId="1322" priority="461" operator="equal">
      <formula>"AMBER"</formula>
    </cfRule>
  </conditionalFormatting>
  <conditionalFormatting sqref="M27">
    <cfRule type="cellIs" dxfId="1321" priority="462" operator="equal">
      <formula>"RED"</formula>
    </cfRule>
  </conditionalFormatting>
  <conditionalFormatting sqref="M27">
    <cfRule type="cellIs" dxfId="1320" priority="463" operator="equal">
      <formula>"GREEN"</formula>
    </cfRule>
  </conditionalFormatting>
  <conditionalFormatting sqref="M28">
    <cfRule type="cellIs" dxfId="1319" priority="464" operator="equal">
      <formula>"AMBER"</formula>
    </cfRule>
  </conditionalFormatting>
  <conditionalFormatting sqref="M28">
    <cfRule type="cellIs" dxfId="1318" priority="465" operator="equal">
      <formula>"RED"</formula>
    </cfRule>
  </conditionalFormatting>
  <conditionalFormatting sqref="M28">
    <cfRule type="cellIs" dxfId="1317" priority="466" operator="equal">
      <formula>"GREEN"</formula>
    </cfRule>
  </conditionalFormatting>
  <conditionalFormatting sqref="M29">
    <cfRule type="cellIs" dxfId="1316" priority="467" operator="equal">
      <formula>"AMBER"</formula>
    </cfRule>
  </conditionalFormatting>
  <conditionalFormatting sqref="M29">
    <cfRule type="cellIs" dxfId="1315" priority="468" operator="equal">
      <formula>"RED"</formula>
    </cfRule>
  </conditionalFormatting>
  <conditionalFormatting sqref="M29">
    <cfRule type="cellIs" dxfId="1314" priority="469" operator="equal">
      <formula>"GREEN"</formula>
    </cfRule>
  </conditionalFormatting>
  <conditionalFormatting sqref="M30">
    <cfRule type="cellIs" dxfId="1313" priority="470" operator="equal">
      <formula>"AMBER"</formula>
    </cfRule>
  </conditionalFormatting>
  <conditionalFormatting sqref="M30">
    <cfRule type="cellIs" dxfId="1312" priority="471" operator="equal">
      <formula>"RED"</formula>
    </cfRule>
  </conditionalFormatting>
  <conditionalFormatting sqref="M30">
    <cfRule type="cellIs" dxfId="1311" priority="472" operator="equal">
      <formula>"GREEN"</formula>
    </cfRule>
  </conditionalFormatting>
  <conditionalFormatting sqref="M31">
    <cfRule type="cellIs" dxfId="1310" priority="473" operator="equal">
      <formula>"AMBER"</formula>
    </cfRule>
  </conditionalFormatting>
  <conditionalFormatting sqref="M31">
    <cfRule type="cellIs" dxfId="1309" priority="474" operator="equal">
      <formula>"RED"</formula>
    </cfRule>
  </conditionalFormatting>
  <conditionalFormatting sqref="M31">
    <cfRule type="cellIs" dxfId="1308" priority="475" operator="equal">
      <formula>"GREEN"</formula>
    </cfRule>
  </conditionalFormatting>
  <conditionalFormatting sqref="M32">
    <cfRule type="cellIs" dxfId="1307" priority="476" operator="equal">
      <formula>"AMBER"</formula>
    </cfRule>
  </conditionalFormatting>
  <conditionalFormatting sqref="M32">
    <cfRule type="cellIs" dxfId="1306" priority="477" operator="equal">
      <formula>"RED"</formula>
    </cfRule>
  </conditionalFormatting>
  <conditionalFormatting sqref="M32">
    <cfRule type="cellIs" dxfId="1305" priority="478" operator="equal">
      <formula>"GREEN"</formula>
    </cfRule>
  </conditionalFormatting>
  <conditionalFormatting sqref="N12">
    <cfRule type="cellIs" dxfId="1304" priority="479" operator="equal">
      <formula>"AMBER"</formula>
    </cfRule>
  </conditionalFormatting>
  <conditionalFormatting sqref="N12">
    <cfRule type="cellIs" dxfId="1303" priority="480" operator="equal">
      <formula>"RED"</formula>
    </cfRule>
  </conditionalFormatting>
  <conditionalFormatting sqref="N12">
    <cfRule type="cellIs" dxfId="1302" priority="481" operator="equal">
      <formula>"GREEN"</formula>
    </cfRule>
  </conditionalFormatting>
  <conditionalFormatting sqref="N13">
    <cfRule type="cellIs" dxfId="1301" priority="482" operator="equal">
      <formula>"AMBER"</formula>
    </cfRule>
  </conditionalFormatting>
  <conditionalFormatting sqref="N13">
    <cfRule type="cellIs" dxfId="1300" priority="483" operator="equal">
      <formula>"RED"</formula>
    </cfRule>
  </conditionalFormatting>
  <conditionalFormatting sqref="N13">
    <cfRule type="cellIs" dxfId="1299" priority="484" operator="equal">
      <formula>"GREEN"</formula>
    </cfRule>
  </conditionalFormatting>
  <conditionalFormatting sqref="N14">
    <cfRule type="cellIs" dxfId="1298" priority="485" operator="equal">
      <formula>"AMBER"</formula>
    </cfRule>
  </conditionalFormatting>
  <conditionalFormatting sqref="N14">
    <cfRule type="cellIs" dxfId="1297" priority="486" operator="equal">
      <formula>"RED"</formula>
    </cfRule>
  </conditionalFormatting>
  <conditionalFormatting sqref="N14">
    <cfRule type="cellIs" dxfId="1296" priority="487" operator="equal">
      <formula>"GREEN"</formula>
    </cfRule>
  </conditionalFormatting>
  <conditionalFormatting sqref="N15">
    <cfRule type="cellIs" dxfId="1295" priority="488" operator="equal">
      <formula>"AMBER"</formula>
    </cfRule>
  </conditionalFormatting>
  <conditionalFormatting sqref="N15">
    <cfRule type="cellIs" dxfId="1294" priority="489" operator="equal">
      <formula>"RED"</formula>
    </cfRule>
  </conditionalFormatting>
  <conditionalFormatting sqref="N15">
    <cfRule type="cellIs" dxfId="1293" priority="490" operator="equal">
      <formula>"GREEN"</formula>
    </cfRule>
  </conditionalFormatting>
  <conditionalFormatting sqref="N16">
    <cfRule type="cellIs" dxfId="1292" priority="491" operator="equal">
      <formula>"AMBER"</formula>
    </cfRule>
  </conditionalFormatting>
  <conditionalFormatting sqref="N16">
    <cfRule type="cellIs" dxfId="1291" priority="492" operator="equal">
      <formula>"RED"</formula>
    </cfRule>
  </conditionalFormatting>
  <conditionalFormatting sqref="N16">
    <cfRule type="cellIs" dxfId="1290" priority="493" operator="equal">
      <formula>"GREEN"</formula>
    </cfRule>
  </conditionalFormatting>
  <conditionalFormatting sqref="N17">
    <cfRule type="cellIs" dxfId="1289" priority="494" operator="equal">
      <formula>"AMBER"</formula>
    </cfRule>
  </conditionalFormatting>
  <conditionalFormatting sqref="N17">
    <cfRule type="cellIs" dxfId="1288" priority="495" operator="equal">
      <formula>"RED"</formula>
    </cfRule>
  </conditionalFormatting>
  <conditionalFormatting sqref="N17">
    <cfRule type="cellIs" dxfId="1287" priority="496" operator="equal">
      <formula>"GREEN"</formula>
    </cfRule>
  </conditionalFormatting>
  <conditionalFormatting sqref="N18">
    <cfRule type="cellIs" dxfId="1286" priority="497" operator="equal">
      <formula>"AMBER"</formula>
    </cfRule>
  </conditionalFormatting>
  <conditionalFormatting sqref="N18">
    <cfRule type="cellIs" dxfId="1285" priority="498" operator="equal">
      <formula>"RED"</formula>
    </cfRule>
  </conditionalFormatting>
  <conditionalFormatting sqref="N18">
    <cfRule type="cellIs" dxfId="1284" priority="499" operator="equal">
      <formula>"GREEN"</formula>
    </cfRule>
  </conditionalFormatting>
  <conditionalFormatting sqref="N19">
    <cfRule type="cellIs" dxfId="1283" priority="500" operator="equal">
      <formula>"AMBER"</formula>
    </cfRule>
  </conditionalFormatting>
  <conditionalFormatting sqref="N19">
    <cfRule type="cellIs" dxfId="1282" priority="501" operator="equal">
      <formula>"RED"</formula>
    </cfRule>
  </conditionalFormatting>
  <conditionalFormatting sqref="N19">
    <cfRule type="cellIs" dxfId="1281" priority="502" operator="equal">
      <formula>"GREEN"</formula>
    </cfRule>
  </conditionalFormatting>
  <conditionalFormatting sqref="N20">
    <cfRule type="cellIs" dxfId="1280" priority="503" operator="equal">
      <formula>"AMBER"</formula>
    </cfRule>
  </conditionalFormatting>
  <conditionalFormatting sqref="N20">
    <cfRule type="cellIs" dxfId="1279" priority="504" operator="equal">
      <formula>"RED"</formula>
    </cfRule>
  </conditionalFormatting>
  <conditionalFormatting sqref="N20">
    <cfRule type="cellIs" dxfId="1278" priority="505" operator="equal">
      <formula>"GREEN"</formula>
    </cfRule>
  </conditionalFormatting>
  <conditionalFormatting sqref="N21">
    <cfRule type="cellIs" dxfId="1277" priority="506" operator="equal">
      <formula>"AMBER"</formula>
    </cfRule>
  </conditionalFormatting>
  <conditionalFormatting sqref="N21">
    <cfRule type="cellIs" dxfId="1276" priority="507" operator="equal">
      <formula>"RED"</formula>
    </cfRule>
  </conditionalFormatting>
  <conditionalFormatting sqref="N21">
    <cfRule type="cellIs" dxfId="1275" priority="508" operator="equal">
      <formula>"GREEN"</formula>
    </cfRule>
  </conditionalFormatting>
  <conditionalFormatting sqref="N22">
    <cfRule type="cellIs" dxfId="1274" priority="509" operator="equal">
      <formula>"AMBER"</formula>
    </cfRule>
  </conditionalFormatting>
  <conditionalFormatting sqref="N22">
    <cfRule type="cellIs" dxfId="1273" priority="510" operator="equal">
      <formula>"RED"</formula>
    </cfRule>
  </conditionalFormatting>
  <conditionalFormatting sqref="N22">
    <cfRule type="cellIs" dxfId="1272" priority="511" operator="equal">
      <formula>"GREEN"</formula>
    </cfRule>
  </conditionalFormatting>
  <conditionalFormatting sqref="N23">
    <cfRule type="cellIs" dxfId="1271" priority="512" operator="equal">
      <formula>"AMBER"</formula>
    </cfRule>
  </conditionalFormatting>
  <conditionalFormatting sqref="N23">
    <cfRule type="cellIs" dxfId="1270" priority="513" operator="equal">
      <formula>"RED"</formula>
    </cfRule>
  </conditionalFormatting>
  <conditionalFormatting sqref="N23">
    <cfRule type="cellIs" dxfId="1269" priority="514" operator="equal">
      <formula>"GREEN"</formula>
    </cfRule>
  </conditionalFormatting>
  <conditionalFormatting sqref="N24">
    <cfRule type="cellIs" dxfId="1268" priority="515" operator="equal">
      <formula>"AMBER"</formula>
    </cfRule>
  </conditionalFormatting>
  <conditionalFormatting sqref="N24">
    <cfRule type="cellIs" dxfId="1267" priority="516" operator="equal">
      <formula>"RED"</formula>
    </cfRule>
  </conditionalFormatting>
  <conditionalFormatting sqref="N24">
    <cfRule type="cellIs" dxfId="1266" priority="517" operator="equal">
      <formula>"GREEN"</formula>
    </cfRule>
  </conditionalFormatting>
  <conditionalFormatting sqref="N25">
    <cfRule type="cellIs" dxfId="1265" priority="518" operator="equal">
      <formula>"AMBER"</formula>
    </cfRule>
  </conditionalFormatting>
  <conditionalFormatting sqref="N25">
    <cfRule type="cellIs" dxfId="1264" priority="519" operator="equal">
      <formula>"RED"</formula>
    </cfRule>
  </conditionalFormatting>
  <conditionalFormatting sqref="N25">
    <cfRule type="cellIs" dxfId="1263" priority="520" operator="equal">
      <formula>"GREEN"</formula>
    </cfRule>
  </conditionalFormatting>
  <conditionalFormatting sqref="N26">
    <cfRule type="cellIs" dxfId="1262" priority="521" operator="equal">
      <formula>"AMBER"</formula>
    </cfRule>
  </conditionalFormatting>
  <conditionalFormatting sqref="N26">
    <cfRule type="cellIs" dxfId="1261" priority="522" operator="equal">
      <formula>"RED"</formula>
    </cfRule>
  </conditionalFormatting>
  <conditionalFormatting sqref="N26">
    <cfRule type="cellIs" dxfId="1260" priority="523" operator="equal">
      <formula>"GREEN"</formula>
    </cfRule>
  </conditionalFormatting>
  <conditionalFormatting sqref="N27">
    <cfRule type="cellIs" dxfId="1259" priority="524" operator="equal">
      <formula>"AMBER"</formula>
    </cfRule>
  </conditionalFormatting>
  <conditionalFormatting sqref="N27">
    <cfRule type="cellIs" dxfId="1258" priority="525" operator="equal">
      <formula>"RED"</formula>
    </cfRule>
  </conditionalFormatting>
  <conditionalFormatting sqref="N27">
    <cfRule type="cellIs" dxfId="1257" priority="526" operator="equal">
      <formula>"GREEN"</formula>
    </cfRule>
  </conditionalFormatting>
  <conditionalFormatting sqref="N28">
    <cfRule type="cellIs" dxfId="1256" priority="527" operator="equal">
      <formula>"AMBER"</formula>
    </cfRule>
  </conditionalFormatting>
  <conditionalFormatting sqref="N28">
    <cfRule type="cellIs" dxfId="1255" priority="528" operator="equal">
      <formula>"RED"</formula>
    </cfRule>
  </conditionalFormatting>
  <conditionalFormatting sqref="N28">
    <cfRule type="cellIs" dxfId="1254" priority="529" operator="equal">
      <formula>"GREEN"</formula>
    </cfRule>
  </conditionalFormatting>
  <conditionalFormatting sqref="N29">
    <cfRule type="cellIs" dxfId="1253" priority="530" operator="equal">
      <formula>"AMBER"</formula>
    </cfRule>
  </conditionalFormatting>
  <conditionalFormatting sqref="N29">
    <cfRule type="cellIs" dxfId="1252" priority="531" operator="equal">
      <formula>"RED"</formula>
    </cfRule>
  </conditionalFormatting>
  <conditionalFormatting sqref="N29">
    <cfRule type="cellIs" dxfId="1251" priority="532" operator="equal">
      <formula>"GREEN"</formula>
    </cfRule>
  </conditionalFormatting>
  <conditionalFormatting sqref="N30">
    <cfRule type="cellIs" dxfId="1250" priority="533" operator="equal">
      <formula>"AMBER"</formula>
    </cfRule>
  </conditionalFormatting>
  <conditionalFormatting sqref="N30">
    <cfRule type="cellIs" dxfId="1249" priority="534" operator="equal">
      <formula>"RED"</formula>
    </cfRule>
  </conditionalFormatting>
  <conditionalFormatting sqref="N30">
    <cfRule type="cellIs" dxfId="1248" priority="535" operator="equal">
      <formula>"GREEN"</formula>
    </cfRule>
  </conditionalFormatting>
  <conditionalFormatting sqref="N31">
    <cfRule type="cellIs" dxfId="1247" priority="536" operator="equal">
      <formula>"AMBER"</formula>
    </cfRule>
  </conditionalFormatting>
  <conditionalFormatting sqref="N31">
    <cfRule type="cellIs" dxfId="1246" priority="537" operator="equal">
      <formula>"RED"</formula>
    </cfRule>
  </conditionalFormatting>
  <conditionalFormatting sqref="N31">
    <cfRule type="cellIs" dxfId="1245" priority="538" operator="equal">
      <formula>"GREEN"</formula>
    </cfRule>
  </conditionalFormatting>
  <conditionalFormatting sqref="N32">
    <cfRule type="cellIs" dxfId="1244" priority="539" operator="equal">
      <formula>"AMBER"</formula>
    </cfRule>
  </conditionalFormatting>
  <conditionalFormatting sqref="N32">
    <cfRule type="cellIs" dxfId="1243" priority="540" operator="equal">
      <formula>"RED"</formula>
    </cfRule>
  </conditionalFormatting>
  <conditionalFormatting sqref="N32">
    <cfRule type="cellIs" dxfId="1242" priority="541" operator="equal">
      <formula>"GREEN"</formula>
    </cfRule>
  </conditionalFormatting>
  <dataValidations count="10">
    <dataValidation type="list" showInputMessage="1" showErrorMessage="1" sqref="D37">
      <formula1>YesNo</formula1>
    </dataValidation>
    <dataValidation type="list" allowBlank="1" showInputMessage="1" showErrorMessage="1" sqref="D39">
      <formula1>YesNo</formula1>
    </dataValidation>
    <dataValidation type="date" allowBlank="1" showErrorMessage="1" errorTitle="Date " error="Date entered must be between start date of report and no later than today." sqref="F42">
      <formula1>ReportFrom</formula1>
      <formula2>NOW()</formula2>
    </dataValidation>
    <dataValidation type="date" allowBlank="1" showErrorMessage="1" errorTitle="Date " error="Date entered must be between start date of report and no later than today." sqref="G42">
      <formula1>ReportFrom</formula1>
      <formula2>NOW()</formula2>
    </dataValidation>
    <dataValidation type="date" allowBlank="1" showErrorMessage="1" errorTitle="Date " error="Date entered must be between start date of report and no later than today." sqref="H42">
      <formula1>ReportFrom</formula1>
      <formula2>NOW()</formula2>
    </dataValidation>
    <dataValidation type="date" allowBlank="1" showErrorMessage="1" errorTitle="Date " error="Date entered must be between start date of report and no later than today." sqref="I42">
      <formula1>ReportFrom</formula1>
      <formula2>NOW()</formula2>
    </dataValidation>
    <dataValidation type="date" allowBlank="1" showErrorMessage="1" errorTitle="Date " error="Date entered must be between start date of report and no later than today." sqref="J42">
      <formula1>ReportFrom</formula1>
      <formula2>NOW()</formula2>
    </dataValidation>
    <dataValidation type="date" allowBlank="1" showErrorMessage="1" errorTitle="Date " error="Date entered must be between start date of report and no later than today." sqref="K42">
      <formula1>ReportFrom</formula1>
      <formula2>NOW()</formula2>
    </dataValidation>
    <dataValidation type="date" allowBlank="1" showErrorMessage="1" errorTitle="Date " error="Date entered must be between start date of report and no later than today." sqref="L42">
      <formula1>ReportFrom</formula1>
      <formula2>NOW()</formula2>
    </dataValidation>
    <dataValidation type="date" allowBlank="1" showErrorMessage="1" errorTitle="Date " error="Date entered must be between start date of report and no later than today." sqref="M42">
      <formula1>ReportFrom</formula1>
      <formula2>NOW()</formula2>
    </dataValidation>
  </dataValidations>
  <hyperlinks>
    <hyperlink ref="G22" location="'1.Header'!A1" display="1.Header"/>
    <hyperlink ref="G23" location="'2.Milestones'!MILESTONESTART" display="2.Deliverables"/>
    <hyperlink ref="G24" location="ISSUESTART" display="3.Issues"/>
    <hyperlink ref="G25" location="'4.Risks'!RISKSTART" display="4.Risks"/>
    <hyperlink ref="G26" location="'5.Changes'!CHANGESTART" display="5.Changes"/>
    <hyperlink ref="G27" location="'6.Dependencies'!DEPENDENCYSTART" display="6.Dependencies"/>
    <hyperlink ref="G28" location="'7.Measures'!MEASURESTART" display="7.Measures"/>
    <hyperlink ref="G29" location="'8.Communications'!COMMUNICATIONSTART" display="8.Communications"/>
    <hyperlink ref="G30"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L22" location="Legend!A1" tooltip="The calculations to determine the traffic lights" display="LEGEND"/>
    <hyperlink ref="B31" location="Legend!A1" display="See Legend"/>
    <hyperlink ref="C31" location="Legend!A1" display="Legend!A1"/>
    <hyperlink ref="D31" location="Legend!A1" display="Legend!A1"/>
    <hyperlink ref="E31" location="Legend!A1" display="Legend!A1"/>
  </hyperlinks>
  <pageMargins left="0.75000000000000011" right="0.75000000000000011" top="1" bottom="1" header="0.5" footer="0.5"/>
  <pageSetup paperSize="9" scale="80" orientation="landscape" r:id="rId1"/>
  <headerFooter>
    <oddFooter>&amp;L&amp;"Calibri,Regular"&amp;K000000&amp;D&amp;R&amp;"Calibri,Regular"&amp;K000000&amp;P of &amp;N</oddFooter>
  </headerFooter>
  <legacyDrawing r:id="rId2"/>
</worksheet>
</file>

<file path=xl/worksheets/sheet10.xml><?xml version="1.0" encoding="utf-8"?>
<worksheet xmlns="http://schemas.openxmlformats.org/spreadsheetml/2006/main" xmlns:r="http://schemas.openxmlformats.org/officeDocument/2006/relationships">
  <sheetPr>
    <pageSetUpPr fitToPage="1"/>
  </sheetPr>
  <dimension ref="A1:F22"/>
  <sheetViews>
    <sheetView workbookViewId="0"/>
  </sheetViews>
  <sheetFormatPr defaultColWidth="11.42578125" defaultRowHeight="12.75"/>
  <cols>
    <col min="2" max="2" width="7.42578125" customWidth="1"/>
    <col min="3" max="3" width="19.28515625" customWidth="1"/>
    <col min="4" max="4" width="43.7109375" customWidth="1"/>
    <col min="5" max="5" width="37.7109375" customWidth="1"/>
    <col min="6" max="6" width="36.85546875" customWidth="1"/>
  </cols>
  <sheetData>
    <row r="1" spans="1:6">
      <c r="A1" s="60" t="s">
        <v>0</v>
      </c>
      <c r="B1" s="38" t="str">
        <f>OVERALLLIGHT</f>
        <v>AMBER</v>
      </c>
    </row>
    <row r="2" spans="1:6">
      <c r="A2" s="61" t="s">
        <v>1</v>
      </c>
      <c r="B2" s="39" t="str">
        <f>MILESTONELIGHT</f>
        <v>RED</v>
      </c>
    </row>
    <row r="3" spans="1:6">
      <c r="A3" s="61" t="s">
        <v>2</v>
      </c>
      <c r="B3" s="39" t="str">
        <f>ISSUELIGHT</f>
        <v>GREEN</v>
      </c>
    </row>
    <row r="4" spans="1:6">
      <c r="A4" s="61" t="s">
        <v>3</v>
      </c>
      <c r="B4" s="39" t="str">
        <f>RISKLIGHT</f>
        <v>GREEN</v>
      </c>
    </row>
    <row r="5" spans="1:6">
      <c r="A5" s="61" t="s">
        <v>4</v>
      </c>
      <c r="B5" s="39" t="str">
        <f>CHANGELIGHT</f>
        <v>GREEN</v>
      </c>
    </row>
    <row r="6" spans="1:6">
      <c r="A6" s="61" t="s">
        <v>5</v>
      </c>
      <c r="B6" s="40" t="str">
        <f>DEPENDENCYLIGHT</f>
        <v/>
      </c>
    </row>
    <row r="7" spans="1:6">
      <c r="A7" s="61" t="s">
        <v>6</v>
      </c>
      <c r="B7" s="40" t="str">
        <f>MEASURELIGHT</f>
        <v/>
      </c>
    </row>
    <row r="8" spans="1:6">
      <c r="A8" s="61" t="s">
        <v>7</v>
      </c>
      <c r="B8" s="39" t="str">
        <f>COMMUNICATIONLIGHT</f>
        <v>GREEN</v>
      </c>
    </row>
    <row r="9" spans="1:6">
      <c r="A9" s="61" t="s">
        <v>8</v>
      </c>
      <c r="B9" s="41" t="str">
        <f>FINANCELIGHT</f>
        <v>GREEN</v>
      </c>
    </row>
    <row r="10" spans="1:6" ht="23.1" customHeight="1">
      <c r="A10" s="61"/>
      <c r="B10" s="132"/>
      <c r="D10" s="141" t="s">
        <v>25</v>
      </c>
    </row>
    <row r="11" spans="1:6" ht="15" customHeight="1"/>
    <row r="12" spans="1:6" ht="27.95" customHeight="1">
      <c r="C12" s="5"/>
      <c r="D12" s="155" t="s">
        <v>128</v>
      </c>
      <c r="E12" s="156" t="s">
        <v>126</v>
      </c>
      <c r="F12" s="157" t="s">
        <v>244</v>
      </c>
    </row>
    <row r="13" spans="1:6" ht="27" customHeight="1">
      <c r="C13" s="154" t="s">
        <v>10</v>
      </c>
      <c r="D13" s="522" t="s">
        <v>245</v>
      </c>
      <c r="E13" s="522"/>
      <c r="F13" s="522"/>
    </row>
    <row r="14" spans="1:6" ht="27.95" customHeight="1">
      <c r="C14" s="154" t="s">
        <v>1</v>
      </c>
      <c r="D14" s="151" t="s">
        <v>246</v>
      </c>
      <c r="E14" s="152" t="s">
        <v>247</v>
      </c>
      <c r="F14" s="153" t="s">
        <v>248</v>
      </c>
    </row>
    <row r="15" spans="1:6" ht="27.95" customHeight="1">
      <c r="C15" s="154" t="s">
        <v>2</v>
      </c>
      <c r="D15" s="151" t="s">
        <v>246</v>
      </c>
      <c r="E15" s="152" t="s">
        <v>247</v>
      </c>
      <c r="F15" s="153" t="s">
        <v>249</v>
      </c>
    </row>
    <row r="16" spans="1:6" ht="27.95" customHeight="1">
      <c r="C16" s="154" t="s">
        <v>3</v>
      </c>
      <c r="D16" s="151" t="s">
        <v>250</v>
      </c>
      <c r="E16" s="152" t="s">
        <v>251</v>
      </c>
      <c r="F16" s="153" t="s">
        <v>252</v>
      </c>
    </row>
    <row r="17" spans="3:6" ht="27.95" customHeight="1">
      <c r="C17" s="154" t="s">
        <v>4</v>
      </c>
      <c r="D17" s="151" t="s">
        <v>246</v>
      </c>
      <c r="E17" s="152" t="s">
        <v>247</v>
      </c>
      <c r="F17" s="153" t="s">
        <v>249</v>
      </c>
    </row>
    <row r="18" spans="3:6" ht="27.95" customHeight="1">
      <c r="C18" s="154" t="s">
        <v>5</v>
      </c>
      <c r="D18" s="151" t="s">
        <v>253</v>
      </c>
      <c r="E18" s="152" t="s">
        <v>253</v>
      </c>
      <c r="F18" s="153" t="s">
        <v>253</v>
      </c>
    </row>
    <row r="19" spans="3:6" ht="27.95" customHeight="1">
      <c r="C19" s="154" t="s">
        <v>6</v>
      </c>
      <c r="D19" s="151" t="s">
        <v>253</v>
      </c>
      <c r="E19" s="152" t="s">
        <v>253</v>
      </c>
      <c r="F19" s="153" t="s">
        <v>253</v>
      </c>
    </row>
    <row r="20" spans="3:6" ht="33" customHeight="1">
      <c r="C20" s="154" t="s">
        <v>7</v>
      </c>
      <c r="D20" s="151" t="s">
        <v>254</v>
      </c>
      <c r="E20" s="152" t="s">
        <v>255</v>
      </c>
      <c r="F20" s="153" t="s">
        <v>256</v>
      </c>
    </row>
    <row r="21" spans="3:6" ht="60" customHeight="1">
      <c r="C21" s="154" t="s">
        <v>8</v>
      </c>
      <c r="D21" s="151" t="s">
        <v>257</v>
      </c>
      <c r="E21" s="152" t="s">
        <v>258</v>
      </c>
      <c r="F21" s="153" t="s">
        <v>259</v>
      </c>
    </row>
    <row r="22" spans="3:6" ht="60" customHeight="1">
      <c r="C22" s="356" t="s">
        <v>260</v>
      </c>
      <c r="D22" s="151" t="s">
        <v>261</v>
      </c>
      <c r="E22" s="152" t="s">
        <v>262</v>
      </c>
      <c r="F22" s="153" t="s">
        <v>263</v>
      </c>
    </row>
  </sheetData>
  <sheetProtection sheet="1" formatColumns="0" selectLockedCells="1"/>
  <mergeCells count="1">
    <mergeCell ref="D13:F13"/>
  </mergeCells>
  <conditionalFormatting sqref="B1">
    <cfRule type="cellIs" dxfId="71" priority="1" operator="equal">
      <formula>"AMBER"</formula>
    </cfRule>
  </conditionalFormatting>
  <conditionalFormatting sqref="B1">
    <cfRule type="cellIs" dxfId="70" priority="2" operator="equal">
      <formula>"RED"</formula>
    </cfRule>
  </conditionalFormatting>
  <conditionalFormatting sqref="B1">
    <cfRule type="cellIs" dxfId="69" priority="3" operator="equal">
      <formula>"GREEN"</formula>
    </cfRule>
  </conditionalFormatting>
  <conditionalFormatting sqref="B2">
    <cfRule type="cellIs" dxfId="68" priority="4" operator="equal">
      <formula>"AMBER"</formula>
    </cfRule>
  </conditionalFormatting>
  <conditionalFormatting sqref="B2">
    <cfRule type="cellIs" dxfId="67" priority="5" operator="equal">
      <formula>"RED"</formula>
    </cfRule>
  </conditionalFormatting>
  <conditionalFormatting sqref="B2">
    <cfRule type="cellIs" dxfId="66" priority="6" operator="equal">
      <formula>"GREEN"</formula>
    </cfRule>
  </conditionalFormatting>
  <conditionalFormatting sqref="B3">
    <cfRule type="cellIs" dxfId="65" priority="7" operator="equal">
      <formula>"AMBER"</formula>
    </cfRule>
  </conditionalFormatting>
  <conditionalFormatting sqref="B3">
    <cfRule type="cellIs" dxfId="64" priority="8" operator="equal">
      <formula>"RED"</formula>
    </cfRule>
  </conditionalFormatting>
  <conditionalFormatting sqref="B3">
    <cfRule type="cellIs" dxfId="63" priority="9" operator="equal">
      <formula>"GREEN"</formula>
    </cfRule>
  </conditionalFormatting>
  <conditionalFormatting sqref="B4">
    <cfRule type="cellIs" dxfId="62" priority="10" operator="equal">
      <formula>"AMBER"</formula>
    </cfRule>
  </conditionalFormatting>
  <conditionalFormatting sqref="B4">
    <cfRule type="cellIs" dxfId="61" priority="11" operator="equal">
      <formula>"RED"</formula>
    </cfRule>
  </conditionalFormatting>
  <conditionalFormatting sqref="B4">
    <cfRule type="cellIs" dxfId="60" priority="12" operator="equal">
      <formula>"GREEN"</formula>
    </cfRule>
  </conditionalFormatting>
  <conditionalFormatting sqref="B5">
    <cfRule type="cellIs" dxfId="59" priority="13" operator="equal">
      <formula>"AMBER"</formula>
    </cfRule>
  </conditionalFormatting>
  <conditionalFormatting sqref="B5">
    <cfRule type="cellIs" dxfId="58" priority="14" operator="equal">
      <formula>"RED"</formula>
    </cfRule>
  </conditionalFormatting>
  <conditionalFormatting sqref="B5">
    <cfRule type="cellIs" dxfId="57" priority="15" operator="equal">
      <formula>"GREEN"</formula>
    </cfRule>
  </conditionalFormatting>
  <conditionalFormatting sqref="B6">
    <cfRule type="cellIs" dxfId="56" priority="16" operator="equal">
      <formula>"AMBER"</formula>
    </cfRule>
  </conditionalFormatting>
  <conditionalFormatting sqref="B6">
    <cfRule type="cellIs" dxfId="55" priority="17" operator="equal">
      <formula>"RED"</formula>
    </cfRule>
  </conditionalFormatting>
  <conditionalFormatting sqref="B6">
    <cfRule type="cellIs" dxfId="54" priority="18" operator="equal">
      <formula>"GREEN"</formula>
    </cfRule>
  </conditionalFormatting>
  <conditionalFormatting sqref="B7">
    <cfRule type="cellIs" dxfId="53" priority="19" operator="equal">
      <formula>"AMBER"</formula>
    </cfRule>
  </conditionalFormatting>
  <conditionalFormatting sqref="B7">
    <cfRule type="cellIs" dxfId="52" priority="20" operator="equal">
      <formula>"RED"</formula>
    </cfRule>
  </conditionalFormatting>
  <conditionalFormatting sqref="B7">
    <cfRule type="cellIs" dxfId="51" priority="21" operator="equal">
      <formula>"GREEN"</formula>
    </cfRule>
  </conditionalFormatting>
  <conditionalFormatting sqref="B8">
    <cfRule type="cellIs" dxfId="50" priority="22" operator="equal">
      <formula>"AMBER"</formula>
    </cfRule>
  </conditionalFormatting>
  <conditionalFormatting sqref="B8">
    <cfRule type="cellIs" dxfId="49" priority="23" operator="equal">
      <formula>"RED"</formula>
    </cfRule>
  </conditionalFormatting>
  <conditionalFormatting sqref="B8">
    <cfRule type="cellIs" dxfId="48" priority="24" operator="equal">
      <formula>"GREEN"</formula>
    </cfRule>
  </conditionalFormatting>
  <conditionalFormatting sqref="B9">
    <cfRule type="cellIs" dxfId="47" priority="25" operator="equal">
      <formula>"AMBER"</formula>
    </cfRule>
  </conditionalFormatting>
  <conditionalFormatting sqref="B9">
    <cfRule type="cellIs" dxfId="46" priority="26" operator="equal">
      <formula>"RED"</formula>
    </cfRule>
  </conditionalFormatting>
  <conditionalFormatting sqref="B9">
    <cfRule type="cellIs" dxfId="45" priority="27" operator="equal">
      <formula>"GREEN"</formula>
    </cfRule>
  </conditionalFormatting>
  <conditionalFormatting sqref="B10">
    <cfRule type="cellIs" dxfId="44" priority="28" operator="equal">
      <formula>"AMBER"</formula>
    </cfRule>
  </conditionalFormatting>
  <conditionalFormatting sqref="B10">
    <cfRule type="cellIs" dxfId="43" priority="29" operator="equal">
      <formula>"RED"</formula>
    </cfRule>
  </conditionalFormatting>
  <conditionalFormatting sqref="B10">
    <cfRule type="cellIs" dxfId="42" priority="30" operator="equal">
      <formula>"GREEN"</formula>
    </cfRule>
  </conditionalFormatting>
  <hyperlinks>
    <hyperlink ref="C14" location="'2.Milestones'!MILESTONESTART" display="2.Deliverables"/>
    <hyperlink ref="C15" location="'2.Milestones'!ISSUESTART" display="3.Issues"/>
    <hyperlink ref="C16" location="'4.Risks'!RISKSTART" display="4.Risks"/>
    <hyperlink ref="C17" location="'5.Changes'!CHANGESTART" display="5.Changes"/>
    <hyperlink ref="C18" location="'6.Dependencies'!DEPENDENCYSTART" display="6.Dependencies"/>
    <hyperlink ref="C19" location="'7.Measures'!MEASURESTART" display="7.Measures"/>
    <hyperlink ref="C20" location="'8.Communications'!COMMUNICATIONSTART" display="8.Communications"/>
    <hyperlink ref="C21"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5000000000000011" right="0.75000000000000011" top="1" bottom="1" header="0.5" footer="0.5"/>
  <pageSetup paperSize="9" orientation="landscape" r:id="rId1"/>
</worksheet>
</file>

<file path=xl/worksheets/sheet11.xml><?xml version="1.0" encoding="utf-8"?>
<worksheet xmlns="http://schemas.openxmlformats.org/spreadsheetml/2006/main" xmlns:r="http://schemas.openxmlformats.org/officeDocument/2006/relationships">
  <dimension ref="A1:I9"/>
  <sheetViews>
    <sheetView workbookViewId="0">
      <selection activeCell="G2" sqref="G2"/>
    </sheetView>
  </sheetViews>
  <sheetFormatPr defaultColWidth="11.42578125" defaultRowHeight="12.75"/>
  <cols>
    <col min="1" max="2" width="10.85546875" customWidth="1"/>
    <col min="3" max="3" width="11.7109375" customWidth="1"/>
  </cols>
  <sheetData>
    <row r="1" spans="1:9" ht="15" customHeight="1">
      <c r="A1" t="s">
        <v>113</v>
      </c>
      <c r="B1" t="s">
        <v>264</v>
      </c>
      <c r="C1" t="s">
        <v>265</v>
      </c>
      <c r="D1" t="s">
        <v>266</v>
      </c>
      <c r="E1" t="s">
        <v>267</v>
      </c>
      <c r="F1" t="s">
        <v>268</v>
      </c>
      <c r="G1" t="s">
        <v>269</v>
      </c>
      <c r="H1" s="345" t="s">
        <v>270</v>
      </c>
      <c r="I1" s="345" t="s">
        <v>271</v>
      </c>
    </row>
    <row r="2" spans="1:9" ht="15" customHeight="1">
      <c r="A2" t="s">
        <v>272</v>
      </c>
      <c r="B2">
        <v>0</v>
      </c>
      <c r="C2" t="s">
        <v>273</v>
      </c>
      <c r="D2" t="s">
        <v>128</v>
      </c>
      <c r="E2" t="s">
        <v>216</v>
      </c>
      <c r="F2" s="125">
        <v>40909</v>
      </c>
      <c r="G2" s="125">
        <v>42004</v>
      </c>
      <c r="H2" s="345" t="s">
        <v>274</v>
      </c>
      <c r="I2" s="345" t="s">
        <v>275</v>
      </c>
    </row>
    <row r="3" spans="1:9" ht="15" customHeight="1">
      <c r="A3" t="s">
        <v>276</v>
      </c>
      <c r="B3">
        <v>25</v>
      </c>
      <c r="C3" t="s">
        <v>277</v>
      </c>
      <c r="D3" t="s">
        <v>126</v>
      </c>
      <c r="E3" t="s">
        <v>214</v>
      </c>
      <c r="H3" s="345" t="s">
        <v>278</v>
      </c>
      <c r="I3" s="345" t="s">
        <v>279</v>
      </c>
    </row>
    <row r="4" spans="1:9" ht="15" customHeight="1">
      <c r="B4">
        <v>50</v>
      </c>
      <c r="C4" t="s">
        <v>280</v>
      </c>
      <c r="D4" t="s">
        <v>244</v>
      </c>
      <c r="H4" s="345" t="s">
        <v>281</v>
      </c>
      <c r="I4" s="345" t="s">
        <v>282</v>
      </c>
    </row>
    <row r="5" spans="1:9" ht="15" customHeight="1">
      <c r="B5">
        <v>75</v>
      </c>
      <c r="C5" t="s">
        <v>283</v>
      </c>
      <c r="H5" s="345"/>
      <c r="I5" s="345" t="s">
        <v>242</v>
      </c>
    </row>
    <row r="6" spans="1:9">
      <c r="B6">
        <v>100</v>
      </c>
      <c r="C6" t="s">
        <v>284</v>
      </c>
    </row>
    <row r="7" spans="1:9">
      <c r="C7" t="s">
        <v>213</v>
      </c>
    </row>
    <row r="8" spans="1:9" s="5" customFormat="1">
      <c r="C8" s="351" t="s">
        <v>285</v>
      </c>
    </row>
    <row r="9" spans="1:9">
      <c r="C9" t="s">
        <v>286</v>
      </c>
    </row>
  </sheetData>
  <sheetProtection sheet="1" formatColumns="0" selectLockedCells="1"/>
  <pageMargins left="0.75" right="0.75" top="1" bottom="1" header="0.5" footer="0.5"/>
  <pageSetup paperSize="9" orientation="portrait" r:id="rId1"/>
</worksheet>
</file>

<file path=xl/worksheets/sheet12.xml><?xml version="1.0" encoding="utf-8"?>
<worksheet xmlns="http://schemas.openxmlformats.org/spreadsheetml/2006/main" xmlns:r="http://schemas.openxmlformats.org/officeDocument/2006/relationships">
  <dimension ref="A1:Y16"/>
  <sheetViews>
    <sheetView workbookViewId="0">
      <selection activeCell="U2" sqref="U2"/>
    </sheetView>
  </sheetViews>
  <sheetFormatPr defaultColWidth="11.42578125" defaultRowHeight="12.75"/>
  <cols>
    <col min="1" max="1" width="8.42578125" customWidth="1"/>
    <col min="4" max="4" width="16.85546875" customWidth="1"/>
    <col min="5" max="6" width="17.140625" customWidth="1"/>
    <col min="7" max="7" width="15.85546875" customWidth="1"/>
    <col min="8" max="8" width="15.140625" customWidth="1"/>
    <col min="9" max="9" width="15.85546875" customWidth="1"/>
    <col min="10" max="10" width="14.42578125" customWidth="1"/>
    <col min="11" max="11" width="13.28515625" customWidth="1"/>
    <col min="13" max="13" width="13" customWidth="1"/>
    <col min="14" max="14" width="15" customWidth="1"/>
    <col min="16" max="25" width="14.42578125" customWidth="1"/>
  </cols>
  <sheetData>
    <row r="1" spans="1:25" ht="75" customHeight="1">
      <c r="A1" s="233" t="s">
        <v>16</v>
      </c>
      <c r="B1" s="233" t="s">
        <v>287</v>
      </c>
      <c r="C1" s="234" t="s">
        <v>288</v>
      </c>
      <c r="D1" s="234" t="s">
        <v>289</v>
      </c>
      <c r="E1" s="234" t="s">
        <v>290</v>
      </c>
      <c r="F1" s="234" t="s">
        <v>291</v>
      </c>
      <c r="G1" s="235" t="s">
        <v>292</v>
      </c>
      <c r="H1" s="236" t="s">
        <v>293</v>
      </c>
      <c r="I1" s="237" t="s">
        <v>294</v>
      </c>
      <c r="J1" s="235" t="s">
        <v>295</v>
      </c>
      <c r="K1" s="236" t="s">
        <v>296</v>
      </c>
      <c r="L1" s="237" t="s">
        <v>297</v>
      </c>
      <c r="M1" s="235" t="s">
        <v>298</v>
      </c>
      <c r="N1" s="236" t="s">
        <v>299</v>
      </c>
      <c r="O1" s="237" t="s">
        <v>300</v>
      </c>
      <c r="P1" s="238" t="s">
        <v>301</v>
      </c>
      <c r="Q1" s="238" t="s">
        <v>302</v>
      </c>
      <c r="R1" s="239" t="s">
        <v>303</v>
      </c>
      <c r="S1" s="239" t="s">
        <v>304</v>
      </c>
      <c r="T1" s="239" t="s">
        <v>305</v>
      </c>
      <c r="U1" s="247" t="s">
        <v>306</v>
      </c>
      <c r="V1" s="248" t="s">
        <v>307</v>
      </c>
      <c r="W1" s="248" t="s">
        <v>308</v>
      </c>
      <c r="X1" s="248" t="s">
        <v>309</v>
      </c>
      <c r="Y1" s="249" t="s">
        <v>310</v>
      </c>
    </row>
    <row r="2" spans="1:25" ht="15" customHeight="1">
      <c r="A2" s="229">
        <v>1</v>
      </c>
      <c r="B2" s="229"/>
      <c r="C2" s="240"/>
      <c r="D2" s="241">
        <v>41011</v>
      </c>
      <c r="E2" s="241">
        <v>41061</v>
      </c>
      <c r="F2" s="241">
        <v>41075</v>
      </c>
      <c r="G2" s="242"/>
      <c r="H2" s="242">
        <v>52000</v>
      </c>
      <c r="I2" s="242"/>
      <c r="J2" s="242"/>
      <c r="K2" s="242"/>
      <c r="L2" s="242">
        <v>24000</v>
      </c>
      <c r="M2" s="242"/>
      <c r="N2" s="242"/>
      <c r="O2" s="242"/>
      <c r="P2" s="243">
        <f t="shared" ref="P2:P10" si="0">SUM(G2:I2)</f>
        <v>52000</v>
      </c>
      <c r="Q2" s="243">
        <f t="shared" ref="Q2:Q10" si="1">SUM(J2:O2)</f>
        <v>24000</v>
      </c>
      <c r="R2" s="243">
        <f>P2</f>
        <v>52000</v>
      </c>
      <c r="S2" s="243">
        <f>Q2</f>
        <v>24000</v>
      </c>
      <c r="T2" s="246">
        <f t="shared" ref="T2:T10" si="2">R2+S2</f>
        <v>76000</v>
      </c>
      <c r="U2" s="245">
        <v>52000</v>
      </c>
      <c r="V2" s="242">
        <v>1000</v>
      </c>
      <c r="W2" s="243">
        <f>U2</f>
        <v>52000</v>
      </c>
      <c r="X2" s="243">
        <f>V2</f>
        <v>1000</v>
      </c>
      <c r="Y2" s="251">
        <f t="shared" ref="Y2:Y11" si="3">W2+X2</f>
        <v>53000</v>
      </c>
    </row>
    <row r="3" spans="1:25" ht="15" customHeight="1">
      <c r="A3" s="229">
        <v>2</v>
      </c>
      <c r="B3" s="229"/>
      <c r="C3" s="240"/>
      <c r="D3" s="241"/>
      <c r="E3" s="241">
        <v>41089</v>
      </c>
      <c r="F3" s="241">
        <v>41103</v>
      </c>
      <c r="G3" s="242"/>
      <c r="H3" s="242">
        <v>52000</v>
      </c>
      <c r="I3" s="242"/>
      <c r="J3" s="242"/>
      <c r="K3" s="242"/>
      <c r="L3" s="242">
        <v>49000</v>
      </c>
      <c r="M3" s="242"/>
      <c r="N3" s="242"/>
      <c r="O3" s="242"/>
      <c r="P3" s="243">
        <f t="shared" si="0"/>
        <v>52000</v>
      </c>
      <c r="Q3" s="243">
        <f t="shared" si="1"/>
        <v>49000</v>
      </c>
      <c r="R3" s="243">
        <f t="shared" ref="R3:S10" si="4">R2+P3</f>
        <v>104000</v>
      </c>
      <c r="S3" s="243">
        <f t="shared" si="4"/>
        <v>73000</v>
      </c>
      <c r="T3" s="246">
        <f t="shared" si="2"/>
        <v>177000</v>
      </c>
      <c r="U3" s="250">
        <v>52000</v>
      </c>
      <c r="V3" s="242">
        <v>22679</v>
      </c>
      <c r="W3" s="243">
        <f t="shared" ref="W3:X10" si="5">W2+U3</f>
        <v>104000</v>
      </c>
      <c r="X3" s="243">
        <f t="shared" si="5"/>
        <v>23679</v>
      </c>
      <c r="Y3" s="251">
        <f t="shared" si="3"/>
        <v>127679</v>
      </c>
    </row>
    <row r="4" spans="1:25" ht="15" customHeight="1">
      <c r="A4" s="229">
        <v>3</v>
      </c>
      <c r="B4" s="229"/>
      <c r="C4" s="240"/>
      <c r="D4" s="241"/>
      <c r="E4" s="241">
        <v>41117</v>
      </c>
      <c r="F4" s="241">
        <v>41131</v>
      </c>
      <c r="G4" s="242"/>
      <c r="H4" s="242"/>
      <c r="I4" s="242"/>
      <c r="J4" s="242"/>
      <c r="K4" s="242"/>
      <c r="L4" s="242"/>
      <c r="M4" s="242"/>
      <c r="N4" s="242"/>
      <c r="O4" s="242"/>
      <c r="P4" s="243">
        <f t="shared" si="0"/>
        <v>0</v>
      </c>
      <c r="Q4" s="243">
        <f t="shared" si="1"/>
        <v>0</v>
      </c>
      <c r="R4" s="243">
        <f t="shared" si="4"/>
        <v>104000</v>
      </c>
      <c r="S4" s="243">
        <f t="shared" si="4"/>
        <v>73000</v>
      </c>
      <c r="T4" s="246">
        <f t="shared" si="2"/>
        <v>177000</v>
      </c>
      <c r="U4" s="250">
        <v>0</v>
      </c>
      <c r="V4" s="242">
        <v>16094</v>
      </c>
      <c r="W4" s="243">
        <f t="shared" si="5"/>
        <v>104000</v>
      </c>
      <c r="X4" s="243">
        <f t="shared" si="5"/>
        <v>39773</v>
      </c>
      <c r="Y4" s="251">
        <f t="shared" si="3"/>
        <v>143773</v>
      </c>
    </row>
    <row r="5" spans="1:25" ht="15" customHeight="1">
      <c r="A5" s="229">
        <v>4</v>
      </c>
      <c r="B5" s="229"/>
      <c r="C5" s="240"/>
      <c r="D5" s="241"/>
      <c r="E5" s="241">
        <v>41152</v>
      </c>
      <c r="F5" s="241">
        <v>41166</v>
      </c>
      <c r="G5" s="242"/>
      <c r="H5" s="242">
        <v>52000</v>
      </c>
      <c r="I5" s="242"/>
      <c r="J5" s="242"/>
      <c r="K5" s="242"/>
      <c r="L5" s="242">
        <v>14000</v>
      </c>
      <c r="M5" s="242"/>
      <c r="N5" s="242"/>
      <c r="O5" s="242"/>
      <c r="P5" s="243">
        <f t="shared" si="0"/>
        <v>52000</v>
      </c>
      <c r="Q5" s="243">
        <f t="shared" si="1"/>
        <v>14000</v>
      </c>
      <c r="R5" s="243">
        <f t="shared" si="4"/>
        <v>156000</v>
      </c>
      <c r="S5" s="243">
        <f t="shared" si="4"/>
        <v>87000</v>
      </c>
      <c r="T5" s="246">
        <f t="shared" si="2"/>
        <v>243000</v>
      </c>
      <c r="U5" s="250">
        <v>20247</v>
      </c>
      <c r="V5" s="242">
        <v>17116</v>
      </c>
      <c r="W5" s="243">
        <f t="shared" si="5"/>
        <v>124247</v>
      </c>
      <c r="X5" s="243">
        <f t="shared" si="5"/>
        <v>56889</v>
      </c>
      <c r="Y5" s="251">
        <f t="shared" si="3"/>
        <v>181136</v>
      </c>
    </row>
    <row r="6" spans="1:25" ht="15" customHeight="1">
      <c r="A6" s="229">
        <v>5</v>
      </c>
      <c r="B6" s="229"/>
      <c r="C6" s="240"/>
      <c r="D6" s="241"/>
      <c r="E6" s="241">
        <v>41243</v>
      </c>
      <c r="F6" s="241">
        <v>41257</v>
      </c>
      <c r="G6" s="242"/>
      <c r="H6" s="244">
        <v>52000</v>
      </c>
      <c r="I6" s="242"/>
      <c r="J6" s="242"/>
      <c r="K6" s="242"/>
      <c r="L6" s="242">
        <v>48000</v>
      </c>
      <c r="M6" s="242"/>
      <c r="N6" s="242"/>
      <c r="O6" s="242"/>
      <c r="P6" s="243">
        <f t="shared" si="0"/>
        <v>52000</v>
      </c>
      <c r="Q6" s="243">
        <f t="shared" si="1"/>
        <v>48000</v>
      </c>
      <c r="R6" s="243">
        <f t="shared" si="4"/>
        <v>208000</v>
      </c>
      <c r="S6" s="243">
        <f t="shared" si="4"/>
        <v>135000</v>
      </c>
      <c r="T6" s="246">
        <f t="shared" si="2"/>
        <v>343000</v>
      </c>
      <c r="U6" s="250">
        <v>44753</v>
      </c>
      <c r="V6" s="242">
        <v>57111</v>
      </c>
      <c r="W6" s="243">
        <f t="shared" si="5"/>
        <v>169000</v>
      </c>
      <c r="X6" s="243">
        <f t="shared" si="5"/>
        <v>114000</v>
      </c>
      <c r="Y6" s="251">
        <f t="shared" si="3"/>
        <v>283000</v>
      </c>
    </row>
    <row r="7" spans="1:25" ht="15" customHeight="1">
      <c r="A7" s="229">
        <v>6</v>
      </c>
      <c r="B7" s="229"/>
      <c r="C7" s="240"/>
      <c r="D7" s="241"/>
      <c r="E7" s="241">
        <v>41334</v>
      </c>
      <c r="F7" s="241">
        <v>41348</v>
      </c>
      <c r="G7" s="242"/>
      <c r="H7" s="244">
        <v>52000</v>
      </c>
      <c r="I7" s="242"/>
      <c r="J7" s="242"/>
      <c r="K7" s="242"/>
      <c r="L7" s="242"/>
      <c r="M7" s="242"/>
      <c r="N7" s="242"/>
      <c r="O7" s="242"/>
      <c r="P7" s="243">
        <f t="shared" si="0"/>
        <v>52000</v>
      </c>
      <c r="Q7" s="243">
        <f t="shared" si="1"/>
        <v>0</v>
      </c>
      <c r="R7" s="243">
        <f t="shared" si="4"/>
        <v>260000</v>
      </c>
      <c r="S7" s="243">
        <f t="shared" si="4"/>
        <v>135000</v>
      </c>
      <c r="T7" s="246">
        <f t="shared" si="2"/>
        <v>395000</v>
      </c>
      <c r="U7" s="250"/>
      <c r="V7" s="242"/>
      <c r="W7" s="243">
        <f t="shared" si="5"/>
        <v>169000</v>
      </c>
      <c r="X7" s="243">
        <f t="shared" si="5"/>
        <v>114000</v>
      </c>
      <c r="Y7" s="251">
        <f t="shared" si="3"/>
        <v>283000</v>
      </c>
    </row>
    <row r="8" spans="1:25" ht="15" customHeight="1">
      <c r="A8" s="229">
        <v>7</v>
      </c>
      <c r="B8" s="229"/>
      <c r="C8" s="240"/>
      <c r="D8" s="241"/>
      <c r="E8" s="241">
        <v>41418</v>
      </c>
      <c r="F8" s="241">
        <v>41432</v>
      </c>
      <c r="G8" s="242"/>
      <c r="H8" s="242"/>
      <c r="I8" s="242"/>
      <c r="J8" s="242"/>
      <c r="K8" s="242"/>
      <c r="L8" s="242"/>
      <c r="M8" s="242"/>
      <c r="N8" s="242"/>
      <c r="O8" s="242"/>
      <c r="P8" s="243">
        <f t="shared" si="0"/>
        <v>0</v>
      </c>
      <c r="Q8" s="243">
        <f t="shared" si="1"/>
        <v>0</v>
      </c>
      <c r="R8" s="243">
        <f t="shared" si="4"/>
        <v>260000</v>
      </c>
      <c r="S8" s="243">
        <f t="shared" si="4"/>
        <v>135000</v>
      </c>
      <c r="T8" s="246">
        <f t="shared" si="2"/>
        <v>395000</v>
      </c>
      <c r="U8" s="250"/>
      <c r="V8" s="242"/>
      <c r="W8" s="243">
        <f t="shared" si="5"/>
        <v>169000</v>
      </c>
      <c r="X8" s="243">
        <f t="shared" si="5"/>
        <v>114000</v>
      </c>
      <c r="Y8" s="251">
        <f t="shared" si="3"/>
        <v>283000</v>
      </c>
    </row>
    <row r="9" spans="1:25" ht="15" customHeight="1">
      <c r="A9" s="229">
        <v>8</v>
      </c>
      <c r="B9" s="229"/>
      <c r="C9" s="240"/>
      <c r="D9" s="241"/>
      <c r="E9" s="241">
        <v>41509</v>
      </c>
      <c r="F9" s="241">
        <v>41523</v>
      </c>
      <c r="G9" s="242"/>
      <c r="H9" s="242"/>
      <c r="I9" s="242"/>
      <c r="J9" s="242"/>
      <c r="K9" s="242"/>
      <c r="L9" s="242"/>
      <c r="M9" s="242"/>
      <c r="N9" s="242"/>
      <c r="O9" s="242"/>
      <c r="P9" s="243">
        <f t="shared" si="0"/>
        <v>0</v>
      </c>
      <c r="Q9" s="243">
        <f t="shared" si="1"/>
        <v>0</v>
      </c>
      <c r="R9" s="243">
        <f t="shared" si="4"/>
        <v>260000</v>
      </c>
      <c r="S9" s="243">
        <f t="shared" si="4"/>
        <v>135000</v>
      </c>
      <c r="T9" s="246">
        <f t="shared" si="2"/>
        <v>395000</v>
      </c>
      <c r="U9" s="250"/>
      <c r="V9" s="242"/>
      <c r="W9" s="243">
        <f t="shared" si="5"/>
        <v>169000</v>
      </c>
      <c r="X9" s="243">
        <f t="shared" si="5"/>
        <v>114000</v>
      </c>
      <c r="Y9" s="251">
        <f t="shared" si="3"/>
        <v>283000</v>
      </c>
    </row>
    <row r="10" spans="1:25" ht="15.95" customHeight="1">
      <c r="A10" s="229">
        <v>9</v>
      </c>
      <c r="B10" s="229"/>
      <c r="C10" s="240"/>
      <c r="D10" s="241"/>
      <c r="E10" s="241">
        <v>41600</v>
      </c>
      <c r="F10" s="241">
        <v>41614</v>
      </c>
      <c r="G10" s="242"/>
      <c r="H10" s="242">
        <v>29000</v>
      </c>
      <c r="I10" s="242"/>
      <c r="J10" s="242"/>
      <c r="K10" s="242"/>
      <c r="L10" s="242"/>
      <c r="M10" s="242"/>
      <c r="N10" s="242"/>
      <c r="O10" s="242"/>
      <c r="P10" s="243">
        <f t="shared" si="0"/>
        <v>29000</v>
      </c>
      <c r="Q10" s="243">
        <f t="shared" si="1"/>
        <v>0</v>
      </c>
      <c r="R10" s="243">
        <f t="shared" si="4"/>
        <v>289000</v>
      </c>
      <c r="S10" s="243">
        <f t="shared" si="4"/>
        <v>135000</v>
      </c>
      <c r="T10" s="246">
        <f t="shared" si="2"/>
        <v>424000</v>
      </c>
      <c r="U10" s="252"/>
      <c r="V10" s="253"/>
      <c r="W10" s="270">
        <f t="shared" si="5"/>
        <v>169000</v>
      </c>
      <c r="X10" s="270">
        <f t="shared" si="5"/>
        <v>114000</v>
      </c>
      <c r="Y10" s="271">
        <f t="shared" si="3"/>
        <v>283000</v>
      </c>
    </row>
    <row r="11" spans="1:25" ht="15" customHeight="1">
      <c r="T11" s="269" t="s">
        <v>35</v>
      </c>
      <c r="W11" s="274">
        <f>MAX(W2:W10)</f>
        <v>169000</v>
      </c>
      <c r="X11" s="273">
        <f>MAX(X2:X10)</f>
        <v>114000</v>
      </c>
      <c r="Y11" s="272">
        <f t="shared" si="3"/>
        <v>283000</v>
      </c>
    </row>
    <row r="16" spans="1:25">
      <c r="U16" s="351" t="s">
        <v>311</v>
      </c>
    </row>
  </sheetData>
  <sheetProtection sheet="1" formatColumns="0" selectLockedCells="1"/>
  <protectedRanges>
    <protectedRange password="CE4B" sqref="A1:Z20" name="pc0dce6eb54f9504a5aec35a7e30818d4"/>
  </protectedRanges>
  <pageMargins left="0.75" right="0.75" top="1" bottom="1" header="0.5" footer="0.5"/>
  <legacyDrawing r:id="rId1"/>
</worksheet>
</file>

<file path=xl/worksheets/sheet13.xml><?xml version="1.0" encoding="utf-8"?>
<worksheet xmlns="http://schemas.openxmlformats.org/spreadsheetml/2006/main" xmlns:r="http://schemas.openxmlformats.org/officeDocument/2006/relationships">
  <sheetPr>
    <tabColor rgb="FFFF0000"/>
    <pageSetUpPr fitToPage="1"/>
  </sheetPr>
  <dimension ref="A1:J36"/>
  <sheetViews>
    <sheetView showGridLines="0" topLeftCell="A13" workbookViewId="0">
      <selection activeCell="B23" sqref="B23"/>
    </sheetView>
  </sheetViews>
  <sheetFormatPr defaultColWidth="8.85546875" defaultRowHeight="12.75"/>
  <cols>
    <col min="1" max="1" width="12.140625" customWidth="1"/>
    <col min="2" max="2" width="11.85546875" customWidth="1"/>
    <col min="3" max="3" width="17.85546875" customWidth="1"/>
    <col min="4" max="4" width="27.42578125" customWidth="1"/>
    <col min="5" max="6" width="18.140625" customWidth="1"/>
    <col min="7" max="7" width="16.85546875" customWidth="1"/>
    <col min="8" max="8" width="27.42578125" customWidth="1"/>
    <col min="9" max="9" width="13.42578125" customWidth="1"/>
    <col min="10" max="10" width="15.7109375" customWidth="1"/>
  </cols>
  <sheetData>
    <row r="1" spans="1:5">
      <c r="A1" s="60" t="s">
        <v>0</v>
      </c>
      <c r="B1" s="199" t="str">
        <f>OVERALLLIGHT</f>
        <v>AMBER</v>
      </c>
      <c r="C1" s="65"/>
      <c r="D1" s="65"/>
      <c r="E1" s="65"/>
    </row>
    <row r="2" spans="1:5">
      <c r="A2" s="61" t="s">
        <v>1</v>
      </c>
      <c r="B2" s="200" t="str">
        <f>MILESTONELIGHT</f>
        <v>RED</v>
      </c>
      <c r="C2" s="65"/>
      <c r="D2" s="65"/>
      <c r="E2" s="65"/>
    </row>
    <row r="3" spans="1:5">
      <c r="A3" s="61" t="s">
        <v>2</v>
      </c>
      <c r="B3" s="200" t="str">
        <f>ISSUELIGHT</f>
        <v>GREEN</v>
      </c>
      <c r="C3" s="65"/>
      <c r="D3" s="65"/>
      <c r="E3" s="65"/>
    </row>
    <row r="4" spans="1:5">
      <c r="A4" s="61" t="s">
        <v>3</v>
      </c>
      <c r="B4" s="200" t="str">
        <f>RISKLIGHT</f>
        <v>GREEN</v>
      </c>
      <c r="C4" s="65"/>
      <c r="D4" s="65"/>
      <c r="E4" s="65"/>
    </row>
    <row r="5" spans="1:5" s="5" customFormat="1">
      <c r="A5" s="61" t="s">
        <v>4</v>
      </c>
      <c r="B5" s="200" t="str">
        <f>CHANGELIGHT</f>
        <v>GREEN</v>
      </c>
      <c r="C5" s="65"/>
      <c r="D5" s="65"/>
      <c r="E5" s="65"/>
    </row>
    <row r="6" spans="1:5" s="5" customFormat="1">
      <c r="A6" s="61" t="s">
        <v>5</v>
      </c>
      <c r="B6" s="201" t="str">
        <f>DEPENDENCYLIGHT</f>
        <v/>
      </c>
      <c r="C6" s="65"/>
      <c r="D6" s="65"/>
      <c r="E6" s="65"/>
    </row>
    <row r="7" spans="1:5" s="5" customFormat="1">
      <c r="A7" s="61" t="s">
        <v>6</v>
      </c>
      <c r="B7" s="201" t="str">
        <f>MEASURELIGHT</f>
        <v/>
      </c>
      <c r="C7" s="65"/>
      <c r="D7" s="65"/>
      <c r="E7" s="65"/>
    </row>
    <row r="8" spans="1:5" s="5" customFormat="1" ht="15">
      <c r="A8" s="61" t="s">
        <v>7</v>
      </c>
      <c r="B8" s="200" t="str">
        <f>COMMUNICATIONLIGHT</f>
        <v>GREEN</v>
      </c>
      <c r="C8" s="65"/>
      <c r="D8" s="102"/>
      <c r="E8" s="65"/>
    </row>
    <row r="9" spans="1:5" s="5" customFormat="1" ht="15">
      <c r="A9" s="61" t="s">
        <v>8</v>
      </c>
      <c r="B9" s="202" t="str">
        <f>FINANCELIGHT</f>
        <v>GREEN</v>
      </c>
      <c r="C9" s="65"/>
      <c r="D9" s="102"/>
      <c r="E9" s="65"/>
    </row>
    <row r="10" spans="1:5" s="5" customFormat="1">
      <c r="A10" s="72"/>
      <c r="B10" s="203"/>
      <c r="C10" s="65"/>
      <c r="D10" s="65"/>
      <c r="E10" s="65"/>
    </row>
    <row r="11" spans="1:5" s="5" customFormat="1" ht="15.95" customHeight="1">
      <c r="A11" s="72"/>
      <c r="B11" s="204" t="str">
        <f>ProjNo</f>
        <v>RT029</v>
      </c>
      <c r="C11" s="205" t="str">
        <f>ProjName</f>
        <v>Cloud Based Bioinformatics Tools</v>
      </c>
      <c r="D11" s="65"/>
      <c r="E11" s="65"/>
    </row>
    <row r="12" spans="1:5" ht="15.95" customHeight="1">
      <c r="A12" s="72"/>
      <c r="B12" s="206" t="s">
        <v>42</v>
      </c>
      <c r="C12" s="207">
        <f>ReportFrom</f>
        <v>41244</v>
      </c>
      <c r="D12" s="208"/>
      <c r="E12" s="65"/>
    </row>
    <row r="13" spans="1:5" ht="15.95" customHeight="1">
      <c r="A13" s="72"/>
      <c r="B13" s="209" t="s">
        <v>43</v>
      </c>
      <c r="C13" s="210">
        <f>LastDateReport</f>
        <v>41334</v>
      </c>
      <c r="D13" s="208"/>
      <c r="E13" s="65"/>
    </row>
    <row r="14" spans="1:5" ht="15.95" customHeight="1">
      <c r="A14" s="72"/>
      <c r="B14" s="211"/>
      <c r="C14" s="212"/>
      <c r="D14" s="208"/>
      <c r="E14" s="65"/>
    </row>
    <row r="15" spans="1:5" ht="18.95" customHeight="1">
      <c r="A15" s="65"/>
      <c r="B15" s="94" t="s">
        <v>312</v>
      </c>
      <c r="C15" s="94"/>
      <c r="D15" s="94"/>
      <c r="E15" s="94"/>
    </row>
    <row r="16" spans="1:5" ht="15.95" customHeight="1">
      <c r="A16" s="65"/>
      <c r="B16" s="509" t="s">
        <v>313</v>
      </c>
      <c r="C16" s="509"/>
      <c r="D16" s="509"/>
      <c r="E16" s="509"/>
    </row>
    <row r="17" spans="2:10" ht="15" customHeight="1">
      <c r="B17" s="346" t="s">
        <v>314</v>
      </c>
    </row>
    <row r="18" spans="2:10" s="5" customFormat="1" ht="15" customHeight="1">
      <c r="B18" s="346"/>
    </row>
    <row r="19" spans="2:10" ht="32.1" customHeight="1">
      <c r="B19" s="347" t="s">
        <v>315</v>
      </c>
      <c r="C19" s="347" t="s">
        <v>316</v>
      </c>
      <c r="D19" s="347" t="s">
        <v>317</v>
      </c>
      <c r="E19" s="347" t="s">
        <v>318</v>
      </c>
      <c r="F19" s="347" t="s">
        <v>319</v>
      </c>
      <c r="G19" s="347" t="s">
        <v>320</v>
      </c>
      <c r="H19" s="347" t="s">
        <v>321</v>
      </c>
      <c r="I19" s="347" t="s">
        <v>322</v>
      </c>
      <c r="J19" s="347" t="s">
        <v>113</v>
      </c>
    </row>
    <row r="20" spans="2:10" ht="32.1" customHeight="1">
      <c r="B20" s="348" t="s">
        <v>381</v>
      </c>
      <c r="C20" s="348" t="s">
        <v>279</v>
      </c>
      <c r="D20" s="348" t="s">
        <v>323</v>
      </c>
      <c r="E20" s="349" t="s">
        <v>324</v>
      </c>
      <c r="F20" s="348" t="s">
        <v>325</v>
      </c>
      <c r="G20" s="350">
        <v>54768</v>
      </c>
      <c r="H20" s="348" t="s">
        <v>326</v>
      </c>
      <c r="I20" s="348" t="s">
        <v>381</v>
      </c>
      <c r="J20" s="348" t="s">
        <v>278</v>
      </c>
    </row>
    <row r="21" spans="2:10" ht="32.1" customHeight="1">
      <c r="B21" s="348" t="s">
        <v>382</v>
      </c>
      <c r="C21" s="348" t="s">
        <v>279</v>
      </c>
      <c r="D21" s="367" t="s">
        <v>372</v>
      </c>
      <c r="E21" s="349" t="s">
        <v>324</v>
      </c>
      <c r="F21" s="348" t="s">
        <v>325</v>
      </c>
      <c r="G21" s="492">
        <v>42374</v>
      </c>
      <c r="H21" s="348" t="s">
        <v>326</v>
      </c>
      <c r="I21" s="348" t="s">
        <v>382</v>
      </c>
      <c r="J21" s="348" t="s">
        <v>278</v>
      </c>
    </row>
    <row r="22" spans="2:10" ht="32.1" customHeight="1">
      <c r="B22" s="348" t="s">
        <v>384</v>
      </c>
      <c r="C22" s="348" t="s">
        <v>279</v>
      </c>
      <c r="D22" s="348" t="s">
        <v>390</v>
      </c>
      <c r="E22" s="349" t="s">
        <v>379</v>
      </c>
      <c r="F22" s="348" t="s">
        <v>325</v>
      </c>
      <c r="G22" s="350">
        <v>42374</v>
      </c>
      <c r="H22" s="348" t="s">
        <v>326</v>
      </c>
      <c r="I22" s="348" t="s">
        <v>384</v>
      </c>
      <c r="J22" s="348" t="s">
        <v>278</v>
      </c>
    </row>
    <row r="23" spans="2:10" ht="32.1" customHeight="1">
      <c r="B23" s="348" t="s">
        <v>383</v>
      </c>
      <c r="C23" s="348" t="s">
        <v>279</v>
      </c>
      <c r="D23" s="348" t="s">
        <v>378</v>
      </c>
      <c r="E23" s="349" t="s">
        <v>379</v>
      </c>
      <c r="F23" s="348" t="s">
        <v>325</v>
      </c>
      <c r="G23" s="350">
        <v>97714</v>
      </c>
      <c r="H23" s="348" t="s">
        <v>326</v>
      </c>
      <c r="I23" s="348" t="s">
        <v>383</v>
      </c>
      <c r="J23" s="348" t="s">
        <v>278</v>
      </c>
    </row>
    <row r="24" spans="2:10" ht="32.1" customHeight="1">
      <c r="B24" s="348"/>
      <c r="C24" s="348"/>
      <c r="D24" s="348"/>
      <c r="E24" s="349"/>
      <c r="F24" s="348"/>
      <c r="G24" s="350"/>
      <c r="H24" s="348"/>
      <c r="I24" s="348"/>
      <c r="J24" s="348"/>
    </row>
    <row r="25" spans="2:10" ht="32.1" customHeight="1">
      <c r="B25" s="348"/>
      <c r="C25" s="348"/>
      <c r="D25" s="348"/>
      <c r="E25" s="349"/>
      <c r="F25" s="348"/>
      <c r="G25" s="350"/>
      <c r="H25" s="348"/>
      <c r="I25" s="348"/>
      <c r="J25" s="348"/>
    </row>
    <row r="26" spans="2:10" ht="32.1" customHeight="1">
      <c r="B26" s="348"/>
      <c r="C26" s="348"/>
      <c r="D26" s="348"/>
      <c r="E26" s="349"/>
      <c r="F26" s="348"/>
      <c r="G26" s="350"/>
      <c r="H26" s="348"/>
      <c r="I26" s="348"/>
      <c r="J26" s="348"/>
    </row>
    <row r="27" spans="2:10" ht="32.1" customHeight="1">
      <c r="B27" s="348"/>
      <c r="C27" s="348"/>
      <c r="D27" s="348"/>
      <c r="E27" s="349"/>
      <c r="F27" s="348"/>
      <c r="G27" s="350"/>
      <c r="H27" s="348"/>
      <c r="I27" s="348"/>
      <c r="J27" s="348"/>
    </row>
    <row r="28" spans="2:10" ht="32.1" customHeight="1">
      <c r="B28" s="348"/>
      <c r="C28" s="348"/>
      <c r="D28" s="348"/>
      <c r="E28" s="349"/>
      <c r="F28" s="348"/>
      <c r="G28" s="350"/>
      <c r="H28" s="348"/>
      <c r="I28" s="348"/>
      <c r="J28" s="348"/>
    </row>
    <row r="29" spans="2:10" ht="32.1" customHeight="1">
      <c r="B29" s="348"/>
      <c r="C29" s="348"/>
      <c r="D29" s="348"/>
      <c r="E29" s="349"/>
      <c r="F29" s="348"/>
      <c r="G29" s="350"/>
      <c r="H29" s="348"/>
      <c r="I29" s="348"/>
      <c r="J29" s="348"/>
    </row>
    <row r="30" spans="2:10" ht="32.1" customHeight="1">
      <c r="B30" s="348"/>
      <c r="C30" s="348"/>
      <c r="D30" s="348"/>
      <c r="E30" s="349"/>
      <c r="F30" s="348"/>
      <c r="G30" s="350"/>
      <c r="H30" s="348"/>
      <c r="I30" s="348"/>
      <c r="J30" s="348"/>
    </row>
    <row r="31" spans="2:10" ht="32.1" customHeight="1">
      <c r="B31" s="348"/>
      <c r="C31" s="348"/>
      <c r="D31" s="348"/>
      <c r="E31" s="349"/>
      <c r="F31" s="348"/>
      <c r="G31" s="350"/>
      <c r="H31" s="348"/>
      <c r="I31" s="348"/>
      <c r="J31" s="348"/>
    </row>
    <row r="32" spans="2:10" ht="32.1" customHeight="1">
      <c r="B32" s="348"/>
      <c r="C32" s="348"/>
      <c r="D32" s="348"/>
      <c r="E32" s="349"/>
      <c r="F32" s="348"/>
      <c r="G32" s="350"/>
      <c r="H32" s="348"/>
      <c r="I32" s="348"/>
      <c r="J32" s="348"/>
    </row>
    <row r="33" spans="2:10" ht="32.1" customHeight="1">
      <c r="B33" s="348"/>
      <c r="C33" s="348"/>
      <c r="D33" s="348"/>
      <c r="E33" s="349"/>
      <c r="F33" s="348"/>
      <c r="G33" s="350"/>
      <c r="H33" s="348"/>
      <c r="I33" s="348"/>
      <c r="J33" s="348"/>
    </row>
    <row r="34" spans="2:10" ht="32.1" customHeight="1">
      <c r="B34" s="348"/>
      <c r="C34" s="348"/>
      <c r="D34" s="348"/>
      <c r="E34" s="349"/>
      <c r="F34" s="348"/>
      <c r="G34" s="350"/>
      <c r="H34" s="348"/>
      <c r="I34" s="348"/>
      <c r="J34" s="348"/>
    </row>
    <row r="35" spans="2:10" ht="32.1" customHeight="1">
      <c r="B35" s="348"/>
      <c r="C35" s="348"/>
      <c r="D35" s="348"/>
      <c r="E35" s="349"/>
      <c r="F35" s="348"/>
      <c r="G35" s="350"/>
      <c r="H35" s="348"/>
      <c r="I35" s="348"/>
      <c r="J35" s="348"/>
    </row>
    <row r="36" spans="2:10" ht="32.1" customHeight="1">
      <c r="B36" s="348"/>
      <c r="C36" s="348"/>
      <c r="D36" s="348"/>
      <c r="E36" s="349"/>
      <c r="F36" s="348"/>
      <c r="G36" s="350"/>
      <c r="H36" s="348"/>
      <c r="I36" s="348"/>
      <c r="J36" s="348"/>
    </row>
  </sheetData>
  <sheetProtection sheet="1" formatColumns="0" selectLockedCells="1"/>
  <mergeCells count="1">
    <mergeCell ref="B16:E16"/>
  </mergeCells>
  <conditionalFormatting sqref="B1:B11 C10:C11 D10:E14">
    <cfRule type="cellIs" dxfId="2" priority="1" operator="equal">
      <formula>"AMBER"</formula>
    </cfRule>
  </conditionalFormatting>
  <conditionalFormatting sqref="B1:B11 C10:C11 D10:E14">
    <cfRule type="cellIs" dxfId="1" priority="2" operator="equal">
      <formula>"RED"</formula>
    </cfRule>
  </conditionalFormatting>
  <conditionalFormatting sqref="B1:B11 C10:C11 D10:E14">
    <cfRule type="cellIs" dxfId="0" priority="3" operator="equal">
      <formula>"GREEN"</formula>
    </cfRule>
  </conditionalFormatting>
  <dataValidations count="8">
    <dataValidation allowBlank="1" showInputMessage="1" showErrorMessage="1" promptTitle="Asset Ref" prompt="Unique identifier allocated by your project to identify this asset." sqref="B24:B36 B20:B22"/>
    <dataValidation type="list" allowBlank="1" showInputMessage="1" showErrorMessage="1" promptTitle="Asset Type" prompt="Please select the type of asset from Hardware; Software; Document" sqref="C24:C36 C20:C22">
      <formula1>AssetTypeItems</formula1>
    </dataValidation>
    <dataValidation allowBlank="1" showInputMessage="1" showErrorMessage="1" promptTitle="Version Number" prompt="Where appropriate, such as with software, enter the version number of the asset." sqref="E24:E36 E20:E22"/>
    <dataValidation allowBlank="1" showInputMessage="1" showErrorMessage="1" promptTitle="Owner of the Asset" prompt="This is likely to be the lead agent on the project." sqref="F24:F36 F20:F22"/>
    <dataValidation allowBlank="1" showInputMessage="1" showErrorMessage="1" promptTitle="Value of Asset" prompt="For software, cost to develop via NeCTAR EIF AND Co-Investment. For hardware, cost of asset." sqref="G24:G36 G20:G22"/>
    <dataValidation allowBlank="1" showInputMessage="1" showErrorMessage="1" promptTitle="Location of Asset" prompt="For software, this may be a software repository/url. For hardware,the physical location (mailing address.)" sqref="H24:H36 H20:H22"/>
    <dataValidation allowBlank="1" showInputMessage="1" showErrorMessage="1" promptTitle="Local Asset Tag" prompt="Where allocated." sqref="I24:I36 I20:I22"/>
    <dataValidation type="list" allowBlank="1" showInputMessage="1" showErrorMessage="1" promptTitle="Current Status of Asset" prompt="Please select an option; In Pilot; In Production; Out of Service." sqref="J24:J36 J20:J22">
      <formula1>StatusItems</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 right="0.7" top="0.75" bottom="0.75" header="0.3" footer="0.3"/>
  <pageSetup paperSize="9" scale="87" fitToHeight="0" orientation="landscape" r:id="rId1"/>
</worksheet>
</file>

<file path=xl/worksheets/sheet14.xml><?xml version="1.0" encoding="utf-8"?>
<worksheet xmlns="http://schemas.openxmlformats.org/spreadsheetml/2006/main" xmlns:r="http://schemas.openxmlformats.org/officeDocument/2006/relationships">
  <dimension ref="A1"/>
  <sheetViews>
    <sheetView workbookViewId="0">
      <selection activeCell="I13" sqref="I13"/>
    </sheetView>
  </sheetViews>
  <sheetFormatPr defaultColWidth="8.85546875" defaultRowHeight="12.75"/>
  <sheetData/>
  <sheetProtection sheet="1" formatColumns="0" selectLockedCells="1"/>
  <pageMargins left="0.7" right="0.7" top="0.75" bottom="0.75" header="0.3" footer="0.3"/>
</worksheet>
</file>

<file path=xl/worksheets/sheet15.xml><?xml version="1.0" encoding="utf-8"?>
<worksheet xmlns="http://schemas.openxmlformats.org/spreadsheetml/2006/main" xmlns:r="http://schemas.openxmlformats.org/officeDocument/2006/relationships">
  <sheetPr>
    <pageSetUpPr fitToPage="1"/>
  </sheetPr>
  <dimension ref="A1:Y104"/>
  <sheetViews>
    <sheetView tabSelected="1" topLeftCell="A16" workbookViewId="0">
      <selection activeCell="I20" sqref="I20"/>
    </sheetView>
  </sheetViews>
  <sheetFormatPr defaultRowHeight="15"/>
  <cols>
    <col min="1" max="2" width="9.140625" style="372"/>
    <col min="3" max="3" width="23.42578125" style="372" bestFit="1" customWidth="1"/>
    <col min="4" max="5" width="12" style="372" bestFit="1" customWidth="1"/>
    <col min="6" max="6" width="11.7109375" style="372" bestFit="1" customWidth="1"/>
    <col min="7" max="7" width="12.85546875" style="372" customWidth="1"/>
    <col min="8" max="8" width="14.140625" style="372" bestFit="1" customWidth="1"/>
    <col min="9" max="9" width="14.85546875" style="372" bestFit="1" customWidth="1"/>
    <col min="10" max="10" width="12" style="372" bestFit="1" customWidth="1"/>
    <col min="11" max="11" width="14.42578125" style="372" customWidth="1"/>
    <col min="12" max="12" width="12" style="372" bestFit="1" customWidth="1"/>
    <col min="13" max="13" width="13.42578125" style="372" customWidth="1"/>
    <col min="14" max="22" width="0" style="372" hidden="1" customWidth="1"/>
    <col min="23" max="16384" width="9.140625" style="372"/>
  </cols>
  <sheetData>
    <row r="1" spans="1:21">
      <c r="B1" s="491"/>
      <c r="C1" s="490"/>
      <c r="D1" s="490"/>
    </row>
    <row r="2" spans="1:21">
      <c r="B2" s="480"/>
      <c r="C2" s="488"/>
      <c r="D2" s="488"/>
    </row>
    <row r="3" spans="1:21">
      <c r="B3" s="480"/>
      <c r="C3" s="488"/>
      <c r="D3" s="488"/>
    </row>
    <row r="4" spans="1:21">
      <c r="B4" s="480"/>
      <c r="C4" s="488"/>
      <c r="D4" s="488"/>
    </row>
    <row r="5" spans="1:21">
      <c r="B5" s="480"/>
      <c r="C5" s="488"/>
      <c r="D5" s="488"/>
    </row>
    <row r="6" spans="1:21">
      <c r="B6" s="480"/>
      <c r="C6" s="488"/>
      <c r="D6" s="488"/>
    </row>
    <row r="7" spans="1:21">
      <c r="B7" s="480"/>
      <c r="C7" s="488"/>
      <c r="D7" s="488"/>
    </row>
    <row r="8" spans="1:21">
      <c r="B8" s="480"/>
      <c r="C8" s="488"/>
      <c r="D8" s="488"/>
      <c r="F8" s="489"/>
    </row>
    <row r="9" spans="1:21">
      <c r="B9" s="480"/>
      <c r="C9" s="488"/>
      <c r="D9" s="488"/>
      <c r="F9" s="489"/>
    </row>
    <row r="10" spans="1:21">
      <c r="B10" s="480"/>
      <c r="C10" s="488"/>
      <c r="D10" s="488"/>
      <c r="R10" s="476"/>
    </row>
    <row r="11" spans="1:21" ht="17.25">
      <c r="B11" s="487" t="s">
        <v>13</v>
      </c>
      <c r="C11" s="486" t="s">
        <v>374</v>
      </c>
      <c r="D11" s="479"/>
      <c r="R11" s="476"/>
    </row>
    <row r="12" spans="1:21" ht="17.25">
      <c r="B12" s="485" t="s">
        <v>42</v>
      </c>
      <c r="C12" s="484"/>
      <c r="D12" s="481"/>
      <c r="F12" s="477"/>
      <c r="R12" s="476"/>
    </row>
    <row r="13" spans="1:21" ht="17.25">
      <c r="B13" s="483" t="s">
        <v>43</v>
      </c>
      <c r="C13" s="482">
        <v>41274</v>
      </c>
      <c r="D13" s="481"/>
      <c r="F13" s="477"/>
      <c r="R13" s="476"/>
    </row>
    <row r="14" spans="1:21" ht="17.25">
      <c r="B14" s="480"/>
      <c r="C14" s="479"/>
      <c r="D14" s="479"/>
      <c r="E14" s="478"/>
      <c r="F14" s="477"/>
      <c r="R14" s="476"/>
    </row>
    <row r="15" spans="1:21" ht="19.5">
      <c r="C15" s="475"/>
      <c r="D15" s="475"/>
      <c r="E15" s="475"/>
      <c r="F15" s="475"/>
      <c r="I15" s="475" t="s">
        <v>45</v>
      </c>
      <c r="J15" s="475" t="str">
        <f>FINANCELIGHT</f>
        <v>GREEN</v>
      </c>
      <c r="K15" s="475"/>
      <c r="M15" s="475"/>
    </row>
    <row r="16" spans="1:21">
      <c r="A16" s="373"/>
      <c r="B16" s="373"/>
      <c r="C16" s="373"/>
      <c r="D16" s="373"/>
      <c r="E16" s="373"/>
      <c r="F16" s="373"/>
      <c r="G16" s="373"/>
      <c r="H16" s="373"/>
      <c r="I16" s="373"/>
      <c r="J16" s="373"/>
      <c r="K16" s="373"/>
      <c r="L16" s="373"/>
      <c r="M16" s="373"/>
      <c r="N16" s="373"/>
      <c r="O16" s="373"/>
      <c r="P16" s="373"/>
      <c r="Q16" s="373"/>
      <c r="R16" s="373"/>
      <c r="S16" s="373"/>
      <c r="T16" s="373"/>
      <c r="U16" s="373"/>
    </row>
    <row r="17" spans="1:25" ht="15.75" thickBot="1">
      <c r="A17" s="373"/>
      <c r="B17" s="373"/>
      <c r="C17" s="373"/>
      <c r="D17" s="373"/>
      <c r="E17" s="373"/>
      <c r="F17" s="373"/>
      <c r="G17" s="373"/>
      <c r="H17" s="373"/>
      <c r="I17" s="373"/>
      <c r="J17" s="373"/>
      <c r="K17" s="373"/>
      <c r="L17" s="373"/>
      <c r="M17" s="373"/>
      <c r="N17" s="373"/>
      <c r="O17" s="373"/>
      <c r="P17" s="373"/>
      <c r="Q17" s="373"/>
      <c r="R17" s="373"/>
      <c r="S17" s="373"/>
      <c r="T17" s="373"/>
      <c r="U17" s="373"/>
    </row>
    <row r="18" spans="1:25" ht="15.75" thickBot="1">
      <c r="A18" s="373"/>
      <c r="B18" s="373"/>
      <c r="C18" s="474"/>
      <c r="D18" s="473"/>
      <c r="E18" s="523" t="s">
        <v>327</v>
      </c>
      <c r="F18" s="524"/>
      <c r="G18" s="524"/>
      <c r="H18" s="525"/>
      <c r="I18" s="471"/>
      <c r="J18" s="526" t="s">
        <v>328</v>
      </c>
      <c r="K18" s="527"/>
      <c r="L18" s="528"/>
      <c r="M18" s="373"/>
      <c r="N18" s="373"/>
      <c r="O18" s="373"/>
      <c r="P18" s="373"/>
      <c r="Q18" s="373"/>
      <c r="R18" s="373"/>
      <c r="S18" s="373"/>
      <c r="T18" s="373"/>
      <c r="U18" s="373"/>
    </row>
    <row r="19" spans="1:25" ht="64.5" thickBot="1">
      <c r="A19" s="373"/>
      <c r="B19" s="373"/>
      <c r="C19" s="472" t="s">
        <v>329</v>
      </c>
      <c r="D19" s="471"/>
      <c r="E19" s="470" t="s">
        <v>330</v>
      </c>
      <c r="F19" s="469" t="s">
        <v>331</v>
      </c>
      <c r="G19" s="469" t="s">
        <v>332</v>
      </c>
      <c r="H19" s="468" t="s">
        <v>333</v>
      </c>
      <c r="I19" s="467" t="s">
        <v>334</v>
      </c>
      <c r="J19" s="466" t="s">
        <v>335</v>
      </c>
      <c r="K19" s="465" t="s">
        <v>336</v>
      </c>
      <c r="L19" s="464" t="s">
        <v>337</v>
      </c>
      <c r="M19" s="373"/>
      <c r="N19" s="373"/>
      <c r="O19" s="373"/>
      <c r="P19" s="373"/>
      <c r="Q19" s="373"/>
      <c r="R19" s="373"/>
      <c r="S19" s="373"/>
      <c r="T19" s="373"/>
      <c r="U19" s="373"/>
    </row>
    <row r="20" spans="1:25" ht="15.75" thickBot="1">
      <c r="A20" s="373"/>
      <c r="B20" s="373"/>
      <c r="C20" s="463"/>
      <c r="D20" s="462"/>
      <c r="E20" s="461">
        <f>R46</f>
        <v>289000</v>
      </c>
      <c r="F20" s="460">
        <f>D38</f>
        <v>104000</v>
      </c>
      <c r="G20" s="460">
        <f>H38</f>
        <v>152482</v>
      </c>
      <c r="H20" s="459">
        <f>E20-F20</f>
        <v>185000</v>
      </c>
      <c r="I20" s="458">
        <f>E20-I38</f>
        <v>0</v>
      </c>
      <c r="J20" s="457">
        <f>R52</f>
        <v>323892</v>
      </c>
      <c r="K20" s="456">
        <f>L38</f>
        <v>84748</v>
      </c>
      <c r="L20" s="455">
        <f>J20-K20</f>
        <v>239144</v>
      </c>
      <c r="M20" s="373"/>
      <c r="N20" s="373"/>
      <c r="O20" s="373"/>
      <c r="P20" s="373"/>
      <c r="Q20" s="373"/>
      <c r="R20" s="373"/>
      <c r="S20" s="373"/>
      <c r="T20" s="373"/>
      <c r="U20" s="373"/>
    </row>
    <row r="21" spans="1:25">
      <c r="A21" s="373"/>
      <c r="B21" s="373"/>
      <c r="C21" s="373"/>
      <c r="D21" s="373"/>
      <c r="E21" s="373"/>
      <c r="F21" s="373"/>
      <c r="G21" s="373"/>
      <c r="H21" s="373"/>
      <c r="I21" s="373"/>
      <c r="J21" s="373"/>
      <c r="K21" s="373"/>
      <c r="L21" s="373"/>
      <c r="M21" s="373"/>
      <c r="N21" s="373"/>
      <c r="O21" s="373"/>
      <c r="P21" s="373"/>
      <c r="Q21" s="373"/>
      <c r="R21" s="373"/>
      <c r="S21" s="373"/>
      <c r="T21" s="373"/>
      <c r="U21" s="373"/>
    </row>
    <row r="22" spans="1:25" ht="15.75" thickBot="1">
      <c r="A22" s="373"/>
      <c r="B22" s="373"/>
      <c r="C22" s="373"/>
      <c r="D22" s="373"/>
      <c r="E22" s="373"/>
      <c r="F22" s="373"/>
      <c r="G22" s="373"/>
      <c r="H22" s="373"/>
      <c r="I22" s="373"/>
      <c r="J22" s="373"/>
      <c r="K22" s="373"/>
      <c r="L22" s="373"/>
      <c r="M22" s="373"/>
      <c r="N22" s="385" t="s">
        <v>338</v>
      </c>
      <c r="O22" s="373"/>
      <c r="P22" s="385"/>
      <c r="Q22" s="373"/>
      <c r="R22" s="373"/>
      <c r="S22" s="454" t="s">
        <v>339</v>
      </c>
      <c r="T22" s="454" t="s">
        <v>113</v>
      </c>
      <c r="U22" s="453"/>
    </row>
    <row r="23" spans="1:25" ht="45">
      <c r="A23" s="529" t="s">
        <v>340</v>
      </c>
      <c r="B23" s="531" t="s">
        <v>341</v>
      </c>
      <c r="C23" s="532"/>
      <c r="D23" s="533" t="s">
        <v>342</v>
      </c>
      <c r="E23" s="535" t="s">
        <v>343</v>
      </c>
      <c r="F23" s="533"/>
      <c r="G23" s="533"/>
      <c r="H23" s="536"/>
      <c r="I23" s="537" t="s">
        <v>344</v>
      </c>
      <c r="J23" s="539" t="s">
        <v>345</v>
      </c>
      <c r="K23" s="540"/>
      <c r="L23" s="541"/>
      <c r="M23" s="542" t="s">
        <v>346</v>
      </c>
      <c r="N23" s="452"/>
      <c r="O23" s="451"/>
      <c r="P23" s="544" t="s">
        <v>347</v>
      </c>
      <c r="Q23" s="544" t="s">
        <v>348</v>
      </c>
      <c r="R23" s="451"/>
      <c r="S23" s="450" t="s">
        <v>349</v>
      </c>
      <c r="T23" s="449" t="str">
        <f>IF(I38&lt;&gt;I39,"RED","Correct "&amp;I38&amp;" = "&amp;I39)</f>
        <v>Correct 289000 = 289000</v>
      </c>
      <c r="U23" s="546" t="s">
        <v>350</v>
      </c>
      <c r="V23" s="441"/>
      <c r="W23" s="441"/>
      <c r="X23" s="441"/>
      <c r="Y23" s="441"/>
    </row>
    <row r="24" spans="1:25" ht="45.75" thickBot="1">
      <c r="A24" s="530"/>
      <c r="B24" s="448" t="s">
        <v>289</v>
      </c>
      <c r="C24" s="445" t="s">
        <v>351</v>
      </c>
      <c r="D24" s="534"/>
      <c r="E24" s="447" t="s">
        <v>241</v>
      </c>
      <c r="F24" s="446" t="s">
        <v>240</v>
      </c>
      <c r="G24" s="446" t="s">
        <v>242</v>
      </c>
      <c r="H24" s="445" t="s">
        <v>35</v>
      </c>
      <c r="I24" s="538"/>
      <c r="J24" s="447" t="s">
        <v>352</v>
      </c>
      <c r="K24" s="446" t="s">
        <v>353</v>
      </c>
      <c r="L24" s="445" t="s">
        <v>35</v>
      </c>
      <c r="M24" s="543"/>
      <c r="N24" s="444"/>
      <c r="O24" s="443"/>
      <c r="P24" s="545"/>
      <c r="Q24" s="545"/>
      <c r="R24" s="443"/>
      <c r="S24" s="443" t="s">
        <v>354</v>
      </c>
      <c r="T24" s="442">
        <f>I39*0.3</f>
        <v>86700</v>
      </c>
      <c r="U24" s="547"/>
      <c r="V24" s="441"/>
      <c r="W24" s="441"/>
      <c r="X24" s="441"/>
      <c r="Y24" s="441"/>
    </row>
    <row r="25" spans="1:25">
      <c r="A25" s="440">
        <v>1</v>
      </c>
      <c r="B25" s="439">
        <v>41091</v>
      </c>
      <c r="C25" s="438">
        <v>41274</v>
      </c>
      <c r="D25" s="361">
        <v>104000</v>
      </c>
      <c r="E25" s="354">
        <v>122279</v>
      </c>
      <c r="F25" s="437">
        <v>0</v>
      </c>
      <c r="G25" s="437"/>
      <c r="H25" s="436">
        <f t="shared" ref="H25:H37" si="0">SUM(E25:G25)</f>
        <v>122279</v>
      </c>
      <c r="I25" s="357">
        <f t="shared" ref="I25:I26" si="1">H25</f>
        <v>122279</v>
      </c>
      <c r="J25" s="354">
        <v>2364</v>
      </c>
      <c r="K25" s="363">
        <v>72474</v>
      </c>
      <c r="L25" s="436">
        <f t="shared" ref="L25:L37" si="2">SUM(J25:K25)</f>
        <v>74838</v>
      </c>
      <c r="M25" s="355">
        <f t="shared" ref="M25:M26" si="3">L25</f>
        <v>74838</v>
      </c>
      <c r="N25" s="421" t="str">
        <f>IF(H25&gt;0,IF(I25&lt;&gt;H25,"WARNING!! UPDATE: G25 $"&amp;I25&amp;" WITH ACTUAL SPEND:$ "&amp;H25,""),"")</f>
        <v/>
      </c>
      <c r="O25" s="373"/>
      <c r="P25" s="435">
        <f t="shared" ref="P25:P37" si="4">IF(H25&gt;0,H25,I25)</f>
        <v>122279</v>
      </c>
      <c r="Q25" s="434">
        <f t="shared" ref="Q25:Q37" si="5">IF(L25&gt;0,L25,M25)</f>
        <v>74838</v>
      </c>
      <c r="R25" s="373"/>
      <c r="S25" s="385" t="str">
        <f>S24&amp;" or more in last quarter"</f>
        <v>30% of funds or more in last quarter</v>
      </c>
      <c r="T25" s="385" t="str">
        <f>IF(LASTQUARTER&gt;T24-1,"RED","Less than "&amp; S24&amp;" in last quarter: "&amp;LASTQUARTER)</f>
        <v>Less than 30% of funds in last quarter: 15552</v>
      </c>
      <c r="U25" s="433">
        <f t="shared" ref="U25:U37" si="6">M25+I25</f>
        <v>197117</v>
      </c>
    </row>
    <row r="26" spans="1:25">
      <c r="A26" s="420">
        <v>2</v>
      </c>
      <c r="B26" s="431">
        <f t="shared" ref="B26:B37" si="7">C25+1</f>
        <v>41275</v>
      </c>
      <c r="C26" s="430">
        <v>41364</v>
      </c>
      <c r="D26" s="362"/>
      <c r="E26" s="354">
        <v>30203</v>
      </c>
      <c r="F26" s="427"/>
      <c r="G26" s="427"/>
      <c r="H26" s="413">
        <f t="shared" si="0"/>
        <v>30203</v>
      </c>
      <c r="I26" s="357">
        <f t="shared" si="1"/>
        <v>30203</v>
      </c>
      <c r="J26" s="354"/>
      <c r="K26" s="363">
        <v>9910</v>
      </c>
      <c r="L26" s="413">
        <f t="shared" si="2"/>
        <v>9910</v>
      </c>
      <c r="M26" s="355">
        <f t="shared" si="3"/>
        <v>9910</v>
      </c>
      <c r="N26" s="421" t="str">
        <f>IF(H26&gt;0,IF(I26&lt;&gt;H26,"WARNING!! UPDATE: G26 $"&amp;I26&amp;" WITH ACTUAL SPEND:$ "&amp;H26,""),"")</f>
        <v/>
      </c>
      <c r="O26" s="373"/>
      <c r="P26" s="403">
        <f t="shared" si="4"/>
        <v>30203</v>
      </c>
      <c r="Q26" s="402">
        <f t="shared" si="5"/>
        <v>9910</v>
      </c>
      <c r="R26" s="373"/>
      <c r="S26" s="385" t="s">
        <v>355</v>
      </c>
      <c r="T26" s="385">
        <f>LASTQUARTER</f>
        <v>15552</v>
      </c>
      <c r="U26" s="416">
        <f t="shared" si="6"/>
        <v>40113</v>
      </c>
    </row>
    <row r="27" spans="1:25">
      <c r="A27" s="420">
        <v>3</v>
      </c>
      <c r="B27" s="431">
        <f t="shared" si="7"/>
        <v>41365</v>
      </c>
      <c r="C27" s="430">
        <v>41455</v>
      </c>
      <c r="D27" s="429"/>
      <c r="E27" s="428"/>
      <c r="F27" s="427"/>
      <c r="G27" s="427"/>
      <c r="H27" s="413">
        <f t="shared" si="0"/>
        <v>0</v>
      </c>
      <c r="I27" s="357">
        <v>60141</v>
      </c>
      <c r="J27" s="354"/>
      <c r="K27" s="363"/>
      <c r="L27" s="413">
        <f t="shared" si="2"/>
        <v>0</v>
      </c>
      <c r="M27" s="355">
        <v>10945</v>
      </c>
      <c r="N27" s="421" t="str">
        <f>IF(H27&gt;0,IF(I27&lt;&gt;H27,"WARNING!! UPDATE: G27 $"&amp;I27&amp;" WITH ACTUAL SPEND:$ "&amp;H27,""),"")</f>
        <v/>
      </c>
      <c r="O27" s="373"/>
      <c r="P27" s="403">
        <f t="shared" si="4"/>
        <v>60141</v>
      </c>
      <c r="Q27" s="402">
        <f t="shared" si="5"/>
        <v>10945</v>
      </c>
      <c r="R27" s="373"/>
      <c r="S27" s="385" t="s">
        <v>356</v>
      </c>
      <c r="T27" s="432">
        <f>I39*0.2</f>
        <v>57800</v>
      </c>
      <c r="U27" s="416">
        <f t="shared" si="6"/>
        <v>71086</v>
      </c>
    </row>
    <row r="28" spans="1:25">
      <c r="A28" s="420">
        <v>4</v>
      </c>
      <c r="B28" s="431">
        <f t="shared" si="7"/>
        <v>41456</v>
      </c>
      <c r="C28" s="430">
        <v>41547</v>
      </c>
      <c r="D28" s="429"/>
      <c r="E28" s="428"/>
      <c r="F28" s="427"/>
      <c r="G28" s="427"/>
      <c r="H28" s="413">
        <f t="shared" si="0"/>
        <v>0</v>
      </c>
      <c r="I28" s="357">
        <v>60825</v>
      </c>
      <c r="J28" s="354"/>
      <c r="K28" s="363"/>
      <c r="L28" s="413">
        <f t="shared" si="2"/>
        <v>0</v>
      </c>
      <c r="M28" s="355">
        <v>6000</v>
      </c>
      <c r="N28" s="421" t="str">
        <f>IF(H28&gt;0,IF(I28&lt;&gt;H28,"WARNING!! UPDATE: G28 $"&amp;I28&amp;" WITH ACTUAL SPEND:$ "&amp;H28,""),"")</f>
        <v/>
      </c>
      <c r="O28" s="373"/>
      <c r="P28" s="403">
        <f t="shared" si="4"/>
        <v>60825</v>
      </c>
      <c r="Q28" s="402">
        <f t="shared" si="5"/>
        <v>6000</v>
      </c>
      <c r="R28" s="373"/>
      <c r="S28" s="385" t="str">
        <f>S27&amp; " or more in last quarter"</f>
        <v>20% of funds or more in last quarter</v>
      </c>
      <c r="T28" s="385" t="str">
        <f>IF(LASTQUARTER&gt;T27-1,"AMBER","Less than "&amp;S27&amp;" in last quarter: "&amp;LASTQUARTER)</f>
        <v>Less than 20% of funds in last quarter: 15552</v>
      </c>
      <c r="U28" s="416">
        <f t="shared" si="6"/>
        <v>66825</v>
      </c>
    </row>
    <row r="29" spans="1:25">
      <c r="A29" s="420">
        <v>5</v>
      </c>
      <c r="B29" s="431">
        <f t="shared" si="7"/>
        <v>41548</v>
      </c>
      <c r="C29" s="430">
        <v>41639</v>
      </c>
      <c r="D29" s="429"/>
      <c r="E29" s="428"/>
      <c r="F29" s="427"/>
      <c r="G29" s="427"/>
      <c r="H29" s="413">
        <f t="shared" si="0"/>
        <v>0</v>
      </c>
      <c r="I29" s="493">
        <f>17150-1598</f>
        <v>15552</v>
      </c>
      <c r="J29" s="354"/>
      <c r="K29" s="363"/>
      <c r="L29" s="413">
        <f t="shared" si="2"/>
        <v>0</v>
      </c>
      <c r="M29" s="355">
        <v>16637</v>
      </c>
      <c r="N29" s="421" t="str">
        <f>IF(H29&gt;0,IF(I29&lt;&gt;H29,"WARNING!! UPDATE: G29 $"&amp;I29&amp;" WITH ACTUAL SPEND:$ "&amp;H29,""),"")</f>
        <v/>
      </c>
      <c r="O29" s="373"/>
      <c r="P29" s="403">
        <f t="shared" si="4"/>
        <v>15552</v>
      </c>
      <c r="Q29" s="402">
        <f t="shared" si="5"/>
        <v>16637</v>
      </c>
      <c r="R29" s="373"/>
      <c r="S29" s="385" t="s">
        <v>357</v>
      </c>
      <c r="T29" s="385" t="str">
        <f>IF(T23="RED","RED",IF(T25="RED","RED",IF(T28="AMBER","AMBER","GREEN")))</f>
        <v>GREEN</v>
      </c>
      <c r="U29" s="416">
        <f t="shared" si="6"/>
        <v>32189</v>
      </c>
    </row>
    <row r="30" spans="1:25">
      <c r="A30" s="420">
        <v>6</v>
      </c>
      <c r="B30" s="419">
        <f t="shared" si="7"/>
        <v>41640</v>
      </c>
      <c r="C30" s="418">
        <v>41729</v>
      </c>
      <c r="D30" s="424"/>
      <c r="E30" s="415"/>
      <c r="F30" s="414"/>
      <c r="G30" s="414"/>
      <c r="H30" s="413">
        <f t="shared" si="0"/>
        <v>0</v>
      </c>
      <c r="I30" s="416">
        <f t="shared" ref="I30:I37" si="8">H30</f>
        <v>0</v>
      </c>
      <c r="J30" s="415"/>
      <c r="K30" s="414"/>
      <c r="L30" s="413">
        <f t="shared" si="2"/>
        <v>0</v>
      </c>
      <c r="M30" s="492">
        <v>103317.5</v>
      </c>
      <c r="N30" s="421" t="str">
        <f>IF(H30&gt;0,IF(I30&lt;&gt;H30,"WARNING!! UPDATE: G30 $"&amp;I30&amp;" WITH ACTUAL SPEND:$ "&amp;H30,""),"")</f>
        <v/>
      </c>
      <c r="O30" s="373"/>
      <c r="P30" s="403">
        <f t="shared" si="4"/>
        <v>0</v>
      </c>
      <c r="Q30" s="402">
        <f t="shared" si="5"/>
        <v>103317.5</v>
      </c>
      <c r="R30" s="373"/>
      <c r="S30" s="373"/>
      <c r="T30" s="373"/>
      <c r="U30" s="416">
        <f t="shared" si="6"/>
        <v>103317.5</v>
      </c>
    </row>
    <row r="31" spans="1:25">
      <c r="A31" s="420">
        <v>7</v>
      </c>
      <c r="B31" s="419">
        <f t="shared" si="7"/>
        <v>41730</v>
      </c>
      <c r="C31" s="418">
        <v>41820</v>
      </c>
      <c r="D31" s="424"/>
      <c r="E31" s="426"/>
      <c r="F31" s="414"/>
      <c r="G31" s="414"/>
      <c r="H31" s="413">
        <f t="shared" si="0"/>
        <v>0</v>
      </c>
      <c r="I31" s="416">
        <f t="shared" si="8"/>
        <v>0</v>
      </c>
      <c r="J31" s="415"/>
      <c r="K31" s="414"/>
      <c r="L31" s="413">
        <f t="shared" si="2"/>
        <v>0</v>
      </c>
      <c r="M31" s="492">
        <v>103317.5</v>
      </c>
      <c r="N31" s="421" t="str">
        <f>IF(H31&gt;0,IF(I31&lt;&gt;H31,"WARNING!! UPDATE: G31 $"&amp;I31&amp;" WITH ACTUAL SPEND:$ "&amp;H31,""),"")</f>
        <v/>
      </c>
      <c r="O31" s="373"/>
      <c r="P31" s="403">
        <f t="shared" si="4"/>
        <v>0</v>
      </c>
      <c r="Q31" s="402">
        <f t="shared" si="5"/>
        <v>103317.5</v>
      </c>
      <c r="R31" s="373"/>
      <c r="S31" s="373"/>
      <c r="T31" s="373"/>
      <c r="U31" s="416">
        <f t="shared" si="6"/>
        <v>103317.5</v>
      </c>
    </row>
    <row r="32" spans="1:25">
      <c r="A32" s="420">
        <v>8</v>
      </c>
      <c r="B32" s="419">
        <f t="shared" si="7"/>
        <v>41821</v>
      </c>
      <c r="C32" s="418">
        <v>41912</v>
      </c>
      <c r="D32" s="424"/>
      <c r="E32" s="415"/>
      <c r="F32" s="425"/>
      <c r="G32" s="414"/>
      <c r="H32" s="413">
        <f t="shared" si="0"/>
        <v>0</v>
      </c>
      <c r="I32" s="416">
        <f t="shared" si="8"/>
        <v>0</v>
      </c>
      <c r="J32" s="415"/>
      <c r="K32" s="414"/>
      <c r="L32" s="413">
        <f t="shared" si="2"/>
        <v>0</v>
      </c>
      <c r="M32" s="422">
        <v>0</v>
      </c>
      <c r="N32" s="421" t="str">
        <f>IF(H32&gt;0,IF(I32&lt;&gt;H32,"WARNING!! UPDATE: G32 $"&amp;I32&amp;" WITH ACTUAL SPEND:$ "&amp;H32,""),"")</f>
        <v/>
      </c>
      <c r="O32" s="373"/>
      <c r="P32" s="403">
        <f t="shared" si="4"/>
        <v>0</v>
      </c>
      <c r="Q32" s="402">
        <f t="shared" si="5"/>
        <v>0</v>
      </c>
      <c r="R32" s="373"/>
      <c r="S32" s="373"/>
      <c r="T32" s="373"/>
      <c r="U32" s="416">
        <f t="shared" si="6"/>
        <v>0</v>
      </c>
    </row>
    <row r="33" spans="1:21">
      <c r="A33" s="420">
        <v>9</v>
      </c>
      <c r="B33" s="419">
        <f t="shared" si="7"/>
        <v>41913</v>
      </c>
      <c r="C33" s="418">
        <v>42004</v>
      </c>
      <c r="D33" s="424"/>
      <c r="E33" s="415"/>
      <c r="F33" s="414"/>
      <c r="G33" s="414"/>
      <c r="H33" s="413">
        <f t="shared" si="0"/>
        <v>0</v>
      </c>
      <c r="I33" s="416">
        <f t="shared" si="8"/>
        <v>0</v>
      </c>
      <c r="J33" s="415"/>
      <c r="K33" s="414"/>
      <c r="L33" s="413">
        <f t="shared" si="2"/>
        <v>0</v>
      </c>
      <c r="M33" s="422">
        <v>0</v>
      </c>
      <c r="N33" s="421" t="str">
        <f>IF(H33&gt;0,IF(I33&lt;&gt;H33,"WARNING!! UPDATE: G33 $"&amp;I33&amp;" WITH ACTUAL SPEND:$ "&amp;H33,""),"")</f>
        <v/>
      </c>
      <c r="O33" s="373"/>
      <c r="P33" s="403">
        <f t="shared" si="4"/>
        <v>0</v>
      </c>
      <c r="Q33" s="402">
        <f t="shared" si="5"/>
        <v>0</v>
      </c>
      <c r="R33" s="373"/>
      <c r="S33" s="373"/>
      <c r="T33" s="373"/>
      <c r="U33" s="416">
        <f t="shared" si="6"/>
        <v>0</v>
      </c>
    </row>
    <row r="34" spans="1:21">
      <c r="A34" s="420">
        <v>10</v>
      </c>
      <c r="B34" s="419">
        <f t="shared" si="7"/>
        <v>42005</v>
      </c>
      <c r="C34" s="418">
        <v>42094</v>
      </c>
      <c r="D34" s="423"/>
      <c r="E34" s="415"/>
      <c r="F34" s="414"/>
      <c r="G34" s="414"/>
      <c r="H34" s="413">
        <f t="shared" si="0"/>
        <v>0</v>
      </c>
      <c r="I34" s="416">
        <f t="shared" si="8"/>
        <v>0</v>
      </c>
      <c r="J34" s="415"/>
      <c r="K34" s="414"/>
      <c r="L34" s="413">
        <f t="shared" si="2"/>
        <v>0</v>
      </c>
      <c r="M34" s="422">
        <v>0</v>
      </c>
      <c r="N34" s="421" t="str">
        <f>IF(H34&gt;0,IF(I34&lt;&gt;H34,"WARNING!! UPDATE: G34 $"&amp;I34&amp;" WITH ACTUAL SPEND:$ "&amp;H34,""),"")</f>
        <v/>
      </c>
      <c r="O34" s="373"/>
      <c r="P34" s="403">
        <f t="shared" si="4"/>
        <v>0</v>
      </c>
      <c r="Q34" s="402">
        <f t="shared" si="5"/>
        <v>0</v>
      </c>
      <c r="R34" s="373"/>
      <c r="S34" s="373"/>
      <c r="T34" s="373"/>
      <c r="U34" s="416">
        <f t="shared" si="6"/>
        <v>0</v>
      </c>
    </row>
    <row r="35" spans="1:21">
      <c r="A35" s="420">
        <v>11</v>
      </c>
      <c r="B35" s="419">
        <f t="shared" si="7"/>
        <v>42095</v>
      </c>
      <c r="C35" s="418">
        <v>42185</v>
      </c>
      <c r="D35" s="423"/>
      <c r="E35" s="415"/>
      <c r="F35" s="414"/>
      <c r="G35" s="414"/>
      <c r="H35" s="413">
        <f t="shared" si="0"/>
        <v>0</v>
      </c>
      <c r="I35" s="416">
        <f t="shared" si="8"/>
        <v>0</v>
      </c>
      <c r="J35" s="415"/>
      <c r="K35" s="414"/>
      <c r="L35" s="413">
        <f t="shared" si="2"/>
        <v>0</v>
      </c>
      <c r="M35" s="422">
        <v>0</v>
      </c>
      <c r="N35" s="421" t="str">
        <f>IF(H35&gt;0,IF(I35&lt;&gt;H35,"WARNING!! UPDATE: G35 $"&amp;I35&amp;" WITH ACTUAL SPEND:$ "&amp;H35,""),"")</f>
        <v/>
      </c>
      <c r="O35" s="373"/>
      <c r="P35" s="403">
        <f t="shared" si="4"/>
        <v>0</v>
      </c>
      <c r="Q35" s="402">
        <f t="shared" si="5"/>
        <v>0</v>
      </c>
      <c r="R35" s="373"/>
      <c r="S35" s="373"/>
      <c r="T35" s="373"/>
      <c r="U35" s="416">
        <f t="shared" si="6"/>
        <v>0</v>
      </c>
    </row>
    <row r="36" spans="1:21" ht="15.75" thickBot="1">
      <c r="A36" s="420">
        <v>12</v>
      </c>
      <c r="B36" s="419">
        <f t="shared" si="7"/>
        <v>42186</v>
      </c>
      <c r="C36" s="418">
        <v>42277</v>
      </c>
      <c r="D36" s="417"/>
      <c r="E36" s="415"/>
      <c r="F36" s="414"/>
      <c r="G36" s="414"/>
      <c r="H36" s="413">
        <f t="shared" si="0"/>
        <v>0</v>
      </c>
      <c r="I36" s="416">
        <f t="shared" si="8"/>
        <v>0</v>
      </c>
      <c r="J36" s="415"/>
      <c r="K36" s="414"/>
      <c r="L36" s="413">
        <f t="shared" si="2"/>
        <v>0</v>
      </c>
      <c r="M36" s="402">
        <f>L36</f>
        <v>0</v>
      </c>
      <c r="N36" s="375" t="str">
        <f>IF(H36&gt;0,IF(I36&lt;&gt;H36,"WARNING!! UPDATE: G36 $"&amp;I36&amp;" WITH ACTUAL SPEND:$ "&amp;H36,""),"")</f>
        <v/>
      </c>
      <c r="O36" s="375"/>
      <c r="P36" s="403">
        <f t="shared" si="4"/>
        <v>0</v>
      </c>
      <c r="Q36" s="402">
        <f t="shared" si="5"/>
        <v>0</v>
      </c>
      <c r="R36" s="373"/>
      <c r="S36" s="373"/>
      <c r="T36" s="373"/>
      <c r="U36" s="408">
        <f t="shared" si="6"/>
        <v>0</v>
      </c>
    </row>
    <row r="37" spans="1:21" ht="15.75" thickBot="1">
      <c r="A37" s="412">
        <v>13</v>
      </c>
      <c r="B37" s="411">
        <f t="shared" si="7"/>
        <v>42278</v>
      </c>
      <c r="C37" s="410">
        <v>42369</v>
      </c>
      <c r="D37" s="409"/>
      <c r="E37" s="407"/>
      <c r="F37" s="406"/>
      <c r="G37" s="406"/>
      <c r="H37" s="405">
        <f t="shared" si="0"/>
        <v>0</v>
      </c>
      <c r="I37" s="408">
        <f t="shared" si="8"/>
        <v>0</v>
      </c>
      <c r="J37" s="407"/>
      <c r="K37" s="406"/>
      <c r="L37" s="405">
        <f t="shared" si="2"/>
        <v>0</v>
      </c>
      <c r="M37" s="404">
        <f>L37</f>
        <v>0</v>
      </c>
      <c r="N37" s="375" t="str">
        <f>IF(H37&gt;0,IF(I37&lt;&gt;H37,"WARNING!! UPDATE: G37 $"&amp;I37&amp;" WITH ACTUAL SPEND:$ "&amp;H37,""),"")</f>
        <v/>
      </c>
      <c r="O37" s="375"/>
      <c r="P37" s="403">
        <f t="shared" si="4"/>
        <v>0</v>
      </c>
      <c r="Q37" s="402">
        <f t="shared" si="5"/>
        <v>0</v>
      </c>
      <c r="R37" s="373"/>
      <c r="S37" s="373"/>
      <c r="T37" s="373"/>
      <c r="U37" s="401">
        <f t="shared" si="6"/>
        <v>0</v>
      </c>
    </row>
    <row r="38" spans="1:21" ht="15.75" thickBot="1">
      <c r="A38" s="373"/>
      <c r="B38" s="400"/>
      <c r="C38" s="399" t="s">
        <v>358</v>
      </c>
      <c r="D38" s="398">
        <f t="shared" ref="D38:M38" si="9">SUM(D25:D37)</f>
        <v>104000</v>
      </c>
      <c r="E38" s="396">
        <f t="shared" si="9"/>
        <v>152482</v>
      </c>
      <c r="F38" s="395">
        <f t="shared" si="9"/>
        <v>0</v>
      </c>
      <c r="G38" s="395">
        <f t="shared" si="9"/>
        <v>0</v>
      </c>
      <c r="H38" s="394">
        <f t="shared" si="9"/>
        <v>152482</v>
      </c>
      <c r="I38" s="397">
        <f t="shared" si="9"/>
        <v>289000</v>
      </c>
      <c r="J38" s="396">
        <f t="shared" si="9"/>
        <v>2364</v>
      </c>
      <c r="K38" s="395">
        <f t="shared" si="9"/>
        <v>82384</v>
      </c>
      <c r="L38" s="394">
        <f t="shared" si="9"/>
        <v>84748</v>
      </c>
      <c r="M38" s="393">
        <f t="shared" si="9"/>
        <v>324965</v>
      </c>
      <c r="N38" s="392"/>
      <c r="O38" s="373"/>
      <c r="P38" s="391">
        <f>SUM(P25:P37)</f>
        <v>289000</v>
      </c>
      <c r="Q38" s="390">
        <f>SUM(Q25:Q37)</f>
        <v>324965</v>
      </c>
      <c r="R38" s="373"/>
      <c r="S38" s="373"/>
      <c r="T38" s="373"/>
      <c r="U38" s="373"/>
    </row>
    <row r="39" spans="1:21">
      <c r="A39" s="373"/>
      <c r="B39" s="373"/>
      <c r="C39" s="373"/>
      <c r="D39" s="373"/>
      <c r="E39" s="373"/>
      <c r="F39" s="373"/>
      <c r="G39" s="373"/>
      <c r="H39" s="376" t="s">
        <v>359</v>
      </c>
      <c r="I39" s="389">
        <f>E20</f>
        <v>289000</v>
      </c>
      <c r="J39" s="373"/>
      <c r="K39" s="373"/>
      <c r="L39" s="373"/>
      <c r="M39" s="373"/>
      <c r="N39" s="373"/>
      <c r="O39" s="373"/>
      <c r="P39" s="373"/>
      <c r="Q39" s="373"/>
      <c r="R39" s="373"/>
      <c r="S39" s="373"/>
      <c r="T39" s="373"/>
      <c r="U39" s="373"/>
    </row>
    <row r="40" spans="1:21">
      <c r="A40" s="373"/>
      <c r="B40" s="373"/>
      <c r="C40" s="373"/>
      <c r="D40" s="373"/>
      <c r="E40" s="373"/>
      <c r="F40" s="373"/>
      <c r="G40" s="373"/>
      <c r="H40" s="385"/>
      <c r="I40" s="388"/>
      <c r="J40" s="373"/>
      <c r="K40" s="373"/>
      <c r="L40" s="373"/>
      <c r="M40" s="373"/>
      <c r="N40" s="373"/>
      <c r="O40" s="373"/>
      <c r="P40" s="373"/>
      <c r="Q40" s="373"/>
      <c r="R40" s="373"/>
      <c r="S40" s="373"/>
      <c r="T40" s="373"/>
      <c r="U40" s="373"/>
    </row>
    <row r="41" spans="1:21" ht="18.75">
      <c r="A41" s="373"/>
      <c r="B41" s="373"/>
      <c r="C41" s="373"/>
      <c r="D41" s="373"/>
      <c r="E41" s="373"/>
      <c r="F41" s="548" t="e">
        <f>#VALUE!</f>
        <v>#VALUE!</v>
      </c>
      <c r="G41" s="549"/>
      <c r="H41" s="549"/>
      <c r="I41" s="549"/>
      <c r="J41" s="549"/>
      <c r="K41" s="549"/>
      <c r="L41" s="550"/>
      <c r="M41" s="373"/>
      <c r="N41" s="373"/>
      <c r="O41" s="373"/>
      <c r="P41" s="373"/>
      <c r="Q41" s="373"/>
      <c r="R41" s="373"/>
      <c r="S41" s="373"/>
      <c r="T41" s="373"/>
      <c r="U41" s="373"/>
    </row>
    <row r="42" spans="1:21" ht="19.5" thickBot="1">
      <c r="A42" s="373"/>
      <c r="B42" s="373"/>
      <c r="C42" s="387" t="s">
        <v>33</v>
      </c>
      <c r="D42" s="386"/>
      <c r="E42" s="385"/>
      <c r="F42" s="384"/>
      <c r="G42" s="384"/>
      <c r="H42" s="384"/>
      <c r="I42" s="384"/>
      <c r="J42" s="384"/>
      <c r="K42" s="384"/>
      <c r="L42" s="384"/>
      <c r="M42" s="373"/>
      <c r="N42" s="373"/>
      <c r="O42" s="373"/>
      <c r="P42" s="373"/>
      <c r="Q42" s="373"/>
      <c r="R42" s="373"/>
      <c r="S42" s="373"/>
      <c r="T42" s="373"/>
      <c r="U42" s="373"/>
    </row>
    <row r="43" spans="1:21" ht="15.75" thickBot="1">
      <c r="A43" s="373"/>
      <c r="B43" s="373"/>
      <c r="C43" s="551"/>
      <c r="D43" s="552"/>
      <c r="E43" s="552"/>
      <c r="F43" s="552"/>
      <c r="G43" s="552"/>
      <c r="H43" s="552"/>
      <c r="I43" s="552"/>
      <c r="J43" s="552"/>
      <c r="K43" s="552"/>
      <c r="L43" s="552"/>
      <c r="M43" s="553"/>
      <c r="N43" s="373"/>
      <c r="O43" s="373"/>
      <c r="P43" s="373"/>
      <c r="Q43" s="373"/>
      <c r="R43" s="373"/>
      <c r="S43" s="373"/>
      <c r="T43" s="373"/>
      <c r="U43" s="373"/>
    </row>
    <row r="44" spans="1:21">
      <c r="A44" s="373"/>
      <c r="B44" s="373"/>
      <c r="C44" s="373"/>
      <c r="D44" s="373"/>
      <c r="E44" s="373"/>
      <c r="F44" s="373"/>
      <c r="G44" s="373"/>
      <c r="H44" s="373"/>
      <c r="I44" s="373"/>
      <c r="J44" s="373"/>
      <c r="K44" s="373"/>
      <c r="L44" s="373"/>
      <c r="M44" s="373"/>
      <c r="N44" s="373"/>
      <c r="O44" s="373"/>
      <c r="P44" s="373"/>
      <c r="Q44" s="373"/>
      <c r="R44" s="373"/>
      <c r="S44" s="373"/>
      <c r="T44" s="373"/>
      <c r="U44" s="373"/>
    </row>
    <row r="45" spans="1:21" hidden="1">
      <c r="A45" s="373"/>
      <c r="B45" s="373"/>
      <c r="C45" s="373"/>
      <c r="D45" s="373"/>
      <c r="E45" s="383">
        <f>C25</f>
        <v>41274</v>
      </c>
      <c r="F45" s="383">
        <f>C26</f>
        <v>41364</v>
      </c>
      <c r="G45" s="383">
        <f>C27</f>
        <v>41455</v>
      </c>
      <c r="H45" s="383">
        <f>C28</f>
        <v>41547</v>
      </c>
      <c r="I45" s="383">
        <f>C29</f>
        <v>41639</v>
      </c>
      <c r="J45" s="383">
        <f>C30</f>
        <v>41729</v>
      </c>
      <c r="K45" s="383">
        <f>C31</f>
        <v>41820</v>
      </c>
      <c r="L45" s="383">
        <f>C32</f>
        <v>41912</v>
      </c>
      <c r="M45" s="383">
        <f>C33</f>
        <v>42004</v>
      </c>
      <c r="N45" s="383">
        <f>C34</f>
        <v>42094</v>
      </c>
      <c r="O45" s="383">
        <f>C35</f>
        <v>42185</v>
      </c>
      <c r="P45" s="383">
        <f>C36</f>
        <v>42277</v>
      </c>
      <c r="Q45" s="383">
        <f>C37</f>
        <v>42369</v>
      </c>
      <c r="R45" s="382" t="s">
        <v>35</v>
      </c>
      <c r="S45" s="373"/>
      <c r="T45" s="373"/>
      <c r="U45" s="373"/>
    </row>
    <row r="46" spans="1:21" hidden="1">
      <c r="A46" s="373"/>
      <c r="B46" s="373"/>
      <c r="C46" s="381" t="s">
        <v>360</v>
      </c>
      <c r="D46" s="380"/>
      <c r="E46" s="378">
        <f>52000+52000+52000+52000</f>
        <v>208000</v>
      </c>
      <c r="F46" s="379">
        <f>E46+52000</f>
        <v>260000</v>
      </c>
      <c r="G46" s="378">
        <f>F46</f>
        <v>260000</v>
      </c>
      <c r="H46" s="378">
        <f>G46+29000</f>
        <v>289000</v>
      </c>
      <c r="I46" s="378">
        <f t="shared" ref="I46:R46" si="10">H46</f>
        <v>289000</v>
      </c>
      <c r="J46" s="378">
        <f t="shared" si="10"/>
        <v>289000</v>
      </c>
      <c r="K46" s="378">
        <f t="shared" si="10"/>
        <v>289000</v>
      </c>
      <c r="L46" s="378">
        <f t="shared" si="10"/>
        <v>289000</v>
      </c>
      <c r="M46" s="378">
        <f t="shared" si="10"/>
        <v>289000</v>
      </c>
      <c r="N46" s="378">
        <f t="shared" si="10"/>
        <v>289000</v>
      </c>
      <c r="O46" s="378">
        <f t="shared" si="10"/>
        <v>289000</v>
      </c>
      <c r="P46" s="378">
        <f t="shared" si="10"/>
        <v>289000</v>
      </c>
      <c r="Q46" s="378">
        <f t="shared" si="10"/>
        <v>289000</v>
      </c>
      <c r="R46" s="377">
        <f t="shared" si="10"/>
        <v>289000</v>
      </c>
      <c r="S46" s="373"/>
      <c r="T46" s="373"/>
      <c r="U46" s="373"/>
    </row>
    <row r="47" spans="1:21" hidden="1">
      <c r="A47" s="373"/>
      <c r="B47" s="373"/>
      <c r="C47" s="376" t="s">
        <v>361</v>
      </c>
      <c r="D47" s="375"/>
      <c r="E47" s="374">
        <f>I25</f>
        <v>122279</v>
      </c>
      <c r="F47" s="374">
        <f>I26</f>
        <v>30203</v>
      </c>
      <c r="G47" s="374">
        <f>I27</f>
        <v>60141</v>
      </c>
      <c r="H47" s="374">
        <f>I28</f>
        <v>60825</v>
      </c>
      <c r="I47" s="374">
        <f>I29</f>
        <v>15552</v>
      </c>
      <c r="J47" s="374">
        <f>I30</f>
        <v>0</v>
      </c>
      <c r="K47" s="374">
        <f>I31</f>
        <v>0</v>
      </c>
      <c r="L47" s="374">
        <f>I32</f>
        <v>0</v>
      </c>
      <c r="M47" s="374">
        <f>I33</f>
        <v>0</v>
      </c>
      <c r="N47" s="374">
        <f>I34</f>
        <v>0</v>
      </c>
      <c r="O47" s="374">
        <f>I35</f>
        <v>0</v>
      </c>
      <c r="P47" s="374">
        <f>I36</f>
        <v>0</v>
      </c>
      <c r="Q47" s="374">
        <f>I37</f>
        <v>0</v>
      </c>
      <c r="R47" s="374">
        <f>SUM(E47:Q47)</f>
        <v>289000</v>
      </c>
      <c r="S47" s="373"/>
      <c r="T47" s="373"/>
      <c r="U47" s="373"/>
    </row>
    <row r="48" spans="1:21" hidden="1">
      <c r="A48" s="373"/>
      <c r="B48" s="373"/>
      <c r="C48" s="376" t="s">
        <v>362</v>
      </c>
      <c r="D48" s="375"/>
      <c r="E48" s="374">
        <f>E47</f>
        <v>122279</v>
      </c>
      <c r="F48" s="374">
        <f t="shared" ref="F48:Q48" si="11">E48+F47</f>
        <v>152482</v>
      </c>
      <c r="G48" s="374">
        <f t="shared" si="11"/>
        <v>212623</v>
      </c>
      <c r="H48" s="374">
        <f t="shared" si="11"/>
        <v>273448</v>
      </c>
      <c r="I48" s="374">
        <f t="shared" si="11"/>
        <v>289000</v>
      </c>
      <c r="J48" s="374">
        <f t="shared" si="11"/>
        <v>289000</v>
      </c>
      <c r="K48" s="374">
        <f t="shared" si="11"/>
        <v>289000</v>
      </c>
      <c r="L48" s="374">
        <f t="shared" si="11"/>
        <v>289000</v>
      </c>
      <c r="M48" s="374">
        <f t="shared" si="11"/>
        <v>289000</v>
      </c>
      <c r="N48" s="374">
        <f t="shared" si="11"/>
        <v>289000</v>
      </c>
      <c r="O48" s="374">
        <f t="shared" si="11"/>
        <v>289000</v>
      </c>
      <c r="P48" s="374">
        <f t="shared" si="11"/>
        <v>289000</v>
      </c>
      <c r="Q48" s="374">
        <f t="shared" si="11"/>
        <v>289000</v>
      </c>
      <c r="R48" s="374">
        <f>Q48</f>
        <v>289000</v>
      </c>
      <c r="S48" s="373"/>
      <c r="T48" s="373"/>
      <c r="U48" s="373"/>
    </row>
    <row r="49" spans="1:21" hidden="1">
      <c r="A49" s="373"/>
      <c r="B49" s="373"/>
      <c r="C49" s="376" t="s">
        <v>363</v>
      </c>
      <c r="D49" s="375"/>
      <c r="E49" s="374">
        <f>H25</f>
        <v>122279</v>
      </c>
      <c r="F49" s="374">
        <f>H26</f>
        <v>30203</v>
      </c>
      <c r="G49" s="374">
        <f>H27</f>
        <v>0</v>
      </c>
      <c r="H49" s="374">
        <f>H28</f>
        <v>0</v>
      </c>
      <c r="I49" s="374">
        <f>H29</f>
        <v>0</v>
      </c>
      <c r="J49" s="374">
        <f>H30</f>
        <v>0</v>
      </c>
      <c r="K49" s="374">
        <f>H31</f>
        <v>0</v>
      </c>
      <c r="L49" s="374">
        <f>H32</f>
        <v>0</v>
      </c>
      <c r="M49" s="374">
        <f>H33</f>
        <v>0</v>
      </c>
      <c r="N49" s="374">
        <f>H34</f>
        <v>0</v>
      </c>
      <c r="O49" s="374">
        <f>H35</f>
        <v>0</v>
      </c>
      <c r="P49" s="374">
        <f>H36</f>
        <v>0</v>
      </c>
      <c r="Q49" s="374">
        <f>H37</f>
        <v>0</v>
      </c>
      <c r="R49" s="374">
        <f>SUM(E49:Q49)</f>
        <v>152482</v>
      </c>
      <c r="S49" s="373"/>
      <c r="T49" s="373"/>
      <c r="U49" s="373"/>
    </row>
    <row r="50" spans="1:21" hidden="1">
      <c r="A50" s="373"/>
      <c r="B50" s="373"/>
      <c r="C50" s="376" t="s">
        <v>364</v>
      </c>
      <c r="D50" s="375"/>
      <c r="E50" s="374">
        <f>IF(E45&gt;LastDateReport,NA(),E49)</f>
        <v>122279</v>
      </c>
      <c r="F50" s="374" t="e">
        <f t="shared" ref="F50:Q50" si="12">IF(F45&gt;LastDateReport,NA(),E50+F49)</f>
        <v>#N/A</v>
      </c>
      <c r="G50" s="374" t="e">
        <f t="shared" si="12"/>
        <v>#N/A</v>
      </c>
      <c r="H50" s="374" t="e">
        <f t="shared" si="12"/>
        <v>#N/A</v>
      </c>
      <c r="I50" s="374" t="e">
        <f t="shared" si="12"/>
        <v>#N/A</v>
      </c>
      <c r="J50" s="374" t="e">
        <f t="shared" si="12"/>
        <v>#N/A</v>
      </c>
      <c r="K50" s="374" t="e">
        <f t="shared" si="12"/>
        <v>#N/A</v>
      </c>
      <c r="L50" s="374" t="e">
        <f t="shared" si="12"/>
        <v>#N/A</v>
      </c>
      <c r="M50" s="374" t="e">
        <f t="shared" si="12"/>
        <v>#N/A</v>
      </c>
      <c r="N50" s="374" t="e">
        <f t="shared" si="12"/>
        <v>#N/A</v>
      </c>
      <c r="O50" s="374" t="e">
        <f t="shared" si="12"/>
        <v>#N/A</v>
      </c>
      <c r="P50" s="374" t="e">
        <f t="shared" si="12"/>
        <v>#N/A</v>
      </c>
      <c r="Q50" s="374" t="e">
        <f t="shared" si="12"/>
        <v>#N/A</v>
      </c>
      <c r="R50" s="374">
        <f>H38</f>
        <v>152482</v>
      </c>
      <c r="S50" s="373"/>
      <c r="T50" s="373"/>
      <c r="U50" s="373"/>
    </row>
    <row r="51" spans="1:21" hidden="1">
      <c r="A51" s="373"/>
      <c r="B51" s="373"/>
      <c r="C51" s="376" t="s">
        <v>365</v>
      </c>
      <c r="D51" s="375"/>
      <c r="E51" s="374">
        <f>IF(E45&gt;LastDateReport,NA(),D25)</f>
        <v>104000</v>
      </c>
      <c r="F51" s="374" t="e">
        <f>IF(F45&gt;LastDateReport,NA(),$D26+E51)</f>
        <v>#N/A</v>
      </c>
      <c r="G51" s="374" t="e">
        <f>IF(G45&gt;LastDateReport,NA(),D27+F51)</f>
        <v>#N/A</v>
      </c>
      <c r="H51" s="374" t="e">
        <f>IF(H45&gt;LastDateReport,NA(),D28+G51)</f>
        <v>#N/A</v>
      </c>
      <c r="I51" s="374" t="e">
        <f>IF(I45&gt;LastDateReport,NA(),D29+H51)</f>
        <v>#N/A</v>
      </c>
      <c r="J51" s="374" t="e">
        <f>IF(J45&gt;LastDateReport,NA(),D30+I51)</f>
        <v>#N/A</v>
      </c>
      <c r="K51" s="374" t="e">
        <f>IF(K45&gt;LastDateReport,NA(),D31+J51)</f>
        <v>#N/A</v>
      </c>
      <c r="L51" s="374" t="e">
        <f>IF(L45&gt;LastDateReport,NA(),D32+K51)</f>
        <v>#N/A</v>
      </c>
      <c r="M51" s="374" t="e">
        <f>IF(M45&gt;LastDateReport,NA(),D33+L51)</f>
        <v>#N/A</v>
      </c>
      <c r="N51" s="374" t="e">
        <f>IF(N45&gt;LastDateReport,NA(),D34+M51)</f>
        <v>#N/A</v>
      </c>
      <c r="O51" s="374" t="e">
        <f>IF(O45&gt;LastDateReport,NA(),D35+N51)</f>
        <v>#N/A</v>
      </c>
      <c r="P51" s="374" t="e">
        <f>IF(P45&gt;LastDateReport,NA(),D36+O51)</f>
        <v>#N/A</v>
      </c>
      <c r="Q51" s="374" t="e">
        <f>IF(Q45&gt;LastDateReport,NA(),D37+P51)</f>
        <v>#N/A</v>
      </c>
      <c r="R51" s="374">
        <f>D38</f>
        <v>104000</v>
      </c>
      <c r="S51" s="373"/>
      <c r="T51" s="373"/>
      <c r="U51" s="373"/>
    </row>
    <row r="52" spans="1:21" hidden="1">
      <c r="A52" s="373"/>
      <c r="B52" s="373"/>
      <c r="C52" s="381" t="s">
        <v>366</v>
      </c>
      <c r="D52" s="380"/>
      <c r="E52" s="378">
        <v>66426</v>
      </c>
      <c r="F52" s="378">
        <v>114892</v>
      </c>
      <c r="G52" s="378">
        <v>323892</v>
      </c>
      <c r="H52" s="378">
        <f t="shared" ref="H52:R52" si="13">G52</f>
        <v>323892</v>
      </c>
      <c r="I52" s="378">
        <f t="shared" si="13"/>
        <v>323892</v>
      </c>
      <c r="J52" s="379">
        <f t="shared" si="13"/>
        <v>323892</v>
      </c>
      <c r="K52" s="378">
        <f t="shared" si="13"/>
        <v>323892</v>
      </c>
      <c r="L52" s="378">
        <f t="shared" si="13"/>
        <v>323892</v>
      </c>
      <c r="M52" s="378">
        <f t="shared" si="13"/>
        <v>323892</v>
      </c>
      <c r="N52" s="378">
        <f t="shared" si="13"/>
        <v>323892</v>
      </c>
      <c r="O52" s="378">
        <f t="shared" si="13"/>
        <v>323892</v>
      </c>
      <c r="P52" s="378">
        <f t="shared" si="13"/>
        <v>323892</v>
      </c>
      <c r="Q52" s="378">
        <f t="shared" si="13"/>
        <v>323892</v>
      </c>
      <c r="R52" s="377">
        <f t="shared" si="13"/>
        <v>323892</v>
      </c>
      <c r="S52" s="373"/>
      <c r="T52" s="373"/>
      <c r="U52" s="373"/>
    </row>
    <row r="53" spans="1:21" hidden="1">
      <c r="A53" s="373"/>
      <c r="B53" s="373"/>
      <c r="C53" s="376" t="s">
        <v>367</v>
      </c>
      <c r="D53" s="375"/>
      <c r="E53" s="374">
        <f>$M25</f>
        <v>74838</v>
      </c>
      <c r="F53" s="374">
        <f>$M26</f>
        <v>9910</v>
      </c>
      <c r="G53" s="374">
        <f>M$27</f>
        <v>10945</v>
      </c>
      <c r="H53" s="374">
        <f>$M28</f>
        <v>6000</v>
      </c>
      <c r="I53" s="374">
        <f>M29</f>
        <v>16637</v>
      </c>
      <c r="J53" s="374">
        <f>M30</f>
        <v>103317.5</v>
      </c>
      <c r="K53" s="374">
        <f>M31</f>
        <v>103317.5</v>
      </c>
      <c r="L53" s="374">
        <f>M32</f>
        <v>0</v>
      </c>
      <c r="M53" s="374">
        <f>M33</f>
        <v>0</v>
      </c>
      <c r="N53" s="374">
        <f>M34</f>
        <v>0</v>
      </c>
      <c r="O53" s="374">
        <f>M35</f>
        <v>0</v>
      </c>
      <c r="P53" s="374">
        <f>M36</f>
        <v>0</v>
      </c>
      <c r="Q53" s="374">
        <f>M37</f>
        <v>0</v>
      </c>
      <c r="R53" s="374">
        <f>SUM(E53:Q53)</f>
        <v>324965</v>
      </c>
      <c r="S53" s="373"/>
      <c r="T53" s="373"/>
      <c r="U53" s="373"/>
    </row>
    <row r="54" spans="1:21" hidden="1">
      <c r="A54" s="373"/>
      <c r="B54" s="373"/>
      <c r="C54" s="376" t="s">
        <v>368</v>
      </c>
      <c r="D54" s="375"/>
      <c r="E54" s="374">
        <f>IF(E45&gt;LastDateReport,NA(),E53)</f>
        <v>74838</v>
      </c>
      <c r="F54" s="374">
        <f t="shared" ref="F54:Q54" si="14">E54+F53</f>
        <v>84748</v>
      </c>
      <c r="G54" s="374">
        <f t="shared" si="14"/>
        <v>95693</v>
      </c>
      <c r="H54" s="374">
        <f t="shared" si="14"/>
        <v>101693</v>
      </c>
      <c r="I54" s="374">
        <f t="shared" si="14"/>
        <v>118330</v>
      </c>
      <c r="J54" s="374">
        <f t="shared" si="14"/>
        <v>221647.5</v>
      </c>
      <c r="K54" s="374">
        <f t="shared" si="14"/>
        <v>324965</v>
      </c>
      <c r="L54" s="374">
        <f t="shared" si="14"/>
        <v>324965</v>
      </c>
      <c r="M54" s="374">
        <f t="shared" si="14"/>
        <v>324965</v>
      </c>
      <c r="N54" s="374">
        <f t="shared" si="14"/>
        <v>324965</v>
      </c>
      <c r="O54" s="374">
        <f t="shared" si="14"/>
        <v>324965</v>
      </c>
      <c r="P54" s="374">
        <f t="shared" si="14"/>
        <v>324965</v>
      </c>
      <c r="Q54" s="374">
        <f t="shared" si="14"/>
        <v>324965</v>
      </c>
      <c r="R54" s="374">
        <f>L38</f>
        <v>84748</v>
      </c>
      <c r="S54" s="373"/>
      <c r="T54" s="373"/>
      <c r="U54" s="373"/>
    </row>
    <row r="55" spans="1:21" hidden="1">
      <c r="A55" s="373"/>
      <c r="B55" s="373"/>
      <c r="C55" s="375" t="s">
        <v>369</v>
      </c>
      <c r="D55" s="375"/>
      <c r="E55" s="374">
        <f>L25</f>
        <v>74838</v>
      </c>
      <c r="F55" s="374">
        <f>L26</f>
        <v>9910</v>
      </c>
      <c r="G55" s="374">
        <f>L27</f>
        <v>0</v>
      </c>
      <c r="H55" s="374">
        <f>L28</f>
        <v>0</v>
      </c>
      <c r="I55" s="374">
        <f>L29</f>
        <v>0</v>
      </c>
      <c r="J55" s="374">
        <f>L30</f>
        <v>0</v>
      </c>
      <c r="K55" s="374">
        <f>L31</f>
        <v>0</v>
      </c>
      <c r="L55" s="374">
        <f>L32</f>
        <v>0</v>
      </c>
      <c r="M55" s="374">
        <f>L33</f>
        <v>0</v>
      </c>
      <c r="N55" s="374">
        <f>L34</f>
        <v>0</v>
      </c>
      <c r="O55" s="374">
        <f>L35</f>
        <v>0</v>
      </c>
      <c r="P55" s="374">
        <f>L36</f>
        <v>0</v>
      </c>
      <c r="Q55" s="374">
        <f>L37</f>
        <v>0</v>
      </c>
      <c r="R55" s="374">
        <f>SUM(E55:Q55)</f>
        <v>84748</v>
      </c>
      <c r="S55" s="373"/>
      <c r="T55" s="373"/>
      <c r="U55" s="373"/>
    </row>
    <row r="56" spans="1:21" hidden="1">
      <c r="A56" s="373"/>
      <c r="B56" s="373"/>
      <c r="C56" s="375" t="s">
        <v>370</v>
      </c>
      <c r="D56" s="375"/>
      <c r="E56" s="374">
        <f>IF(E45&gt;LastDateReport,NA(),E55)</f>
        <v>74838</v>
      </c>
      <c r="F56" s="374" t="e">
        <f t="shared" ref="F56:Q56" si="15">IF(F45&gt;LastDateReport,NA(),E56+F55)</f>
        <v>#N/A</v>
      </c>
      <c r="G56" s="374" t="e">
        <f t="shared" si="15"/>
        <v>#N/A</v>
      </c>
      <c r="H56" s="374" t="e">
        <f t="shared" si="15"/>
        <v>#N/A</v>
      </c>
      <c r="I56" s="374" t="e">
        <f t="shared" si="15"/>
        <v>#N/A</v>
      </c>
      <c r="J56" s="374" t="e">
        <f t="shared" si="15"/>
        <v>#N/A</v>
      </c>
      <c r="K56" s="374" t="e">
        <f t="shared" si="15"/>
        <v>#N/A</v>
      </c>
      <c r="L56" s="374" t="e">
        <f t="shared" si="15"/>
        <v>#N/A</v>
      </c>
      <c r="M56" s="374" t="e">
        <f t="shared" si="15"/>
        <v>#N/A</v>
      </c>
      <c r="N56" s="374" t="e">
        <f t="shared" si="15"/>
        <v>#N/A</v>
      </c>
      <c r="O56" s="374" t="e">
        <f t="shared" si="15"/>
        <v>#N/A</v>
      </c>
      <c r="P56" s="374" t="e">
        <f t="shared" si="15"/>
        <v>#N/A</v>
      </c>
      <c r="Q56" s="374" t="e">
        <f t="shared" si="15"/>
        <v>#N/A</v>
      </c>
      <c r="R56" s="374">
        <f>L38</f>
        <v>84748</v>
      </c>
      <c r="S56" s="373"/>
      <c r="T56" s="373"/>
      <c r="U56" s="373"/>
    </row>
    <row r="57" spans="1:21" hidden="1">
      <c r="A57" s="373"/>
      <c r="B57" s="373"/>
      <c r="C57" s="373"/>
      <c r="D57" s="373"/>
      <c r="E57" s="373"/>
      <c r="F57" s="373"/>
      <c r="G57" s="373"/>
      <c r="H57" s="373"/>
      <c r="I57" s="373"/>
      <c r="J57" s="373"/>
      <c r="K57" s="373"/>
      <c r="L57" s="373"/>
      <c r="M57" s="373"/>
      <c r="N57" s="373"/>
      <c r="O57" s="373"/>
      <c r="P57" s="373"/>
      <c r="Q57" s="373"/>
      <c r="R57" s="373"/>
      <c r="S57" s="373"/>
      <c r="T57" s="373"/>
      <c r="U57" s="373"/>
    </row>
    <row r="58" spans="1:21">
      <c r="A58" s="373"/>
      <c r="B58" s="373"/>
      <c r="C58" s="373"/>
      <c r="D58" s="373"/>
      <c r="E58" s="373"/>
      <c r="F58" s="373"/>
      <c r="G58" s="373"/>
      <c r="H58" s="373"/>
      <c r="I58" s="373"/>
      <c r="J58" s="373"/>
      <c r="K58" s="373"/>
      <c r="L58" s="373"/>
      <c r="M58" s="373"/>
      <c r="N58" s="373"/>
      <c r="O58" s="373"/>
      <c r="P58" s="373"/>
      <c r="Q58" s="373"/>
      <c r="R58" s="373"/>
      <c r="S58" s="373"/>
      <c r="T58" s="373"/>
      <c r="U58" s="373"/>
    </row>
    <row r="59" spans="1:21">
      <c r="A59" s="373"/>
      <c r="B59" s="373"/>
      <c r="C59" s="373"/>
      <c r="D59" s="373"/>
      <c r="E59" s="373"/>
      <c r="F59" s="373"/>
      <c r="G59" s="373"/>
      <c r="H59" s="373"/>
      <c r="I59" s="373"/>
      <c r="J59" s="373"/>
      <c r="K59" s="373"/>
      <c r="L59" s="373"/>
      <c r="M59" s="373"/>
      <c r="N59" s="373"/>
      <c r="O59" s="373"/>
      <c r="P59" s="373"/>
      <c r="Q59" s="373"/>
      <c r="R59" s="373"/>
      <c r="S59" s="373"/>
      <c r="T59" s="373"/>
      <c r="U59" s="373"/>
    </row>
    <row r="60" spans="1:21">
      <c r="A60" s="373"/>
      <c r="B60" s="373"/>
      <c r="C60" s="373"/>
      <c r="D60" s="373"/>
      <c r="E60" s="373"/>
      <c r="F60" s="373"/>
      <c r="G60" s="373"/>
      <c r="H60" s="373"/>
      <c r="I60" s="373"/>
      <c r="J60" s="373"/>
      <c r="K60" s="373"/>
      <c r="L60" s="373"/>
      <c r="M60" s="373"/>
      <c r="N60" s="373"/>
      <c r="O60" s="373"/>
      <c r="P60" s="373"/>
      <c r="Q60" s="373"/>
      <c r="R60" s="373"/>
      <c r="S60" s="373"/>
      <c r="T60" s="373"/>
      <c r="U60" s="373"/>
    </row>
    <row r="61" spans="1:21">
      <c r="A61" s="373"/>
      <c r="B61" s="373"/>
      <c r="C61" s="373"/>
      <c r="D61" s="373"/>
      <c r="E61" s="373"/>
      <c r="F61" s="373"/>
      <c r="G61" s="373"/>
      <c r="H61" s="373"/>
      <c r="I61" s="373"/>
      <c r="J61" s="373"/>
      <c r="K61" s="373"/>
      <c r="L61" s="373"/>
      <c r="M61" s="373"/>
      <c r="N61" s="373"/>
      <c r="O61" s="373"/>
      <c r="P61" s="373"/>
      <c r="Q61" s="373"/>
      <c r="R61" s="373"/>
      <c r="S61" s="373"/>
      <c r="T61" s="373"/>
      <c r="U61" s="373"/>
    </row>
    <row r="62" spans="1:21">
      <c r="A62" s="373"/>
      <c r="B62" s="373"/>
      <c r="C62" s="373"/>
      <c r="D62" s="373"/>
      <c r="E62" s="373"/>
      <c r="F62" s="373"/>
      <c r="G62" s="373"/>
      <c r="H62" s="373"/>
      <c r="I62" s="373"/>
      <c r="J62" s="373"/>
      <c r="K62" s="373"/>
      <c r="L62" s="373"/>
      <c r="M62" s="373"/>
      <c r="N62" s="373"/>
      <c r="O62" s="373"/>
      <c r="P62" s="373"/>
      <c r="Q62" s="373"/>
      <c r="R62" s="373"/>
      <c r="S62" s="373"/>
      <c r="T62" s="373"/>
      <c r="U62" s="373"/>
    </row>
    <row r="63" spans="1:21">
      <c r="A63" s="373"/>
      <c r="B63" s="373"/>
      <c r="C63" s="373"/>
      <c r="D63" s="373"/>
      <c r="E63" s="373"/>
      <c r="F63" s="373"/>
      <c r="G63" s="373"/>
      <c r="H63" s="373"/>
      <c r="I63" s="373"/>
      <c r="J63" s="373"/>
      <c r="K63" s="373"/>
      <c r="L63" s="373"/>
      <c r="M63" s="373"/>
      <c r="N63" s="373"/>
      <c r="O63" s="373"/>
      <c r="P63" s="373"/>
      <c r="Q63" s="373"/>
      <c r="R63" s="373"/>
      <c r="S63" s="373"/>
      <c r="T63" s="373"/>
      <c r="U63" s="373"/>
    </row>
    <row r="64" spans="1:21">
      <c r="A64" s="373"/>
      <c r="B64" s="373"/>
      <c r="C64" s="373"/>
      <c r="D64" s="373"/>
      <c r="E64" s="373"/>
      <c r="F64" s="373"/>
      <c r="G64" s="373"/>
      <c r="H64" s="373"/>
      <c r="I64" s="373"/>
      <c r="J64" s="373"/>
      <c r="K64" s="373"/>
      <c r="L64" s="373"/>
      <c r="M64" s="373"/>
      <c r="N64" s="373"/>
      <c r="O64" s="373"/>
      <c r="P64" s="373"/>
      <c r="Q64" s="373"/>
      <c r="R64" s="373"/>
      <c r="S64" s="373"/>
      <c r="T64" s="373"/>
      <c r="U64" s="373"/>
    </row>
    <row r="65" spans="1:21">
      <c r="A65" s="373"/>
      <c r="B65" s="373"/>
      <c r="C65" s="373"/>
      <c r="D65" s="373"/>
      <c r="E65" s="373"/>
      <c r="F65" s="373"/>
      <c r="G65" s="373"/>
      <c r="H65" s="373"/>
      <c r="I65" s="373"/>
      <c r="J65" s="373"/>
      <c r="K65" s="373"/>
      <c r="L65" s="373"/>
      <c r="M65" s="373"/>
      <c r="N65" s="373"/>
      <c r="O65" s="373"/>
      <c r="P65" s="373"/>
      <c r="Q65" s="373"/>
      <c r="R65" s="373"/>
      <c r="S65" s="373"/>
      <c r="T65" s="373"/>
      <c r="U65" s="373"/>
    </row>
    <row r="66" spans="1:21">
      <c r="A66" s="373"/>
      <c r="B66" s="373"/>
      <c r="C66" s="373"/>
      <c r="D66" s="373"/>
      <c r="E66" s="373"/>
      <c r="F66" s="373"/>
      <c r="G66" s="373"/>
      <c r="H66" s="373"/>
      <c r="I66" s="373"/>
      <c r="J66" s="373"/>
      <c r="K66" s="373"/>
      <c r="L66" s="373"/>
      <c r="M66" s="373"/>
      <c r="N66" s="373"/>
      <c r="O66" s="373"/>
      <c r="P66" s="373"/>
      <c r="Q66" s="373"/>
      <c r="R66" s="373"/>
      <c r="S66" s="373"/>
      <c r="T66" s="373"/>
      <c r="U66" s="373"/>
    </row>
    <row r="67" spans="1:21">
      <c r="A67" s="373"/>
      <c r="B67" s="373"/>
      <c r="C67" s="373"/>
      <c r="D67" s="373"/>
      <c r="E67" s="373"/>
      <c r="F67" s="373"/>
      <c r="G67" s="373"/>
      <c r="H67" s="373"/>
      <c r="I67" s="373"/>
      <c r="J67" s="373"/>
      <c r="K67" s="373"/>
      <c r="L67" s="373"/>
      <c r="M67" s="373"/>
      <c r="N67" s="373"/>
      <c r="O67" s="373"/>
      <c r="P67" s="373"/>
      <c r="Q67" s="373"/>
      <c r="R67" s="373"/>
      <c r="S67" s="373"/>
      <c r="T67" s="373"/>
      <c r="U67" s="373"/>
    </row>
    <row r="68" spans="1:21">
      <c r="A68" s="373"/>
      <c r="B68" s="373"/>
      <c r="C68" s="373"/>
      <c r="D68" s="373"/>
      <c r="E68" s="373"/>
      <c r="F68" s="373"/>
      <c r="G68" s="373"/>
      <c r="H68" s="373"/>
      <c r="I68" s="373"/>
      <c r="J68" s="373"/>
      <c r="K68" s="373"/>
      <c r="L68" s="373"/>
      <c r="M68" s="373"/>
      <c r="N68" s="373"/>
      <c r="O68" s="373"/>
      <c r="P68" s="373"/>
      <c r="Q68" s="373"/>
      <c r="R68" s="373"/>
      <c r="S68" s="373"/>
      <c r="T68" s="373"/>
      <c r="U68" s="373"/>
    </row>
    <row r="69" spans="1:21">
      <c r="A69" s="373"/>
      <c r="B69" s="373"/>
      <c r="C69" s="373"/>
      <c r="D69" s="373"/>
      <c r="E69" s="373"/>
      <c r="F69" s="373"/>
      <c r="G69" s="373"/>
      <c r="H69" s="373"/>
      <c r="I69" s="373"/>
      <c r="J69" s="373"/>
      <c r="K69" s="373"/>
      <c r="L69" s="373"/>
      <c r="M69" s="373"/>
      <c r="N69" s="373"/>
      <c r="O69" s="373"/>
      <c r="P69" s="373"/>
      <c r="Q69" s="373"/>
      <c r="R69" s="373"/>
      <c r="S69" s="373"/>
      <c r="T69" s="373"/>
      <c r="U69" s="373"/>
    </row>
    <row r="70" spans="1:21">
      <c r="A70" s="373"/>
      <c r="B70" s="373"/>
      <c r="C70" s="373"/>
      <c r="D70" s="373"/>
      <c r="E70" s="373"/>
      <c r="F70" s="373"/>
      <c r="G70" s="373"/>
      <c r="H70" s="373"/>
      <c r="I70" s="373"/>
      <c r="J70" s="373"/>
      <c r="K70" s="373"/>
      <c r="L70" s="373"/>
      <c r="M70" s="373"/>
      <c r="N70" s="373"/>
      <c r="O70" s="373"/>
      <c r="P70" s="373"/>
      <c r="Q70" s="373"/>
      <c r="R70" s="373"/>
      <c r="S70" s="373"/>
      <c r="T70" s="373"/>
      <c r="U70" s="373"/>
    </row>
    <row r="71" spans="1:21">
      <c r="A71" s="373"/>
      <c r="B71" s="373"/>
      <c r="C71" s="373"/>
      <c r="D71" s="373"/>
      <c r="E71" s="373"/>
      <c r="F71" s="373"/>
      <c r="G71" s="373"/>
      <c r="H71" s="373"/>
      <c r="I71" s="373"/>
      <c r="J71" s="373"/>
      <c r="K71" s="373"/>
      <c r="L71" s="373"/>
      <c r="M71" s="373"/>
      <c r="N71" s="373"/>
      <c r="O71" s="373"/>
      <c r="P71" s="373"/>
      <c r="Q71" s="373"/>
      <c r="R71" s="373"/>
      <c r="S71" s="373"/>
      <c r="T71" s="373"/>
      <c r="U71" s="373"/>
    </row>
    <row r="72" spans="1:21">
      <c r="A72" s="373"/>
      <c r="B72" s="373"/>
      <c r="C72" s="373"/>
      <c r="D72" s="373"/>
      <c r="E72" s="373"/>
      <c r="F72" s="373"/>
      <c r="G72" s="373"/>
      <c r="H72" s="373"/>
      <c r="I72" s="373"/>
      <c r="J72" s="373"/>
      <c r="K72" s="373"/>
      <c r="L72" s="373"/>
      <c r="M72" s="373"/>
      <c r="N72" s="373"/>
      <c r="O72" s="373"/>
      <c r="P72" s="373"/>
      <c r="Q72" s="373"/>
      <c r="R72" s="373"/>
      <c r="S72" s="373"/>
      <c r="T72" s="373"/>
      <c r="U72" s="373"/>
    </row>
    <row r="73" spans="1:21">
      <c r="A73" s="373"/>
      <c r="B73" s="373"/>
      <c r="C73" s="373"/>
      <c r="D73" s="373"/>
      <c r="E73" s="373"/>
      <c r="F73" s="373"/>
      <c r="G73" s="373"/>
      <c r="H73" s="373"/>
      <c r="I73" s="373"/>
      <c r="J73" s="373"/>
      <c r="K73" s="373"/>
      <c r="L73" s="373"/>
      <c r="M73" s="373"/>
      <c r="N73" s="373"/>
      <c r="O73" s="373"/>
      <c r="P73" s="373"/>
      <c r="Q73" s="373"/>
      <c r="R73" s="373"/>
      <c r="S73" s="373"/>
      <c r="T73" s="373"/>
      <c r="U73" s="373"/>
    </row>
    <row r="74" spans="1:21">
      <c r="A74" s="373"/>
      <c r="B74" s="373"/>
      <c r="C74" s="373"/>
      <c r="D74" s="373"/>
      <c r="E74" s="373"/>
      <c r="F74" s="373"/>
      <c r="G74" s="373"/>
      <c r="H74" s="373"/>
      <c r="I74" s="373"/>
      <c r="J74" s="373"/>
      <c r="K74" s="373"/>
      <c r="L74" s="373"/>
      <c r="M74" s="373"/>
      <c r="N74" s="373"/>
      <c r="O74" s="373"/>
      <c r="P74" s="373"/>
      <c r="Q74" s="373"/>
      <c r="R74" s="373"/>
      <c r="S74" s="373"/>
      <c r="T74" s="373"/>
      <c r="U74" s="373"/>
    </row>
    <row r="75" spans="1:21">
      <c r="A75" s="373"/>
      <c r="B75" s="373"/>
      <c r="C75" s="373"/>
      <c r="D75" s="373"/>
      <c r="E75" s="373"/>
      <c r="F75" s="373"/>
      <c r="G75" s="373"/>
      <c r="H75" s="373"/>
      <c r="I75" s="373"/>
      <c r="J75" s="373"/>
      <c r="K75" s="373"/>
      <c r="L75" s="373"/>
      <c r="M75" s="373"/>
      <c r="N75" s="373"/>
      <c r="O75" s="373"/>
      <c r="P75" s="373"/>
      <c r="Q75" s="373"/>
      <c r="R75" s="373"/>
      <c r="S75" s="373"/>
      <c r="T75" s="373"/>
      <c r="U75" s="373"/>
    </row>
    <row r="76" spans="1:21">
      <c r="A76" s="373"/>
      <c r="B76" s="373"/>
      <c r="C76" s="373"/>
      <c r="D76" s="373"/>
      <c r="E76" s="373"/>
      <c r="F76" s="373"/>
      <c r="G76" s="373"/>
      <c r="H76" s="373"/>
      <c r="I76" s="373"/>
      <c r="J76" s="373"/>
      <c r="K76" s="373"/>
      <c r="L76" s="373"/>
      <c r="M76" s="373"/>
      <c r="N76" s="373"/>
      <c r="O76" s="373"/>
      <c r="P76" s="373"/>
      <c r="Q76" s="373"/>
      <c r="R76" s="373"/>
      <c r="S76" s="373"/>
      <c r="T76" s="373"/>
      <c r="U76" s="373"/>
    </row>
    <row r="77" spans="1:21">
      <c r="A77" s="373"/>
      <c r="B77" s="373"/>
      <c r="C77" s="373"/>
      <c r="D77" s="373"/>
      <c r="E77" s="373"/>
      <c r="F77" s="373"/>
      <c r="G77" s="373"/>
      <c r="H77" s="373"/>
      <c r="I77" s="373"/>
      <c r="J77" s="373"/>
      <c r="K77" s="373"/>
      <c r="L77" s="373"/>
      <c r="M77" s="373"/>
      <c r="N77" s="373"/>
      <c r="O77" s="373"/>
      <c r="P77" s="373"/>
      <c r="Q77" s="373"/>
      <c r="R77" s="373"/>
      <c r="S77" s="373"/>
      <c r="T77" s="373"/>
      <c r="U77" s="373"/>
    </row>
    <row r="78" spans="1:21">
      <c r="A78" s="373"/>
      <c r="B78" s="373"/>
      <c r="C78" s="373"/>
      <c r="D78" s="373"/>
      <c r="E78" s="373"/>
      <c r="F78" s="373"/>
      <c r="G78" s="373"/>
      <c r="H78" s="373"/>
      <c r="I78" s="373"/>
      <c r="J78" s="373"/>
      <c r="K78" s="373"/>
      <c r="L78" s="373"/>
      <c r="M78" s="373"/>
      <c r="N78" s="373"/>
      <c r="O78" s="373"/>
      <c r="P78" s="373"/>
      <c r="Q78" s="373"/>
      <c r="R78" s="373"/>
      <c r="S78" s="373"/>
      <c r="T78" s="373"/>
      <c r="U78" s="373"/>
    </row>
    <row r="79" spans="1:21">
      <c r="A79" s="373"/>
      <c r="B79" s="373"/>
      <c r="C79" s="373"/>
      <c r="D79" s="373"/>
      <c r="E79" s="373"/>
      <c r="F79" s="373"/>
      <c r="G79" s="373"/>
      <c r="H79" s="373"/>
      <c r="I79" s="373"/>
      <c r="J79" s="373"/>
      <c r="K79" s="373"/>
      <c r="L79" s="373"/>
      <c r="M79" s="373"/>
      <c r="N79" s="373"/>
      <c r="O79" s="373"/>
      <c r="P79" s="373"/>
      <c r="Q79" s="373"/>
      <c r="R79" s="373"/>
      <c r="S79" s="373"/>
      <c r="T79" s="373"/>
      <c r="U79" s="373"/>
    </row>
    <row r="80" spans="1:21">
      <c r="A80" s="373"/>
      <c r="B80" s="373"/>
      <c r="C80" s="373"/>
      <c r="D80" s="373"/>
      <c r="E80" s="373"/>
      <c r="F80" s="373"/>
      <c r="G80" s="373"/>
      <c r="H80" s="373"/>
      <c r="I80" s="373"/>
      <c r="J80" s="373"/>
      <c r="K80" s="373"/>
      <c r="L80" s="373"/>
      <c r="M80" s="373"/>
      <c r="N80" s="373"/>
      <c r="O80" s="373"/>
      <c r="P80" s="373"/>
      <c r="Q80" s="373"/>
      <c r="R80" s="373"/>
      <c r="S80" s="373"/>
      <c r="T80" s="373"/>
      <c r="U80" s="373"/>
    </row>
    <row r="81" spans="1:21">
      <c r="A81" s="373"/>
      <c r="B81" s="373"/>
      <c r="C81" s="373"/>
      <c r="D81" s="373"/>
      <c r="E81" s="373"/>
      <c r="F81" s="373"/>
      <c r="G81" s="373"/>
      <c r="H81" s="373"/>
      <c r="I81" s="373"/>
      <c r="J81" s="373"/>
      <c r="K81" s="373"/>
      <c r="L81" s="373"/>
      <c r="M81" s="373"/>
      <c r="N81" s="373"/>
      <c r="O81" s="373"/>
      <c r="P81" s="373"/>
      <c r="Q81" s="373"/>
      <c r="R81" s="373"/>
      <c r="S81" s="373"/>
      <c r="T81" s="373"/>
      <c r="U81" s="373"/>
    </row>
    <row r="82" spans="1:21">
      <c r="A82" s="373"/>
      <c r="B82" s="373"/>
      <c r="C82" s="373"/>
      <c r="D82" s="373"/>
      <c r="E82" s="373"/>
      <c r="F82" s="373"/>
      <c r="G82" s="373"/>
      <c r="H82" s="373"/>
      <c r="I82" s="373"/>
      <c r="J82" s="373"/>
      <c r="K82" s="373"/>
      <c r="L82" s="373"/>
      <c r="M82" s="373"/>
      <c r="N82" s="373"/>
      <c r="O82" s="373"/>
      <c r="P82" s="373"/>
      <c r="Q82" s="373"/>
      <c r="R82" s="373"/>
      <c r="S82" s="373"/>
      <c r="T82" s="373"/>
      <c r="U82" s="373"/>
    </row>
    <row r="83" spans="1:21">
      <c r="A83" s="373"/>
      <c r="B83" s="373"/>
      <c r="C83" s="373"/>
      <c r="D83" s="373"/>
      <c r="E83" s="373"/>
      <c r="F83" s="373"/>
      <c r="G83" s="373"/>
      <c r="H83" s="373"/>
      <c r="I83" s="373"/>
      <c r="J83" s="373"/>
      <c r="K83" s="373"/>
      <c r="L83" s="373"/>
      <c r="M83" s="373"/>
      <c r="N83" s="373"/>
      <c r="O83" s="373"/>
      <c r="P83" s="373"/>
      <c r="Q83" s="373"/>
      <c r="R83" s="373"/>
      <c r="S83" s="373"/>
      <c r="T83" s="373"/>
      <c r="U83" s="373"/>
    </row>
    <row r="84" spans="1:21">
      <c r="A84" s="373"/>
      <c r="B84" s="373"/>
      <c r="C84" s="373"/>
      <c r="D84" s="373"/>
      <c r="E84" s="373"/>
      <c r="F84" s="373"/>
      <c r="G84" s="373"/>
      <c r="H84" s="373"/>
      <c r="I84" s="373"/>
      <c r="J84" s="373"/>
      <c r="K84" s="373"/>
      <c r="L84" s="373"/>
      <c r="M84" s="373"/>
      <c r="N84" s="373"/>
      <c r="O84" s="373"/>
      <c r="P84" s="373"/>
      <c r="Q84" s="373"/>
      <c r="R84" s="373"/>
      <c r="S84" s="373"/>
      <c r="T84" s="373"/>
      <c r="U84" s="373"/>
    </row>
    <row r="85" spans="1:21">
      <c r="A85" s="373"/>
      <c r="B85" s="373"/>
      <c r="C85" s="373"/>
      <c r="D85" s="373"/>
      <c r="E85" s="373"/>
      <c r="F85" s="373"/>
      <c r="G85" s="373"/>
      <c r="H85" s="373"/>
      <c r="I85" s="373"/>
      <c r="J85" s="373"/>
      <c r="K85" s="373"/>
      <c r="L85" s="373"/>
      <c r="M85" s="373"/>
      <c r="N85" s="373"/>
      <c r="O85" s="373"/>
      <c r="P85" s="373"/>
      <c r="Q85" s="373"/>
      <c r="R85" s="373"/>
      <c r="S85" s="373"/>
      <c r="T85" s="373"/>
      <c r="U85" s="373"/>
    </row>
    <row r="86" spans="1:21">
      <c r="A86" s="373"/>
      <c r="B86" s="373"/>
      <c r="C86" s="373"/>
      <c r="D86" s="373"/>
      <c r="E86" s="373"/>
      <c r="F86" s="373"/>
      <c r="G86" s="373"/>
      <c r="H86" s="373"/>
      <c r="I86" s="373"/>
      <c r="J86" s="373"/>
      <c r="K86" s="373"/>
      <c r="L86" s="373"/>
      <c r="M86" s="373"/>
      <c r="N86" s="373"/>
      <c r="O86" s="373"/>
      <c r="P86" s="373"/>
      <c r="Q86" s="373"/>
      <c r="R86" s="373"/>
      <c r="S86" s="373"/>
      <c r="T86" s="373"/>
      <c r="U86" s="373"/>
    </row>
    <row r="87" spans="1:21">
      <c r="A87" s="373"/>
      <c r="B87" s="373"/>
      <c r="C87" s="373"/>
      <c r="D87" s="373"/>
      <c r="E87" s="373"/>
      <c r="F87" s="373"/>
      <c r="G87" s="373"/>
      <c r="H87" s="373"/>
      <c r="I87" s="373"/>
      <c r="J87" s="373"/>
      <c r="K87" s="373"/>
      <c r="L87" s="373"/>
      <c r="M87" s="373"/>
      <c r="N87" s="373"/>
      <c r="O87" s="373"/>
      <c r="P87" s="373"/>
      <c r="Q87" s="373"/>
      <c r="R87" s="373"/>
      <c r="S87" s="373"/>
      <c r="T87" s="373"/>
      <c r="U87" s="373"/>
    </row>
    <row r="88" spans="1:21">
      <c r="A88" s="373"/>
      <c r="B88" s="373"/>
      <c r="C88" s="373"/>
      <c r="D88" s="373"/>
      <c r="E88" s="373"/>
      <c r="F88" s="373"/>
      <c r="G88" s="373"/>
      <c r="H88" s="373"/>
      <c r="I88" s="373"/>
      <c r="J88" s="373"/>
      <c r="K88" s="373"/>
      <c r="L88" s="373"/>
      <c r="M88" s="373"/>
      <c r="N88" s="373"/>
      <c r="O88" s="373"/>
      <c r="P88" s="373"/>
      <c r="Q88" s="373"/>
      <c r="R88" s="373"/>
      <c r="S88" s="373"/>
      <c r="T88" s="373"/>
      <c r="U88" s="373"/>
    </row>
    <row r="89" spans="1:21">
      <c r="A89" s="373"/>
      <c r="B89" s="373"/>
      <c r="C89" s="373"/>
      <c r="D89" s="373"/>
      <c r="E89" s="373"/>
      <c r="F89" s="373"/>
      <c r="G89" s="373"/>
      <c r="H89" s="373"/>
      <c r="I89" s="373"/>
      <c r="J89" s="373"/>
      <c r="K89" s="373"/>
      <c r="L89" s="373"/>
      <c r="M89" s="373"/>
      <c r="N89" s="373"/>
      <c r="O89" s="373"/>
      <c r="P89" s="373"/>
      <c r="Q89" s="373"/>
      <c r="R89" s="373"/>
      <c r="S89" s="373"/>
      <c r="T89" s="373"/>
      <c r="U89" s="373"/>
    </row>
    <row r="90" spans="1:21">
      <c r="A90" s="373"/>
      <c r="B90" s="373"/>
      <c r="C90" s="373"/>
      <c r="D90" s="373"/>
      <c r="E90" s="373"/>
      <c r="F90" s="373"/>
      <c r="G90" s="373"/>
      <c r="H90" s="373"/>
      <c r="I90" s="373"/>
      <c r="J90" s="373"/>
      <c r="K90" s="373"/>
      <c r="L90" s="373"/>
      <c r="M90" s="373"/>
      <c r="N90" s="373"/>
      <c r="O90" s="373"/>
      <c r="P90" s="373"/>
      <c r="Q90" s="373"/>
      <c r="R90" s="373"/>
      <c r="S90" s="373"/>
      <c r="T90" s="373"/>
      <c r="U90" s="373"/>
    </row>
    <row r="91" spans="1:21">
      <c r="A91" s="373"/>
      <c r="B91" s="373"/>
      <c r="C91" s="373"/>
      <c r="D91" s="373"/>
      <c r="E91" s="373"/>
      <c r="F91" s="373"/>
      <c r="G91" s="373"/>
      <c r="H91" s="373"/>
      <c r="I91" s="373"/>
      <c r="J91" s="373"/>
      <c r="K91" s="373"/>
      <c r="L91" s="373"/>
      <c r="M91" s="373"/>
      <c r="N91" s="373"/>
      <c r="O91" s="373"/>
      <c r="P91" s="373"/>
      <c r="Q91" s="373"/>
      <c r="R91" s="373"/>
      <c r="S91" s="373"/>
      <c r="T91" s="373"/>
      <c r="U91" s="373"/>
    </row>
    <row r="92" spans="1:21">
      <c r="A92" s="373"/>
      <c r="B92" s="373"/>
      <c r="C92" s="373"/>
      <c r="D92" s="373"/>
      <c r="E92" s="373"/>
      <c r="F92" s="373"/>
      <c r="G92" s="373"/>
      <c r="H92" s="373"/>
      <c r="I92" s="373"/>
      <c r="J92" s="373"/>
      <c r="K92" s="373"/>
      <c r="L92" s="373"/>
      <c r="M92" s="373"/>
      <c r="N92" s="373"/>
      <c r="O92" s="373"/>
      <c r="P92" s="373"/>
      <c r="Q92" s="373"/>
      <c r="R92" s="373"/>
      <c r="S92" s="373"/>
      <c r="T92" s="373"/>
      <c r="U92" s="373"/>
    </row>
    <row r="93" spans="1:21">
      <c r="A93" s="373"/>
      <c r="B93" s="373"/>
      <c r="C93" s="373"/>
      <c r="D93" s="373"/>
      <c r="E93" s="373"/>
      <c r="F93" s="373"/>
      <c r="G93" s="373"/>
      <c r="H93" s="373"/>
      <c r="I93" s="373"/>
      <c r="J93" s="373"/>
      <c r="K93" s="373"/>
      <c r="L93" s="373"/>
      <c r="M93" s="373"/>
      <c r="N93" s="373"/>
      <c r="O93" s="373"/>
      <c r="P93" s="373"/>
      <c r="Q93" s="373"/>
      <c r="R93" s="373"/>
      <c r="S93" s="373"/>
      <c r="T93" s="373"/>
      <c r="U93" s="373"/>
    </row>
    <row r="94" spans="1:21">
      <c r="A94" s="373"/>
      <c r="B94" s="373"/>
      <c r="C94" s="373"/>
      <c r="D94" s="373"/>
      <c r="E94" s="373"/>
      <c r="F94" s="373"/>
      <c r="G94" s="373"/>
      <c r="H94" s="373"/>
      <c r="I94" s="373"/>
      <c r="J94" s="373"/>
      <c r="K94" s="373"/>
      <c r="L94" s="373"/>
      <c r="M94" s="373"/>
      <c r="N94" s="373"/>
      <c r="O94" s="373"/>
      <c r="P94" s="373"/>
      <c r="Q94" s="373"/>
      <c r="R94" s="373"/>
      <c r="S94" s="373"/>
      <c r="T94" s="373"/>
      <c r="U94" s="373"/>
    </row>
    <row r="95" spans="1:21">
      <c r="A95" s="373"/>
      <c r="B95" s="373"/>
      <c r="C95" s="373"/>
      <c r="D95" s="373"/>
      <c r="E95" s="373"/>
      <c r="F95" s="373"/>
      <c r="G95" s="373"/>
      <c r="H95" s="373"/>
      <c r="I95" s="373"/>
      <c r="J95" s="373"/>
      <c r="K95" s="373"/>
      <c r="L95" s="373"/>
      <c r="M95" s="373"/>
      <c r="N95" s="373"/>
      <c r="O95" s="373"/>
      <c r="P95" s="373"/>
      <c r="Q95" s="373"/>
      <c r="R95" s="373"/>
      <c r="S95" s="373"/>
      <c r="T95" s="373"/>
      <c r="U95" s="373"/>
    </row>
    <row r="96" spans="1:21">
      <c r="A96" s="373"/>
      <c r="B96" s="373"/>
      <c r="C96" s="373"/>
      <c r="D96" s="373"/>
      <c r="E96" s="373"/>
      <c r="F96" s="373"/>
      <c r="G96" s="373"/>
      <c r="H96" s="373"/>
      <c r="I96" s="373"/>
      <c r="J96" s="373"/>
      <c r="K96" s="373"/>
      <c r="L96" s="373"/>
      <c r="M96" s="373"/>
      <c r="N96" s="373"/>
      <c r="O96" s="373"/>
      <c r="P96" s="373"/>
      <c r="Q96" s="373"/>
      <c r="R96" s="373"/>
      <c r="S96" s="373"/>
      <c r="T96" s="373"/>
      <c r="U96" s="373"/>
    </row>
    <row r="97" spans="1:21">
      <c r="A97" s="373"/>
      <c r="B97" s="373"/>
      <c r="C97" s="373"/>
      <c r="D97" s="373"/>
      <c r="E97" s="373"/>
      <c r="F97" s="373"/>
      <c r="G97" s="373"/>
      <c r="H97" s="373"/>
      <c r="I97" s="373"/>
      <c r="J97" s="373"/>
      <c r="K97" s="373"/>
      <c r="L97" s="373"/>
      <c r="M97" s="373"/>
      <c r="N97" s="373"/>
      <c r="O97" s="373"/>
      <c r="P97" s="373"/>
      <c r="Q97" s="373"/>
      <c r="R97" s="373"/>
      <c r="S97" s="373"/>
      <c r="T97" s="373"/>
      <c r="U97" s="373"/>
    </row>
    <row r="98" spans="1:21">
      <c r="A98" s="373"/>
      <c r="B98" s="373"/>
      <c r="C98" s="373"/>
      <c r="D98" s="373"/>
      <c r="E98" s="373"/>
      <c r="F98" s="373"/>
      <c r="G98" s="373"/>
      <c r="H98" s="373"/>
      <c r="I98" s="373"/>
      <c r="J98" s="373"/>
      <c r="K98" s="373"/>
      <c r="L98" s="373"/>
      <c r="M98" s="373"/>
      <c r="N98" s="373"/>
      <c r="O98" s="373"/>
      <c r="P98" s="373"/>
      <c r="Q98" s="373"/>
      <c r="R98" s="373"/>
      <c r="S98" s="373"/>
      <c r="T98" s="373"/>
      <c r="U98" s="373"/>
    </row>
    <row r="99" spans="1:21">
      <c r="A99" s="373"/>
      <c r="B99" s="373"/>
      <c r="C99" s="373"/>
      <c r="D99" s="373"/>
      <c r="E99" s="373"/>
      <c r="F99" s="373"/>
      <c r="G99" s="373"/>
      <c r="H99" s="373"/>
      <c r="I99" s="373"/>
      <c r="J99" s="373"/>
      <c r="K99" s="373"/>
      <c r="L99" s="373"/>
      <c r="M99" s="373"/>
      <c r="N99" s="373"/>
      <c r="O99" s="373"/>
      <c r="P99" s="373"/>
      <c r="Q99" s="373"/>
      <c r="R99" s="373"/>
      <c r="S99" s="373"/>
      <c r="T99" s="373"/>
      <c r="U99" s="373"/>
    </row>
    <row r="100" spans="1:21">
      <c r="A100" s="373"/>
      <c r="B100" s="373"/>
      <c r="C100" s="373"/>
      <c r="D100" s="373"/>
      <c r="E100" s="373"/>
      <c r="F100" s="373"/>
      <c r="G100" s="373"/>
      <c r="H100" s="373"/>
      <c r="I100" s="373"/>
      <c r="J100" s="373"/>
      <c r="K100" s="373"/>
      <c r="L100" s="373"/>
      <c r="M100" s="373"/>
      <c r="N100" s="373"/>
      <c r="O100" s="373"/>
      <c r="P100" s="373"/>
      <c r="Q100" s="373"/>
      <c r="R100" s="373"/>
      <c r="S100" s="373"/>
      <c r="T100" s="373"/>
      <c r="U100" s="373"/>
    </row>
    <row r="101" spans="1:21">
      <c r="A101" s="373"/>
      <c r="B101" s="373"/>
      <c r="C101" s="373"/>
      <c r="D101" s="373"/>
      <c r="E101" s="373"/>
      <c r="F101" s="373"/>
      <c r="G101" s="373"/>
      <c r="H101" s="373"/>
      <c r="I101" s="373"/>
      <c r="J101" s="373"/>
      <c r="K101" s="373"/>
      <c r="L101" s="373"/>
      <c r="M101" s="373"/>
      <c r="N101" s="373"/>
      <c r="O101" s="373"/>
      <c r="P101" s="373"/>
      <c r="Q101" s="373"/>
      <c r="R101" s="373"/>
      <c r="S101" s="373"/>
      <c r="T101" s="373"/>
      <c r="U101" s="373"/>
    </row>
    <row r="102" spans="1:21">
      <c r="A102" s="373"/>
      <c r="B102" s="373"/>
      <c r="C102" s="373"/>
      <c r="D102" s="373"/>
      <c r="E102" s="373"/>
      <c r="F102" s="373"/>
      <c r="G102" s="373"/>
      <c r="H102" s="373"/>
      <c r="I102" s="373"/>
      <c r="J102" s="373"/>
      <c r="K102" s="373"/>
      <c r="L102" s="373"/>
      <c r="M102" s="373"/>
      <c r="N102" s="373"/>
      <c r="O102" s="373"/>
      <c r="P102" s="373"/>
      <c r="Q102" s="373"/>
      <c r="R102" s="373"/>
      <c r="S102" s="373"/>
      <c r="T102" s="373"/>
      <c r="U102" s="373"/>
    </row>
    <row r="103" spans="1:21">
      <c r="A103" s="373"/>
      <c r="B103" s="373"/>
      <c r="C103" s="373"/>
      <c r="D103" s="373"/>
      <c r="E103" s="373"/>
      <c r="F103" s="373"/>
      <c r="G103" s="373"/>
      <c r="H103" s="373"/>
      <c r="I103" s="373"/>
      <c r="J103" s="373"/>
      <c r="K103" s="373"/>
      <c r="L103" s="373"/>
      <c r="M103" s="373"/>
      <c r="N103" s="373"/>
      <c r="O103" s="373"/>
      <c r="P103" s="373"/>
      <c r="Q103" s="373"/>
      <c r="R103" s="373"/>
      <c r="S103" s="373"/>
      <c r="T103" s="373"/>
      <c r="U103" s="373"/>
    </row>
    <row r="104" spans="1:21">
      <c r="A104" s="373"/>
      <c r="B104" s="373"/>
      <c r="C104" s="373"/>
      <c r="D104" s="373"/>
      <c r="E104" s="373"/>
      <c r="F104" s="373"/>
      <c r="G104" s="373"/>
      <c r="H104" s="373"/>
      <c r="I104" s="373"/>
      <c r="J104" s="373"/>
      <c r="K104" s="373"/>
      <c r="L104" s="373"/>
      <c r="M104" s="373"/>
      <c r="N104" s="373"/>
      <c r="O104" s="373"/>
      <c r="P104" s="373"/>
      <c r="Q104" s="373"/>
      <c r="R104" s="373"/>
      <c r="S104" s="373"/>
      <c r="T104" s="373"/>
      <c r="U104" s="373"/>
    </row>
  </sheetData>
  <sheetProtection sheet="1" formatCells="0" formatColumns="0" formatRows="0" insertColumns="0" insertRows="0" insertHyperlinks="0" deleteColumns="0" deleteRows="0" sort="0" autoFilter="0" pivotTables="0"/>
  <mergeCells count="14">
    <mergeCell ref="C43:M43"/>
    <mergeCell ref="M23:M24"/>
    <mergeCell ref="P23:P24"/>
    <mergeCell ref="Q23:Q24"/>
    <mergeCell ref="U23:U24"/>
    <mergeCell ref="F41:L41"/>
    <mergeCell ref="E18:H18"/>
    <mergeCell ref="J18:L18"/>
    <mergeCell ref="A23:A24"/>
    <mergeCell ref="B23:C23"/>
    <mergeCell ref="D23:D24"/>
    <mergeCell ref="E23:H23"/>
    <mergeCell ref="I23:I24"/>
    <mergeCell ref="J23:L23"/>
  </mergeCells>
  <conditionalFormatting sqref="C1:D9">
    <cfRule type="cellIs" dxfId="41" priority="40" operator="equal">
      <formula>"AMBER"</formula>
    </cfRule>
    <cfRule type="cellIs" dxfId="40" priority="41" operator="equal">
      <formula>"RED"</formula>
    </cfRule>
    <cfRule type="cellIs" dxfId="39" priority="42" operator="equal">
      <formula>"GREEN"</formula>
    </cfRule>
  </conditionalFormatting>
  <conditionalFormatting sqref="J15">
    <cfRule type="cellIs" dxfId="38" priority="37" operator="equal">
      <formula>"AMBER"</formula>
    </cfRule>
    <cfRule type="cellIs" dxfId="37" priority="38" operator="equal">
      <formula>"RED"</formula>
    </cfRule>
    <cfRule type="cellIs" dxfId="36" priority="39" operator="equal">
      <formula>"GREEN"</formula>
    </cfRule>
  </conditionalFormatting>
  <conditionalFormatting sqref="M25:M29 M32:M37">
    <cfRule type="expression" dxfId="35" priority="36">
      <formula>M25&lt;&gt;Q25</formula>
    </cfRule>
  </conditionalFormatting>
  <conditionalFormatting sqref="I25:I28 I30:I37">
    <cfRule type="expression" dxfId="34" priority="35">
      <formula>I25&lt;&gt;P25</formula>
    </cfRule>
  </conditionalFormatting>
  <conditionalFormatting sqref="I38">
    <cfRule type="expression" dxfId="33" priority="34">
      <formula>$I$38=$I$39</formula>
    </cfRule>
  </conditionalFormatting>
  <conditionalFormatting sqref="M38">
    <cfRule type="expression" dxfId="32" priority="33">
      <formula>$M$38&gt;($J$20-1)</formula>
    </cfRule>
  </conditionalFormatting>
  <conditionalFormatting sqref="B11">
    <cfRule type="cellIs" dxfId="31" priority="30" operator="equal">
      <formula>"AMBER"</formula>
    </cfRule>
    <cfRule type="cellIs" dxfId="30" priority="31" operator="equal">
      <formula>"RED"</formula>
    </cfRule>
    <cfRule type="cellIs" dxfId="29" priority="32" operator="equal">
      <formula>"GREEN"</formula>
    </cfRule>
  </conditionalFormatting>
  <conditionalFormatting sqref="C11">
    <cfRule type="cellIs" dxfId="28" priority="27" operator="equal">
      <formula>"AMBER"</formula>
    </cfRule>
    <cfRule type="cellIs" dxfId="27" priority="28" operator="equal">
      <formula>"RED"</formula>
    </cfRule>
    <cfRule type="cellIs" dxfId="26" priority="29" operator="equal">
      <formula>"GREEN"</formula>
    </cfRule>
  </conditionalFormatting>
  <conditionalFormatting sqref="D25">
    <cfRule type="expression" dxfId="25" priority="26">
      <formula>$C25&gt;LastDateReport</formula>
    </cfRule>
  </conditionalFormatting>
  <conditionalFormatting sqref="D26">
    <cfRule type="expression" dxfId="24" priority="25">
      <formula>$C25&gt;LastDateReport</formula>
    </cfRule>
  </conditionalFormatting>
  <conditionalFormatting sqref="E25">
    <cfRule type="expression" dxfId="23" priority="24">
      <formula>$C25&gt;LastDateReport</formula>
    </cfRule>
  </conditionalFormatting>
  <conditionalFormatting sqref="E26">
    <cfRule type="expression" dxfId="22" priority="23">
      <formula>$C25&gt;LastDateReport</formula>
    </cfRule>
  </conditionalFormatting>
  <conditionalFormatting sqref="I25">
    <cfRule type="expression" dxfId="21" priority="22">
      <formula>I25&lt;&gt;P25</formula>
    </cfRule>
  </conditionalFormatting>
  <conditionalFormatting sqref="I26">
    <cfRule type="expression" dxfId="20" priority="21">
      <formula>I25&lt;&gt;P25</formula>
    </cfRule>
  </conditionalFormatting>
  <conditionalFormatting sqref="I27">
    <cfRule type="expression" dxfId="19" priority="20">
      <formula>I25&lt;&gt;P25</formula>
    </cfRule>
  </conditionalFormatting>
  <conditionalFormatting sqref="I28">
    <cfRule type="expression" dxfId="18" priority="19">
      <formula>I25&lt;&gt;P25</formula>
    </cfRule>
  </conditionalFormatting>
  <conditionalFormatting sqref="J25">
    <cfRule type="expression" dxfId="17" priority="17">
      <formula>$C25&gt;LastDateReport</formula>
    </cfRule>
  </conditionalFormatting>
  <conditionalFormatting sqref="J26">
    <cfRule type="expression" dxfId="16" priority="16">
      <formula>$C25&gt;LastDateReport</formula>
    </cfRule>
  </conditionalFormatting>
  <conditionalFormatting sqref="J27">
    <cfRule type="expression" dxfId="15" priority="15">
      <formula>$C25&gt;LastDateReport</formula>
    </cfRule>
  </conditionalFormatting>
  <conditionalFormatting sqref="J28">
    <cfRule type="expression" dxfId="14" priority="14">
      <formula>$C25&gt;LastDateReport</formula>
    </cfRule>
  </conditionalFormatting>
  <conditionalFormatting sqref="J29">
    <cfRule type="expression" dxfId="13" priority="13">
      <formula>$C25&gt;LastDateReport</formula>
    </cfRule>
  </conditionalFormatting>
  <conditionalFormatting sqref="K25">
    <cfRule type="expression" dxfId="12" priority="12">
      <formula>$C25&gt;LastDateReport</formula>
    </cfRule>
  </conditionalFormatting>
  <conditionalFormatting sqref="K26">
    <cfRule type="expression" dxfId="11" priority="11">
      <formula>$C25&gt;LastDateReport</formula>
    </cfRule>
  </conditionalFormatting>
  <conditionalFormatting sqref="K27">
    <cfRule type="expression" dxfId="10" priority="10">
      <formula>$C25&gt;LastDateReport</formula>
    </cfRule>
  </conditionalFormatting>
  <conditionalFormatting sqref="K28">
    <cfRule type="expression" dxfId="9" priority="9">
      <formula>$C25&gt;LastDateReport</formula>
    </cfRule>
  </conditionalFormatting>
  <conditionalFormatting sqref="K29">
    <cfRule type="expression" dxfId="8" priority="8">
      <formula>$C25&gt;LastDateReport</formula>
    </cfRule>
  </conditionalFormatting>
  <conditionalFormatting sqref="M25">
    <cfRule type="expression" dxfId="7" priority="7">
      <formula>M25&lt;&gt;Q25</formula>
    </cfRule>
  </conditionalFormatting>
  <conditionalFormatting sqref="M26">
    <cfRule type="expression" dxfId="6" priority="6">
      <formula>M25&lt;&gt;Q25</formula>
    </cfRule>
  </conditionalFormatting>
  <conditionalFormatting sqref="M27">
    <cfRule type="expression" dxfId="5" priority="5">
      <formula>M25&lt;&gt;Q25</formula>
    </cfRule>
  </conditionalFormatting>
  <conditionalFormatting sqref="M28">
    <cfRule type="expression" dxfId="4" priority="4">
      <formula>M25&lt;&gt;Q25</formula>
    </cfRule>
  </conditionalFormatting>
  <conditionalFormatting sqref="M29">
    <cfRule type="expression" dxfId="3" priority="3">
      <formula>M25&lt;&gt;Q25</formula>
    </cfRule>
  </conditionalFormatting>
  <dataValidations count="1">
    <dataValidation allowBlank="1" showInputMessage="1" showErrorMessage="1" promptTitle="TOTAL to equal EIF Total" prompt="The Project Manager is to modify the projected cash flow as appropriate, ensuring ACTUAL spend is listed where available, and best estimate is used for future spend. The total should equal the EIF allocated. The total will be red if it is not equal to EIF" sqref="I38 JE38 TA38 ACW38 AMS38 AWO38 BGK38 BQG38 CAC38 CJY38 CTU38 DDQ38 DNM38 DXI38 EHE38 ERA38 FAW38 FKS38 FUO38 GEK38 GOG38 GYC38 HHY38 HRU38 IBQ38 ILM38 IVI38 JFE38 JPA38 JYW38 KIS38 KSO38 LCK38 LMG38 LWC38 MFY38 MPU38 MZQ38 NJM38 NTI38 ODE38 ONA38 OWW38 PGS38 PQO38 QAK38 QKG38 QUC38 RDY38 RNU38 RXQ38 SHM38 SRI38 TBE38 TLA38 TUW38 UES38 UOO38 UYK38 VIG38 VSC38 WBY38 WLU38 WVQ38 I65574 JE65574 TA65574 ACW65574 AMS65574 AWO65574 BGK65574 BQG65574 CAC65574 CJY65574 CTU65574 DDQ65574 DNM65574 DXI65574 EHE65574 ERA65574 FAW65574 FKS65574 FUO65574 GEK65574 GOG65574 GYC65574 HHY65574 HRU65574 IBQ65574 ILM65574 IVI65574 JFE65574 JPA65574 JYW65574 KIS65574 KSO65574 LCK65574 LMG65574 LWC65574 MFY65574 MPU65574 MZQ65574 NJM65574 NTI65574 ODE65574 ONA65574 OWW65574 PGS65574 PQO65574 QAK65574 QKG65574 QUC65574 RDY65574 RNU65574 RXQ65574 SHM65574 SRI65574 TBE65574 TLA65574 TUW65574 UES65574 UOO65574 UYK65574 VIG65574 VSC65574 WBY65574 WLU65574 WVQ65574 I131110 JE131110 TA131110 ACW131110 AMS131110 AWO131110 BGK131110 BQG131110 CAC131110 CJY131110 CTU131110 DDQ131110 DNM131110 DXI131110 EHE131110 ERA131110 FAW131110 FKS131110 FUO131110 GEK131110 GOG131110 GYC131110 HHY131110 HRU131110 IBQ131110 ILM131110 IVI131110 JFE131110 JPA131110 JYW131110 KIS131110 KSO131110 LCK131110 LMG131110 LWC131110 MFY131110 MPU131110 MZQ131110 NJM131110 NTI131110 ODE131110 ONA131110 OWW131110 PGS131110 PQO131110 QAK131110 QKG131110 QUC131110 RDY131110 RNU131110 RXQ131110 SHM131110 SRI131110 TBE131110 TLA131110 TUW131110 UES131110 UOO131110 UYK131110 VIG131110 VSC131110 WBY131110 WLU131110 WVQ131110 I196646 JE196646 TA196646 ACW196646 AMS196646 AWO196646 BGK196646 BQG196646 CAC196646 CJY196646 CTU196646 DDQ196646 DNM196646 DXI196646 EHE196646 ERA196646 FAW196646 FKS196646 FUO196646 GEK196646 GOG196646 GYC196646 HHY196646 HRU196646 IBQ196646 ILM196646 IVI196646 JFE196646 JPA196646 JYW196646 KIS196646 KSO196646 LCK196646 LMG196646 LWC196646 MFY196646 MPU196646 MZQ196646 NJM196646 NTI196646 ODE196646 ONA196646 OWW196646 PGS196646 PQO196646 QAK196646 QKG196646 QUC196646 RDY196646 RNU196646 RXQ196646 SHM196646 SRI196646 TBE196646 TLA196646 TUW196646 UES196646 UOO196646 UYK196646 VIG196646 VSC196646 WBY196646 WLU196646 WVQ196646 I262182 JE262182 TA262182 ACW262182 AMS262182 AWO262182 BGK262182 BQG262182 CAC262182 CJY262182 CTU262182 DDQ262182 DNM262182 DXI262182 EHE262182 ERA262182 FAW262182 FKS262182 FUO262182 GEK262182 GOG262182 GYC262182 HHY262182 HRU262182 IBQ262182 ILM262182 IVI262182 JFE262182 JPA262182 JYW262182 KIS262182 KSO262182 LCK262182 LMG262182 LWC262182 MFY262182 MPU262182 MZQ262182 NJM262182 NTI262182 ODE262182 ONA262182 OWW262182 PGS262182 PQO262182 QAK262182 QKG262182 QUC262182 RDY262182 RNU262182 RXQ262182 SHM262182 SRI262182 TBE262182 TLA262182 TUW262182 UES262182 UOO262182 UYK262182 VIG262182 VSC262182 WBY262182 WLU262182 WVQ262182 I327718 JE327718 TA327718 ACW327718 AMS327718 AWO327718 BGK327718 BQG327718 CAC327718 CJY327718 CTU327718 DDQ327718 DNM327718 DXI327718 EHE327718 ERA327718 FAW327718 FKS327718 FUO327718 GEK327718 GOG327718 GYC327718 HHY327718 HRU327718 IBQ327718 ILM327718 IVI327718 JFE327718 JPA327718 JYW327718 KIS327718 KSO327718 LCK327718 LMG327718 LWC327718 MFY327718 MPU327718 MZQ327718 NJM327718 NTI327718 ODE327718 ONA327718 OWW327718 PGS327718 PQO327718 QAK327718 QKG327718 QUC327718 RDY327718 RNU327718 RXQ327718 SHM327718 SRI327718 TBE327718 TLA327718 TUW327718 UES327718 UOO327718 UYK327718 VIG327718 VSC327718 WBY327718 WLU327718 WVQ327718 I393254 JE393254 TA393254 ACW393254 AMS393254 AWO393254 BGK393254 BQG393254 CAC393254 CJY393254 CTU393254 DDQ393254 DNM393254 DXI393254 EHE393254 ERA393254 FAW393254 FKS393254 FUO393254 GEK393254 GOG393254 GYC393254 HHY393254 HRU393254 IBQ393254 ILM393254 IVI393254 JFE393254 JPA393254 JYW393254 KIS393254 KSO393254 LCK393254 LMG393254 LWC393254 MFY393254 MPU393254 MZQ393254 NJM393254 NTI393254 ODE393254 ONA393254 OWW393254 PGS393254 PQO393254 QAK393254 QKG393254 QUC393254 RDY393254 RNU393254 RXQ393254 SHM393254 SRI393254 TBE393254 TLA393254 TUW393254 UES393254 UOO393254 UYK393254 VIG393254 VSC393254 WBY393254 WLU393254 WVQ393254 I458790 JE458790 TA458790 ACW458790 AMS458790 AWO458790 BGK458790 BQG458790 CAC458790 CJY458790 CTU458790 DDQ458790 DNM458790 DXI458790 EHE458790 ERA458790 FAW458790 FKS458790 FUO458790 GEK458790 GOG458790 GYC458790 HHY458790 HRU458790 IBQ458790 ILM458790 IVI458790 JFE458790 JPA458790 JYW458790 KIS458790 KSO458790 LCK458790 LMG458790 LWC458790 MFY458790 MPU458790 MZQ458790 NJM458790 NTI458790 ODE458790 ONA458790 OWW458790 PGS458790 PQO458790 QAK458790 QKG458790 QUC458790 RDY458790 RNU458790 RXQ458790 SHM458790 SRI458790 TBE458790 TLA458790 TUW458790 UES458790 UOO458790 UYK458790 VIG458790 VSC458790 WBY458790 WLU458790 WVQ458790 I524326 JE524326 TA524326 ACW524326 AMS524326 AWO524326 BGK524326 BQG524326 CAC524326 CJY524326 CTU524326 DDQ524326 DNM524326 DXI524326 EHE524326 ERA524326 FAW524326 FKS524326 FUO524326 GEK524326 GOG524326 GYC524326 HHY524326 HRU524326 IBQ524326 ILM524326 IVI524326 JFE524326 JPA524326 JYW524326 KIS524326 KSO524326 LCK524326 LMG524326 LWC524326 MFY524326 MPU524326 MZQ524326 NJM524326 NTI524326 ODE524326 ONA524326 OWW524326 PGS524326 PQO524326 QAK524326 QKG524326 QUC524326 RDY524326 RNU524326 RXQ524326 SHM524326 SRI524326 TBE524326 TLA524326 TUW524326 UES524326 UOO524326 UYK524326 VIG524326 VSC524326 WBY524326 WLU524326 WVQ524326 I589862 JE589862 TA589862 ACW589862 AMS589862 AWO589862 BGK589862 BQG589862 CAC589862 CJY589862 CTU589862 DDQ589862 DNM589862 DXI589862 EHE589862 ERA589862 FAW589862 FKS589862 FUO589862 GEK589862 GOG589862 GYC589862 HHY589862 HRU589862 IBQ589862 ILM589862 IVI589862 JFE589862 JPA589862 JYW589862 KIS589862 KSO589862 LCK589862 LMG589862 LWC589862 MFY589862 MPU589862 MZQ589862 NJM589862 NTI589862 ODE589862 ONA589862 OWW589862 PGS589862 PQO589862 QAK589862 QKG589862 QUC589862 RDY589862 RNU589862 RXQ589862 SHM589862 SRI589862 TBE589862 TLA589862 TUW589862 UES589862 UOO589862 UYK589862 VIG589862 VSC589862 WBY589862 WLU589862 WVQ589862 I655398 JE655398 TA655398 ACW655398 AMS655398 AWO655398 BGK655398 BQG655398 CAC655398 CJY655398 CTU655398 DDQ655398 DNM655398 DXI655398 EHE655398 ERA655398 FAW655398 FKS655398 FUO655398 GEK655398 GOG655398 GYC655398 HHY655398 HRU655398 IBQ655398 ILM655398 IVI655398 JFE655398 JPA655398 JYW655398 KIS655398 KSO655398 LCK655398 LMG655398 LWC655398 MFY655398 MPU655398 MZQ655398 NJM655398 NTI655398 ODE655398 ONA655398 OWW655398 PGS655398 PQO655398 QAK655398 QKG655398 QUC655398 RDY655398 RNU655398 RXQ655398 SHM655398 SRI655398 TBE655398 TLA655398 TUW655398 UES655398 UOO655398 UYK655398 VIG655398 VSC655398 WBY655398 WLU655398 WVQ655398 I720934 JE720934 TA720934 ACW720934 AMS720934 AWO720934 BGK720934 BQG720934 CAC720934 CJY720934 CTU720934 DDQ720934 DNM720934 DXI720934 EHE720934 ERA720934 FAW720934 FKS720934 FUO720934 GEK720934 GOG720934 GYC720934 HHY720934 HRU720934 IBQ720934 ILM720934 IVI720934 JFE720934 JPA720934 JYW720934 KIS720934 KSO720934 LCK720934 LMG720934 LWC720934 MFY720934 MPU720934 MZQ720934 NJM720934 NTI720934 ODE720934 ONA720934 OWW720934 PGS720934 PQO720934 QAK720934 QKG720934 QUC720934 RDY720934 RNU720934 RXQ720934 SHM720934 SRI720934 TBE720934 TLA720934 TUW720934 UES720934 UOO720934 UYK720934 VIG720934 VSC720934 WBY720934 WLU720934 WVQ720934 I786470 JE786470 TA786470 ACW786470 AMS786470 AWO786470 BGK786470 BQG786470 CAC786470 CJY786470 CTU786470 DDQ786470 DNM786470 DXI786470 EHE786470 ERA786470 FAW786470 FKS786470 FUO786470 GEK786470 GOG786470 GYC786470 HHY786470 HRU786470 IBQ786470 ILM786470 IVI786470 JFE786470 JPA786470 JYW786470 KIS786470 KSO786470 LCK786470 LMG786470 LWC786470 MFY786470 MPU786470 MZQ786470 NJM786470 NTI786470 ODE786470 ONA786470 OWW786470 PGS786470 PQO786470 QAK786470 QKG786470 QUC786470 RDY786470 RNU786470 RXQ786470 SHM786470 SRI786470 TBE786470 TLA786470 TUW786470 UES786470 UOO786470 UYK786470 VIG786470 VSC786470 WBY786470 WLU786470 WVQ786470 I852006 JE852006 TA852006 ACW852006 AMS852006 AWO852006 BGK852006 BQG852006 CAC852006 CJY852006 CTU852006 DDQ852006 DNM852006 DXI852006 EHE852006 ERA852006 FAW852006 FKS852006 FUO852006 GEK852006 GOG852006 GYC852006 HHY852006 HRU852006 IBQ852006 ILM852006 IVI852006 JFE852006 JPA852006 JYW852006 KIS852006 KSO852006 LCK852006 LMG852006 LWC852006 MFY852006 MPU852006 MZQ852006 NJM852006 NTI852006 ODE852006 ONA852006 OWW852006 PGS852006 PQO852006 QAK852006 QKG852006 QUC852006 RDY852006 RNU852006 RXQ852006 SHM852006 SRI852006 TBE852006 TLA852006 TUW852006 UES852006 UOO852006 UYK852006 VIG852006 VSC852006 WBY852006 WLU852006 WVQ852006 I917542 JE917542 TA917542 ACW917542 AMS917542 AWO917542 BGK917542 BQG917542 CAC917542 CJY917542 CTU917542 DDQ917542 DNM917542 DXI917542 EHE917542 ERA917542 FAW917542 FKS917542 FUO917542 GEK917542 GOG917542 GYC917542 HHY917542 HRU917542 IBQ917542 ILM917542 IVI917542 JFE917542 JPA917542 JYW917542 KIS917542 KSO917542 LCK917542 LMG917542 LWC917542 MFY917542 MPU917542 MZQ917542 NJM917542 NTI917542 ODE917542 ONA917542 OWW917542 PGS917542 PQO917542 QAK917542 QKG917542 QUC917542 RDY917542 RNU917542 RXQ917542 SHM917542 SRI917542 TBE917542 TLA917542 TUW917542 UES917542 UOO917542 UYK917542 VIG917542 VSC917542 WBY917542 WLU917542 WVQ917542 I983078 JE983078 TA983078 ACW983078 AMS983078 AWO983078 BGK983078 BQG983078 CAC983078 CJY983078 CTU983078 DDQ983078 DNM983078 DXI983078 EHE983078 ERA983078 FAW983078 FKS983078 FUO983078 GEK983078 GOG983078 GYC983078 HHY983078 HRU983078 IBQ983078 ILM983078 IVI983078 JFE983078 JPA983078 JYW983078 KIS983078 KSO983078 LCK983078 LMG983078 LWC983078 MFY983078 MPU983078 MZQ983078 NJM983078 NTI983078 ODE983078 ONA983078 OWW983078 PGS983078 PQO983078 QAK983078 QKG983078 QUC983078 RDY983078 RNU983078 RXQ983078 SHM983078 SRI983078 TBE983078 TLA983078 TUW983078 UES983078 UOO983078 UYK983078 VIG983078 VSC983078 WBY983078 WLU983078 WVQ983078"/>
  </dataValidations>
  <pageMargins left="0.70866141732283472" right="0.70866141732283472" top="0.74803149606299213" bottom="0.74803149606299213" header="0.31496062992125984" footer="0.31496062992125984"/>
  <pageSetup paperSize="9" scale="73" fitToHeight="3" orientation="landscape" r:id="rId1"/>
  <drawing r:id="rId2"/>
  <legacyDrawing r:id="rId3"/>
</worksheet>
</file>

<file path=xl/worksheets/sheet2.xml><?xml version="1.0" encoding="utf-8"?>
<worksheet xmlns="http://schemas.openxmlformats.org/spreadsheetml/2006/main" xmlns:r="http://schemas.openxmlformats.org/officeDocument/2006/relationships">
  <sheetPr>
    <tabColor rgb="FFCCFFCC"/>
    <pageSetUpPr fitToPage="1"/>
  </sheetPr>
  <dimension ref="A1:R58"/>
  <sheetViews>
    <sheetView showGridLines="0" topLeftCell="B13" workbookViewId="0">
      <selection activeCell="M34" sqref="M34"/>
    </sheetView>
  </sheetViews>
  <sheetFormatPr defaultColWidth="11.42578125" defaultRowHeight="12.75"/>
  <cols>
    <col min="1" max="1" width="14" style="4" customWidth="1"/>
    <col min="2" max="2" width="6.42578125" customWidth="1"/>
    <col min="3" max="3" width="6.42578125" style="5" customWidth="1"/>
    <col min="4" max="4" width="24" customWidth="1"/>
    <col min="5" max="5" width="33.85546875" customWidth="1"/>
    <col min="7" max="7" width="11.42578125" style="4"/>
    <col min="8" max="8" width="15" customWidth="1"/>
    <col min="9" max="9" width="9" style="4" customWidth="1"/>
    <col min="10" max="10" width="9.85546875" customWidth="1"/>
    <col min="11" max="11" width="6.140625" customWidth="1"/>
    <col min="12" max="12" width="1.140625" style="5" customWidth="1"/>
    <col min="13" max="13" width="55.140625" style="5" customWidth="1"/>
    <col min="14" max="14" width="16.28515625" style="5" customWidth="1"/>
    <col min="15" max="15" width="13" style="10" customWidth="1"/>
    <col min="16" max="16" width="10.85546875" customWidth="1"/>
    <col min="17" max="17" width="25.140625" customWidth="1"/>
  </cols>
  <sheetData>
    <row r="1" spans="1:18" s="4" customFormat="1">
      <c r="A1" s="60" t="s">
        <v>0</v>
      </c>
      <c r="B1" s="38" t="str">
        <f>OVERALLLIGHT</f>
        <v>AMBER</v>
      </c>
      <c r="C1" s="196"/>
      <c r="L1" s="5"/>
      <c r="M1" s="5"/>
      <c r="N1" s="5"/>
      <c r="O1" s="10"/>
    </row>
    <row r="2" spans="1:18" s="4" customFormat="1">
      <c r="A2" s="61" t="s">
        <v>1</v>
      </c>
      <c r="B2" s="39" t="str">
        <f>MILESTONELIGHT</f>
        <v>RED</v>
      </c>
      <c r="C2" s="33"/>
      <c r="L2" s="5"/>
      <c r="M2" s="5"/>
      <c r="N2" s="5"/>
      <c r="O2" s="10"/>
    </row>
    <row r="3" spans="1:18" s="4" customFormat="1">
      <c r="A3" s="61" t="s">
        <v>2</v>
      </c>
      <c r="B3" s="39" t="str">
        <f>ISSUELIGHT</f>
        <v>GREEN</v>
      </c>
      <c r="C3" s="33"/>
      <c r="L3" s="5"/>
      <c r="M3" s="5"/>
      <c r="N3" s="5"/>
      <c r="O3" s="10"/>
    </row>
    <row r="4" spans="1:18" s="4" customFormat="1">
      <c r="A4" s="61" t="s">
        <v>3</v>
      </c>
      <c r="B4" s="39" t="str">
        <f>RISKLIGHT</f>
        <v>GREEN</v>
      </c>
      <c r="C4" s="33"/>
      <c r="L4" s="5"/>
      <c r="M4" s="5"/>
      <c r="N4" s="5"/>
      <c r="O4" s="10"/>
    </row>
    <row r="5" spans="1:18" s="4" customFormat="1">
      <c r="A5" s="61" t="s">
        <v>4</v>
      </c>
      <c r="B5" s="39" t="str">
        <f>CHANGELIGHT</f>
        <v>GREEN</v>
      </c>
      <c r="C5" s="33"/>
      <c r="L5" s="5"/>
      <c r="M5" s="5"/>
      <c r="N5" s="5"/>
      <c r="O5" s="10"/>
    </row>
    <row r="6" spans="1:18" s="4" customFormat="1">
      <c r="A6" s="61" t="s">
        <v>5</v>
      </c>
      <c r="B6" s="40" t="str">
        <f>DEPENDENCYLIGHT</f>
        <v/>
      </c>
      <c r="C6" s="33"/>
      <c r="L6" s="5"/>
      <c r="M6" s="5"/>
      <c r="N6" s="5"/>
      <c r="O6" s="10"/>
    </row>
    <row r="7" spans="1:18" s="4" customFormat="1">
      <c r="A7" s="61" t="s">
        <v>6</v>
      </c>
      <c r="B7" s="40" t="str">
        <f>MEASURELIGHT</f>
        <v/>
      </c>
      <c r="C7" s="33"/>
      <c r="L7" s="5"/>
      <c r="M7" s="5"/>
      <c r="N7" s="5"/>
      <c r="O7" s="10"/>
    </row>
    <row r="8" spans="1:18" s="4" customFormat="1">
      <c r="A8" s="61" t="s">
        <v>7</v>
      </c>
      <c r="B8" s="39" t="str">
        <f>COMMUNICATIONLIGHT</f>
        <v>GREEN</v>
      </c>
      <c r="C8" s="33"/>
      <c r="L8" s="5"/>
      <c r="M8" s="5"/>
      <c r="N8" s="5"/>
      <c r="O8" s="10"/>
    </row>
    <row r="9" spans="1:18" s="4" customFormat="1">
      <c r="A9" s="61" t="s">
        <v>8</v>
      </c>
      <c r="B9" s="41" t="str">
        <f>FINANCELIGHT</f>
        <v>GREEN</v>
      </c>
      <c r="C9" s="33"/>
      <c r="L9" s="5"/>
      <c r="M9" s="5"/>
      <c r="N9" s="5"/>
      <c r="O9" s="10"/>
    </row>
    <row r="10" spans="1:18" s="5" customFormat="1">
      <c r="A10" s="72"/>
      <c r="B10" s="132"/>
      <c r="C10" s="33"/>
      <c r="O10" s="10"/>
    </row>
    <row r="11" spans="1:18" s="5" customFormat="1" ht="15.95" customHeight="1">
      <c r="A11" s="72"/>
      <c r="B11" s="130" t="str">
        <f>ProjNo</f>
        <v>RT029</v>
      </c>
      <c r="C11" s="131"/>
      <c r="D11" s="131" t="str">
        <f>ProjName</f>
        <v>Cloud Based Bioinformatics Tools</v>
      </c>
      <c r="O11" s="10"/>
    </row>
    <row r="12" spans="1:18" s="5" customFormat="1" ht="15.95" customHeight="1">
      <c r="A12" s="72"/>
      <c r="B12" s="128" t="s">
        <v>42</v>
      </c>
      <c r="C12" s="126"/>
      <c r="D12" s="133">
        <f>ReportFrom</f>
        <v>41244</v>
      </c>
      <c r="E12" s="125"/>
      <c r="O12" s="10"/>
    </row>
    <row r="13" spans="1:18" s="5" customFormat="1" ht="15.95" customHeight="1">
      <c r="A13" s="72"/>
      <c r="B13" s="129" t="s">
        <v>43</v>
      </c>
      <c r="C13" s="197"/>
      <c r="D13" s="134">
        <f>LastDateReport</f>
        <v>41334</v>
      </c>
      <c r="E13" s="125"/>
      <c r="O13" s="10"/>
    </row>
    <row r="14" spans="1:18" s="5" customFormat="1" ht="15.95" customHeight="1">
      <c r="A14" s="72"/>
      <c r="B14" s="126"/>
      <c r="C14" s="126"/>
      <c r="D14" s="127"/>
      <c r="E14" s="125"/>
      <c r="O14" s="10"/>
    </row>
    <row r="15" spans="1:18" ht="18.95" customHeight="1">
      <c r="A15" s="65"/>
      <c r="B15" s="12" t="s">
        <v>44</v>
      </c>
      <c r="C15" s="12"/>
      <c r="D15" s="12"/>
      <c r="E15" s="12"/>
      <c r="F15" s="12"/>
      <c r="G15" s="12"/>
      <c r="H15" s="12" t="s">
        <v>45</v>
      </c>
      <c r="I15" s="12"/>
      <c r="J15" s="12" t="str">
        <f>MILESTONELIGHT</f>
        <v>RED</v>
      </c>
      <c r="K15" s="12"/>
      <c r="L15" s="12"/>
      <c r="M15" s="12"/>
      <c r="N15" s="12"/>
      <c r="O15" s="12"/>
      <c r="P15" s="4"/>
      <c r="Q15" s="4"/>
      <c r="R15" s="4"/>
    </row>
    <row r="16" spans="1:18" ht="15.95" customHeight="1">
      <c r="A16" s="65"/>
      <c r="B16" s="22" t="s">
        <v>46</v>
      </c>
      <c r="C16" s="22"/>
      <c r="D16" s="22"/>
      <c r="E16" s="364" t="s">
        <v>47</v>
      </c>
      <c r="F16" s="22"/>
      <c r="G16" s="22"/>
      <c r="H16" s="22"/>
      <c r="I16" s="22"/>
      <c r="J16" s="22"/>
      <c r="K16" s="22"/>
      <c r="L16" s="22"/>
      <c r="M16" s="22"/>
      <c r="N16" s="22"/>
      <c r="O16" s="23"/>
      <c r="P16" s="4"/>
      <c r="Q16" s="4"/>
      <c r="R16" s="4"/>
    </row>
    <row r="17" spans="1:18">
      <c r="A17" s="65"/>
      <c r="B17" s="9"/>
      <c r="C17" s="9"/>
      <c r="D17" s="9"/>
      <c r="E17" s="9"/>
      <c r="F17" s="9"/>
      <c r="G17" s="9"/>
      <c r="H17" s="9"/>
      <c r="I17" s="9"/>
      <c r="J17" s="9"/>
      <c r="K17" s="9"/>
      <c r="L17" s="9"/>
      <c r="M17" s="9"/>
      <c r="N17" s="9"/>
      <c r="O17" s="24"/>
      <c r="P17" s="4"/>
      <c r="Q17" s="4"/>
      <c r="R17" s="4"/>
    </row>
    <row r="18" spans="1:18" ht="56.1" customHeight="1">
      <c r="A18" s="109" t="s">
        <v>48</v>
      </c>
      <c r="B18" s="187" t="s">
        <v>49</v>
      </c>
      <c r="C18" s="187" t="s">
        <v>50</v>
      </c>
      <c r="D18" s="187" t="s">
        <v>51</v>
      </c>
      <c r="E18" s="188" t="s">
        <v>50</v>
      </c>
      <c r="F18" s="187" t="s">
        <v>52</v>
      </c>
      <c r="G18" s="187" t="s">
        <v>53</v>
      </c>
      <c r="H18" s="187" t="s">
        <v>54</v>
      </c>
      <c r="I18" s="189" t="s">
        <v>55</v>
      </c>
      <c r="J18" s="187" t="s">
        <v>56</v>
      </c>
      <c r="K18" s="187" t="s">
        <v>57</v>
      </c>
      <c r="L18" s="190"/>
      <c r="M18" s="190" t="s">
        <v>58</v>
      </c>
      <c r="N18" s="190"/>
      <c r="O18" s="224" t="s">
        <v>59</v>
      </c>
      <c r="P18" s="224" t="s">
        <v>45</v>
      </c>
      <c r="Q18" s="4"/>
      <c r="R18" s="4"/>
    </row>
    <row r="19" spans="1:18" ht="24.75" customHeight="1">
      <c r="A19" s="65"/>
      <c r="B19" s="322">
        <v>1</v>
      </c>
      <c r="C19" s="322">
        <v>1</v>
      </c>
      <c r="D19" s="323" t="s">
        <v>60</v>
      </c>
      <c r="E19" s="323" t="s">
        <v>61</v>
      </c>
      <c r="F19" s="191">
        <v>41011</v>
      </c>
      <c r="G19" s="123">
        <v>100</v>
      </c>
      <c r="H19" s="353"/>
      <c r="I19" s="228" t="str">
        <f t="shared" ref="I19:I36" si="0">IF(ISERROR(IF(H19&lt;1,"",H19-F19)),"",IF(H19&lt;1,"",H19-F19))</f>
        <v/>
      </c>
      <c r="J19" s="192"/>
      <c r="K19" s="193"/>
      <c r="L19" s="194"/>
      <c r="M19" s="315" t="s">
        <v>385</v>
      </c>
      <c r="N19" s="162" t="str">
        <f t="shared" ref="N19:N36" si="1">IF(O19="NOT COMPLETE","COMMENT REQUIRED","")</f>
        <v>COMMENT REQUIRED</v>
      </c>
      <c r="O19" s="225" t="str">
        <f t="shared" ref="O19:O36" si="2">IF(F19&lt;LastDateReport+1,IF(H19="","NOT COMPLETE","COMPLETE"),"Not Due")</f>
        <v>NOT COMPLETE</v>
      </c>
      <c r="P19" s="31" t="str">
        <f t="shared" ref="P19:P36" si="3">IF(O19="NOT COMPLETE",IF(LastDateReport-F19&lt;28,IF(LastDateReport-F19&gt;7,"AMBER","GREEN"),"RED"),"")</f>
        <v>RED</v>
      </c>
      <c r="Q19" s="223"/>
      <c r="R19" s="5"/>
    </row>
    <row r="20" spans="1:18" ht="25.5">
      <c r="A20" s="65"/>
      <c r="B20" s="322">
        <v>2</v>
      </c>
      <c r="C20" s="322">
        <v>2</v>
      </c>
      <c r="D20" s="323" t="s">
        <v>62</v>
      </c>
      <c r="E20" s="323" t="s">
        <v>63</v>
      </c>
      <c r="F20" s="191">
        <v>41011</v>
      </c>
      <c r="G20" s="123">
        <v>100</v>
      </c>
      <c r="H20" s="353"/>
      <c r="I20" s="228" t="str">
        <f t="shared" si="0"/>
        <v/>
      </c>
      <c r="J20" s="193" t="s">
        <v>64</v>
      </c>
      <c r="K20" s="193"/>
      <c r="L20" s="194"/>
      <c r="M20" s="315" t="s">
        <v>385</v>
      </c>
      <c r="N20" s="162" t="str">
        <f t="shared" si="1"/>
        <v>COMMENT REQUIRED</v>
      </c>
      <c r="O20" s="225" t="str">
        <f t="shared" si="2"/>
        <v>NOT COMPLETE</v>
      </c>
      <c r="P20" s="31" t="str">
        <f t="shared" si="3"/>
        <v>RED</v>
      </c>
      <c r="Q20" s="4"/>
      <c r="R20" s="4"/>
    </row>
    <row r="21" spans="1:18" ht="42" customHeight="1">
      <c r="B21" s="322">
        <v>3</v>
      </c>
      <c r="C21" s="322">
        <v>3</v>
      </c>
      <c r="D21" s="323" t="s">
        <v>65</v>
      </c>
      <c r="E21" s="323" t="s">
        <v>66</v>
      </c>
      <c r="F21" s="191">
        <v>41044</v>
      </c>
      <c r="G21" s="123">
        <v>100</v>
      </c>
      <c r="H21" s="353"/>
      <c r="I21" s="228" t="str">
        <f t="shared" si="0"/>
        <v/>
      </c>
      <c r="J21" s="193"/>
      <c r="K21" s="193"/>
      <c r="L21" s="194"/>
      <c r="M21" s="315" t="s">
        <v>385</v>
      </c>
      <c r="N21" s="162" t="str">
        <f t="shared" si="1"/>
        <v>COMMENT REQUIRED</v>
      </c>
      <c r="O21" s="225" t="str">
        <f t="shared" si="2"/>
        <v>NOT COMPLETE</v>
      </c>
      <c r="P21" s="31" t="str">
        <f t="shared" si="3"/>
        <v>RED</v>
      </c>
      <c r="Q21" s="4"/>
      <c r="R21" s="4"/>
    </row>
    <row r="22" spans="1:18" ht="27.95" customHeight="1">
      <c r="B22" s="322">
        <v>4</v>
      </c>
      <c r="C22" s="322">
        <v>4</v>
      </c>
      <c r="D22" s="323" t="s">
        <v>67</v>
      </c>
      <c r="E22" s="323" t="s">
        <v>68</v>
      </c>
      <c r="F22" s="191">
        <v>41091</v>
      </c>
      <c r="G22" s="123">
        <v>100</v>
      </c>
      <c r="H22" s="353"/>
      <c r="I22" s="228" t="str">
        <f t="shared" si="0"/>
        <v/>
      </c>
      <c r="J22" s="193"/>
      <c r="K22" s="193"/>
      <c r="L22" s="194"/>
      <c r="M22" s="315" t="s">
        <v>385</v>
      </c>
      <c r="N22" s="162" t="str">
        <f t="shared" si="1"/>
        <v>COMMENT REQUIRED</v>
      </c>
      <c r="O22" s="225" t="str">
        <f t="shared" si="2"/>
        <v>NOT COMPLETE</v>
      </c>
      <c r="P22" s="31" t="str">
        <f t="shared" si="3"/>
        <v>RED</v>
      </c>
      <c r="Q22" s="4"/>
      <c r="R22" s="4"/>
    </row>
    <row r="23" spans="1:18" ht="42" customHeight="1">
      <c r="B23" s="322">
        <v>5</v>
      </c>
      <c r="C23" s="322">
        <v>5</v>
      </c>
      <c r="D23" s="323" t="s">
        <v>69</v>
      </c>
      <c r="E23" s="323" t="s">
        <v>70</v>
      </c>
      <c r="F23" s="191">
        <v>41074</v>
      </c>
      <c r="G23" s="123">
        <v>100</v>
      </c>
      <c r="H23" s="353"/>
      <c r="I23" s="228" t="str">
        <f t="shared" si="0"/>
        <v/>
      </c>
      <c r="J23" s="195"/>
      <c r="K23" s="193" t="s">
        <v>64</v>
      </c>
      <c r="L23" s="194"/>
      <c r="M23" s="315" t="s">
        <v>71</v>
      </c>
      <c r="N23" s="162" t="str">
        <f t="shared" si="1"/>
        <v>COMMENT REQUIRED</v>
      </c>
      <c r="O23" s="225" t="str">
        <f t="shared" si="2"/>
        <v>NOT COMPLETE</v>
      </c>
      <c r="P23" s="31" t="str">
        <f t="shared" si="3"/>
        <v>RED</v>
      </c>
      <c r="Q23" s="4"/>
      <c r="R23" s="4"/>
    </row>
    <row r="24" spans="1:18" ht="25.5">
      <c r="B24" s="322">
        <v>6</v>
      </c>
      <c r="C24" s="322">
        <v>6</v>
      </c>
      <c r="D24" s="323" t="s">
        <v>72</v>
      </c>
      <c r="E24" s="323" t="s">
        <v>73</v>
      </c>
      <c r="F24" s="191">
        <v>41089</v>
      </c>
      <c r="G24" s="123">
        <v>100</v>
      </c>
      <c r="H24" s="353"/>
      <c r="I24" s="228" t="str">
        <f t="shared" si="0"/>
        <v/>
      </c>
      <c r="J24" s="195" t="s">
        <v>64</v>
      </c>
      <c r="K24" s="193"/>
      <c r="L24" s="194"/>
      <c r="M24" s="315" t="s">
        <v>74</v>
      </c>
      <c r="N24" s="162" t="str">
        <f t="shared" si="1"/>
        <v>COMMENT REQUIRED</v>
      </c>
      <c r="O24" s="225" t="str">
        <f t="shared" si="2"/>
        <v>NOT COMPLETE</v>
      </c>
      <c r="P24" s="31" t="str">
        <f t="shared" si="3"/>
        <v>RED</v>
      </c>
      <c r="Q24" s="4"/>
      <c r="R24" s="4"/>
    </row>
    <row r="25" spans="1:18" s="5" customFormat="1" ht="42" customHeight="1">
      <c r="B25" s="322">
        <v>7</v>
      </c>
      <c r="C25" s="322">
        <v>7</v>
      </c>
      <c r="D25" s="323" t="s">
        <v>75</v>
      </c>
      <c r="E25" s="323" t="s">
        <v>76</v>
      </c>
      <c r="F25" s="191">
        <v>41136</v>
      </c>
      <c r="G25" s="123">
        <v>100</v>
      </c>
      <c r="H25" s="353"/>
      <c r="I25" s="228" t="str">
        <f t="shared" si="0"/>
        <v/>
      </c>
      <c r="J25" s="195"/>
      <c r="K25" s="193" t="s">
        <v>64</v>
      </c>
      <c r="L25" s="194"/>
      <c r="M25" s="315" t="s">
        <v>77</v>
      </c>
      <c r="N25" s="162" t="str">
        <f t="shared" si="1"/>
        <v>COMMENT REQUIRED</v>
      </c>
      <c r="O25" s="225" t="str">
        <f t="shared" si="2"/>
        <v>NOT COMPLETE</v>
      </c>
      <c r="P25" s="31" t="str">
        <f t="shared" si="3"/>
        <v>RED</v>
      </c>
    </row>
    <row r="26" spans="1:18" s="5" customFormat="1" ht="42" customHeight="1">
      <c r="B26" s="322">
        <v>8</v>
      </c>
      <c r="C26" s="322">
        <v>8</v>
      </c>
      <c r="D26" s="323" t="s">
        <v>78</v>
      </c>
      <c r="E26" s="323" t="s">
        <v>79</v>
      </c>
      <c r="F26" s="191">
        <v>41136</v>
      </c>
      <c r="G26" s="123">
        <v>100</v>
      </c>
      <c r="H26" s="353">
        <v>41347</v>
      </c>
      <c r="I26" s="228">
        <f t="shared" si="0"/>
        <v>211</v>
      </c>
      <c r="J26" s="195"/>
      <c r="K26" s="193" t="s">
        <v>64</v>
      </c>
      <c r="L26" s="194"/>
      <c r="M26" s="315" t="s">
        <v>386</v>
      </c>
      <c r="N26" s="162" t="str">
        <f t="shared" si="1"/>
        <v/>
      </c>
      <c r="O26" s="225" t="str">
        <f t="shared" si="2"/>
        <v>COMPLETE</v>
      </c>
      <c r="P26" s="31" t="str">
        <f t="shared" si="3"/>
        <v/>
      </c>
    </row>
    <row r="27" spans="1:18" s="5" customFormat="1" ht="27.95" customHeight="1">
      <c r="B27" s="322">
        <v>9</v>
      </c>
      <c r="C27" s="322">
        <v>9</v>
      </c>
      <c r="D27" s="323" t="s">
        <v>80</v>
      </c>
      <c r="E27" s="323" t="s">
        <v>81</v>
      </c>
      <c r="F27" s="191">
        <v>41152</v>
      </c>
      <c r="G27" s="123">
        <v>100</v>
      </c>
      <c r="H27" s="353">
        <v>41347</v>
      </c>
      <c r="I27" s="228">
        <f t="shared" si="0"/>
        <v>195</v>
      </c>
      <c r="J27" s="195" t="s">
        <v>64</v>
      </c>
      <c r="K27" s="193"/>
      <c r="L27" s="194"/>
      <c r="M27" s="315" t="s">
        <v>387</v>
      </c>
      <c r="N27" s="162" t="str">
        <f t="shared" si="1"/>
        <v/>
      </c>
      <c r="O27" s="225" t="str">
        <f t="shared" si="2"/>
        <v>COMPLETE</v>
      </c>
      <c r="P27" s="31" t="str">
        <f t="shared" si="3"/>
        <v/>
      </c>
    </row>
    <row r="28" spans="1:18" s="5" customFormat="1" ht="42" customHeight="1">
      <c r="B28" s="322">
        <v>10</v>
      </c>
      <c r="C28" s="322">
        <v>10</v>
      </c>
      <c r="D28" s="323" t="s">
        <v>82</v>
      </c>
      <c r="E28" s="323" t="s">
        <v>83</v>
      </c>
      <c r="F28" s="191">
        <v>41182</v>
      </c>
      <c r="G28" s="123">
        <v>75</v>
      </c>
      <c r="H28" s="353" t="str">
        <f t="shared" ref="H26:H36" si="4">IF(G28=100,"Enter date of completion","")</f>
        <v/>
      </c>
      <c r="I28" s="228" t="str">
        <f t="shared" si="0"/>
        <v/>
      </c>
      <c r="J28" s="195"/>
      <c r="K28" s="193" t="s">
        <v>64</v>
      </c>
      <c r="L28" s="194"/>
      <c r="M28" s="315" t="s">
        <v>388</v>
      </c>
      <c r="N28" s="162" t="str">
        <f t="shared" si="1"/>
        <v>COMMENT REQUIRED</v>
      </c>
      <c r="O28" s="225" t="str">
        <f t="shared" si="2"/>
        <v>NOT COMPLETE</v>
      </c>
      <c r="P28" s="31" t="str">
        <f t="shared" si="3"/>
        <v>RED</v>
      </c>
    </row>
    <row r="29" spans="1:18" s="5" customFormat="1" ht="42" customHeight="1">
      <c r="B29" s="322">
        <v>11</v>
      </c>
      <c r="C29" s="322">
        <v>11</v>
      </c>
      <c r="D29" s="323" t="s">
        <v>84</v>
      </c>
      <c r="E29" s="323" t="s">
        <v>85</v>
      </c>
      <c r="F29" s="191">
        <v>41197</v>
      </c>
      <c r="G29" s="123">
        <v>25</v>
      </c>
      <c r="H29" s="353" t="str">
        <f t="shared" si="4"/>
        <v/>
      </c>
      <c r="I29" s="228" t="str">
        <f t="shared" si="0"/>
        <v/>
      </c>
      <c r="J29" s="195"/>
      <c r="K29" s="193" t="s">
        <v>64</v>
      </c>
      <c r="L29" s="194"/>
      <c r="M29" s="315" t="s">
        <v>86</v>
      </c>
      <c r="N29" s="162" t="str">
        <f t="shared" si="1"/>
        <v>COMMENT REQUIRED</v>
      </c>
      <c r="O29" s="225" t="str">
        <f t="shared" si="2"/>
        <v>NOT COMPLETE</v>
      </c>
      <c r="P29" s="31" t="str">
        <f t="shared" si="3"/>
        <v>RED</v>
      </c>
    </row>
    <row r="30" spans="1:18" s="5" customFormat="1" ht="25.5">
      <c r="B30" s="322">
        <v>12</v>
      </c>
      <c r="C30" s="322">
        <v>12</v>
      </c>
      <c r="D30" s="323" t="s">
        <v>87</v>
      </c>
      <c r="E30" s="323" t="s">
        <v>88</v>
      </c>
      <c r="F30" s="191">
        <v>41243</v>
      </c>
      <c r="G30" s="123">
        <v>50</v>
      </c>
      <c r="H30" s="353" t="str">
        <f t="shared" si="4"/>
        <v/>
      </c>
      <c r="I30" s="228" t="str">
        <f t="shared" si="0"/>
        <v/>
      </c>
      <c r="J30" s="195" t="s">
        <v>64</v>
      </c>
      <c r="K30" s="193"/>
      <c r="L30" s="194"/>
      <c r="M30" s="315" t="s">
        <v>89</v>
      </c>
      <c r="N30" s="162" t="str">
        <f t="shared" si="1"/>
        <v>COMMENT REQUIRED</v>
      </c>
      <c r="O30" s="225" t="str">
        <f t="shared" si="2"/>
        <v>NOT COMPLETE</v>
      </c>
      <c r="P30" s="31" t="str">
        <f t="shared" si="3"/>
        <v>RED</v>
      </c>
    </row>
    <row r="31" spans="1:18" ht="42" customHeight="1">
      <c r="B31" s="322">
        <v>13</v>
      </c>
      <c r="C31" s="322">
        <v>13</v>
      </c>
      <c r="D31" s="323" t="s">
        <v>90</v>
      </c>
      <c r="E31" s="323" t="s">
        <v>91</v>
      </c>
      <c r="F31" s="191">
        <v>41258</v>
      </c>
      <c r="G31" s="123">
        <v>50</v>
      </c>
      <c r="H31" s="353" t="str">
        <f t="shared" si="4"/>
        <v/>
      </c>
      <c r="I31" s="228" t="str">
        <f t="shared" si="0"/>
        <v/>
      </c>
      <c r="J31" s="195"/>
      <c r="K31" s="193" t="s">
        <v>64</v>
      </c>
      <c r="L31" s="194"/>
      <c r="M31" s="315" t="s">
        <v>371</v>
      </c>
      <c r="N31" s="162" t="str">
        <f t="shared" si="1"/>
        <v>COMMENT REQUIRED</v>
      </c>
      <c r="O31" s="225" t="str">
        <f t="shared" si="2"/>
        <v>NOT COMPLETE</v>
      </c>
      <c r="P31" s="31" t="str">
        <f t="shared" si="3"/>
        <v>RED</v>
      </c>
      <c r="Q31" s="4"/>
      <c r="R31" s="4"/>
    </row>
    <row r="32" spans="1:18" ht="42" customHeight="1">
      <c r="B32" s="322">
        <v>14</v>
      </c>
      <c r="C32" s="322">
        <v>14</v>
      </c>
      <c r="D32" s="323" t="s">
        <v>92</v>
      </c>
      <c r="E32" s="323" t="s">
        <v>93</v>
      </c>
      <c r="F32" s="191">
        <v>41258</v>
      </c>
      <c r="G32" s="123">
        <v>100</v>
      </c>
      <c r="H32" s="353">
        <v>41347</v>
      </c>
      <c r="I32" s="228">
        <f t="shared" si="0"/>
        <v>89</v>
      </c>
      <c r="J32" s="195"/>
      <c r="K32" s="193" t="s">
        <v>64</v>
      </c>
      <c r="L32" s="194"/>
      <c r="M32" s="315" t="s">
        <v>389</v>
      </c>
      <c r="N32" s="162" t="str">
        <f t="shared" si="1"/>
        <v/>
      </c>
      <c r="O32" s="225" t="str">
        <f t="shared" si="2"/>
        <v>COMPLETE</v>
      </c>
      <c r="P32" s="31" t="str">
        <f t="shared" si="3"/>
        <v/>
      </c>
      <c r="Q32" s="4"/>
      <c r="R32" s="4"/>
    </row>
    <row r="33" spans="2:18" ht="42" customHeight="1">
      <c r="B33" s="322">
        <v>15</v>
      </c>
      <c r="C33" s="322">
        <v>15</v>
      </c>
      <c r="D33" s="323" t="s">
        <v>94</v>
      </c>
      <c r="E33" s="323" t="s">
        <v>95</v>
      </c>
      <c r="F33" s="191">
        <v>41333</v>
      </c>
      <c r="G33" s="123">
        <v>0</v>
      </c>
      <c r="H33" s="353" t="str">
        <f t="shared" si="4"/>
        <v/>
      </c>
      <c r="I33" s="228" t="str">
        <f t="shared" si="0"/>
        <v/>
      </c>
      <c r="J33" s="195"/>
      <c r="K33" s="193" t="s">
        <v>64</v>
      </c>
      <c r="L33" s="194"/>
      <c r="M33" s="315" t="s">
        <v>398</v>
      </c>
      <c r="N33" s="162" t="str">
        <f t="shared" si="1"/>
        <v>COMMENT REQUIRED</v>
      </c>
      <c r="O33" s="225" t="str">
        <f t="shared" si="2"/>
        <v>NOT COMPLETE</v>
      </c>
      <c r="P33" s="31" t="str">
        <f t="shared" si="3"/>
        <v>GREEN</v>
      </c>
      <c r="Q33" s="4"/>
      <c r="R33" s="4"/>
    </row>
    <row r="34" spans="2:18" s="5" customFormat="1" ht="42" customHeight="1">
      <c r="B34" s="322">
        <v>16</v>
      </c>
      <c r="C34" s="322">
        <v>16</v>
      </c>
      <c r="D34" s="323" t="s">
        <v>96</v>
      </c>
      <c r="E34" s="323" t="s">
        <v>97</v>
      </c>
      <c r="F34" s="191">
        <v>41334</v>
      </c>
      <c r="G34" s="123">
        <v>0</v>
      </c>
      <c r="H34" s="353" t="str">
        <f t="shared" si="4"/>
        <v/>
      </c>
      <c r="I34" s="228" t="str">
        <f t="shared" si="0"/>
        <v/>
      </c>
      <c r="J34" s="195" t="s">
        <v>64</v>
      </c>
      <c r="K34" s="193"/>
      <c r="L34" s="194"/>
      <c r="M34" s="315"/>
      <c r="N34" s="162" t="str">
        <f t="shared" si="1"/>
        <v>COMMENT REQUIRED</v>
      </c>
      <c r="O34" s="225" t="str">
        <f t="shared" si="2"/>
        <v>NOT COMPLETE</v>
      </c>
      <c r="P34" s="31" t="str">
        <f t="shared" si="3"/>
        <v>GREEN</v>
      </c>
    </row>
    <row r="35" spans="2:18" s="5" customFormat="1" ht="42" customHeight="1">
      <c r="B35" s="322">
        <v>17</v>
      </c>
      <c r="C35" s="322">
        <v>17</v>
      </c>
      <c r="D35" s="323" t="s">
        <v>98</v>
      </c>
      <c r="E35" s="323" t="s">
        <v>99</v>
      </c>
      <c r="F35" s="191">
        <v>41600</v>
      </c>
      <c r="G35" s="123">
        <v>0</v>
      </c>
      <c r="H35" s="353" t="str">
        <f t="shared" si="4"/>
        <v/>
      </c>
      <c r="I35" s="228" t="str">
        <f t="shared" si="0"/>
        <v/>
      </c>
      <c r="J35" s="195" t="s">
        <v>64</v>
      </c>
      <c r="K35" s="193"/>
      <c r="L35" s="194"/>
      <c r="M35" s="315"/>
      <c r="N35" s="162" t="str">
        <f t="shared" si="1"/>
        <v/>
      </c>
      <c r="O35" s="225" t="str">
        <f t="shared" si="2"/>
        <v>Not Due</v>
      </c>
      <c r="P35" s="31" t="str">
        <f t="shared" si="3"/>
        <v/>
      </c>
    </row>
    <row r="36" spans="2:18" s="5" customFormat="1" ht="27.95" customHeight="1">
      <c r="B36" s="322">
        <v>18</v>
      </c>
      <c r="C36" s="322">
        <v>18</v>
      </c>
      <c r="D36" s="323" t="s">
        <v>100</v>
      </c>
      <c r="E36" s="323" t="s">
        <v>101</v>
      </c>
      <c r="F36" s="191">
        <v>41820</v>
      </c>
      <c r="G36" s="123">
        <v>0</v>
      </c>
      <c r="H36" s="353" t="str">
        <f t="shared" si="4"/>
        <v/>
      </c>
      <c r="I36" s="228" t="str">
        <f t="shared" si="0"/>
        <v/>
      </c>
      <c r="J36" s="195"/>
      <c r="K36" s="193"/>
      <c r="L36" s="194"/>
      <c r="M36" s="315"/>
      <c r="N36" s="162" t="str">
        <f t="shared" si="1"/>
        <v/>
      </c>
      <c r="O36" s="225" t="str">
        <f t="shared" si="2"/>
        <v>Not Due</v>
      </c>
      <c r="P36" s="31" t="str">
        <f t="shared" si="3"/>
        <v/>
      </c>
    </row>
    <row r="37" spans="2:18">
      <c r="B37" s="66"/>
      <c r="C37" s="66"/>
      <c r="D37" s="66"/>
      <c r="E37" s="66"/>
      <c r="F37" s="66"/>
      <c r="G37" s="66"/>
      <c r="H37" s="66"/>
      <c r="I37" s="26" t="s">
        <v>102</v>
      </c>
      <c r="J37" s="66"/>
      <c r="K37" s="66"/>
      <c r="L37" s="66"/>
      <c r="M37" s="66"/>
      <c r="N37" s="66"/>
      <c r="O37" s="226" t="s">
        <v>103</v>
      </c>
      <c r="P37" s="226" t="str">
        <f>IF(COUNTIF(P19:P36,"RED")&gt;0,"RED",IF(COUNTIF(P19:P36,"AMBER")&gt;0,"AMBER","GREEN"))</f>
        <v>RED</v>
      </c>
      <c r="Q37" s="4"/>
      <c r="R37" s="4"/>
    </row>
    <row r="38" spans="2:18">
      <c r="B38" s="66"/>
      <c r="C38" s="66"/>
      <c r="D38" s="66"/>
      <c r="E38" s="66"/>
      <c r="F38" s="62"/>
      <c r="G38" s="66"/>
      <c r="H38" s="66"/>
      <c r="I38" s="27">
        <f>IFERROR(AVERAGE(I19:I36),"")</f>
        <v>165</v>
      </c>
      <c r="J38" s="67"/>
      <c r="K38" s="67"/>
      <c r="L38" s="67"/>
      <c r="M38" s="67"/>
      <c r="N38" s="67"/>
      <c r="O38" s="67"/>
      <c r="P38" s="65"/>
      <c r="Q38" s="4"/>
      <c r="R38" s="4"/>
    </row>
    <row r="39" spans="2:18" ht="15">
      <c r="B39" s="68"/>
      <c r="C39" s="68"/>
      <c r="D39" s="68"/>
      <c r="E39" s="68"/>
      <c r="F39" s="68"/>
      <c r="G39" s="68"/>
      <c r="H39" s="68"/>
      <c r="I39" s="68"/>
      <c r="J39" s="68"/>
      <c r="K39" s="68"/>
      <c r="L39" s="68"/>
      <c r="M39" s="68"/>
      <c r="N39" s="68"/>
      <c r="O39" s="69"/>
      <c r="P39" s="65"/>
      <c r="Q39" s="4"/>
      <c r="R39" s="4"/>
    </row>
    <row r="40" spans="2:18" ht="14.1" customHeight="1">
      <c r="B40" s="507" t="s">
        <v>28</v>
      </c>
      <c r="C40" s="507"/>
      <c r="D40" s="507"/>
      <c r="E40" s="507"/>
      <c r="F40" s="66"/>
      <c r="G40" s="66"/>
      <c r="H40" s="66"/>
      <c r="I40" s="66"/>
      <c r="J40" s="66"/>
      <c r="K40" s="66"/>
      <c r="L40" s="66"/>
      <c r="M40" s="66"/>
      <c r="N40" s="66"/>
      <c r="O40" s="70"/>
      <c r="P40" s="65"/>
      <c r="Q40" s="4"/>
      <c r="R40" s="4"/>
    </row>
    <row r="41" spans="2:18">
      <c r="B41" s="66"/>
      <c r="C41" s="66"/>
      <c r="D41" s="66"/>
      <c r="E41" s="66"/>
      <c r="F41" s="66"/>
      <c r="G41" s="66"/>
      <c r="H41" s="66"/>
      <c r="I41" s="66"/>
      <c r="J41" s="66"/>
      <c r="K41" s="66"/>
      <c r="L41" s="66"/>
      <c r="M41" s="66"/>
      <c r="N41" s="66"/>
      <c r="O41" s="70"/>
      <c r="P41" s="65"/>
      <c r="Q41" s="4"/>
      <c r="R41" s="4"/>
    </row>
    <row r="42" spans="2:18">
      <c r="B42" s="65"/>
      <c r="C42" s="65"/>
      <c r="D42" s="65"/>
      <c r="E42" s="65"/>
      <c r="F42" s="65"/>
      <c r="G42" s="65"/>
      <c r="H42" s="65"/>
      <c r="I42" s="65"/>
      <c r="J42" s="65"/>
      <c r="K42" s="65"/>
      <c r="L42" s="65"/>
      <c r="M42" s="65"/>
      <c r="N42" s="65"/>
      <c r="O42" s="71"/>
      <c r="P42" s="65"/>
    </row>
    <row r="43" spans="2:18">
      <c r="B43" s="65"/>
      <c r="C43" s="65"/>
      <c r="D43" s="65"/>
      <c r="E43" s="65"/>
      <c r="F43" s="65"/>
      <c r="G43" s="65"/>
      <c r="H43" s="65"/>
      <c r="I43" s="65"/>
      <c r="J43" s="65"/>
      <c r="K43" s="65"/>
      <c r="L43" s="65"/>
      <c r="M43" s="65"/>
      <c r="N43" s="65"/>
      <c r="O43" s="71"/>
      <c r="P43" s="65"/>
    </row>
    <row r="44" spans="2:18">
      <c r="B44" s="65"/>
      <c r="C44" s="65"/>
      <c r="D44" s="65"/>
      <c r="E44" s="65"/>
      <c r="F44" s="65"/>
      <c r="G44" s="65"/>
      <c r="H44" s="65"/>
      <c r="I44" s="65"/>
      <c r="J44" s="65"/>
      <c r="K44" s="65"/>
      <c r="L44" s="65"/>
      <c r="M44" s="65"/>
      <c r="N44" s="65"/>
      <c r="O44" s="71"/>
      <c r="P44" s="65"/>
    </row>
    <row r="45" spans="2:18">
      <c r="B45" s="72"/>
      <c r="C45" s="72"/>
      <c r="D45" s="65"/>
      <c r="E45" s="65"/>
      <c r="F45" s="65"/>
      <c r="G45" s="65"/>
      <c r="H45" s="65"/>
      <c r="I45" s="65"/>
      <c r="J45" s="65"/>
      <c r="K45" s="65"/>
      <c r="L45" s="65"/>
      <c r="M45" s="65"/>
      <c r="N45" s="65"/>
      <c r="O45" s="71"/>
      <c r="P45" s="65"/>
    </row>
    <row r="46" spans="2:18">
      <c r="B46" s="73"/>
      <c r="C46" s="73"/>
      <c r="D46" s="65"/>
      <c r="E46" s="65"/>
      <c r="F46" s="65"/>
      <c r="G46" s="65"/>
      <c r="H46" s="65"/>
      <c r="I46" s="65"/>
      <c r="J46" s="65"/>
      <c r="K46" s="65"/>
      <c r="L46" s="65"/>
      <c r="M46" s="65"/>
      <c r="N46" s="65"/>
      <c r="O46" s="71"/>
      <c r="P46" s="65"/>
    </row>
    <row r="47" spans="2:18">
      <c r="B47" s="72"/>
      <c r="C47" s="72"/>
      <c r="D47" s="65"/>
      <c r="E47" s="65"/>
      <c r="F47" s="65"/>
      <c r="G47" s="65"/>
      <c r="H47" s="65"/>
      <c r="I47" s="65"/>
      <c r="J47" s="65"/>
      <c r="K47" s="65"/>
      <c r="L47" s="65"/>
      <c r="M47" s="65"/>
      <c r="N47" s="65"/>
      <c r="O47" s="71"/>
      <c r="P47" s="65"/>
    </row>
    <row r="48" spans="2:18">
      <c r="B48" s="17"/>
      <c r="C48" s="17"/>
    </row>
    <row r="49" spans="2:5">
      <c r="B49" s="17"/>
      <c r="C49" s="17"/>
    </row>
    <row r="50" spans="2:5">
      <c r="B50" s="17"/>
      <c r="C50" s="17"/>
    </row>
    <row r="51" spans="2:5">
      <c r="B51" s="17"/>
      <c r="C51" s="17"/>
    </row>
    <row r="52" spans="2:5" ht="15">
      <c r="B52" s="17"/>
      <c r="C52" s="17"/>
      <c r="E52" s="16"/>
    </row>
    <row r="53" spans="2:5" ht="15">
      <c r="B53" s="17"/>
      <c r="C53" s="17"/>
      <c r="E53" s="16"/>
    </row>
    <row r="54" spans="2:5" ht="15">
      <c r="E54" s="16"/>
    </row>
    <row r="55" spans="2:5" ht="15">
      <c r="E55" s="16"/>
    </row>
    <row r="56" spans="2:5" ht="15">
      <c r="E56" s="16"/>
    </row>
    <row r="57" spans="2:5" ht="15">
      <c r="E57" s="16"/>
    </row>
    <row r="58" spans="2:5" ht="15">
      <c r="E58" s="16"/>
    </row>
  </sheetData>
  <sheetProtection sheet="1" formatColumns="0" selectLockedCells="1"/>
  <mergeCells count="1">
    <mergeCell ref="B40:E40"/>
  </mergeCells>
  <conditionalFormatting sqref="N19">
    <cfRule type="expression" dxfId="1241" priority="1">
      <formula>$O19="NOT COMPLETE"</formula>
    </cfRule>
  </conditionalFormatting>
  <conditionalFormatting sqref="N20">
    <cfRule type="expression" dxfId="1240" priority="2">
      <formula>$O19="NOT COMPLETE"</formula>
    </cfRule>
  </conditionalFormatting>
  <conditionalFormatting sqref="N21">
    <cfRule type="expression" dxfId="1239" priority="3">
      <formula>$O19="NOT COMPLETE"</formula>
    </cfRule>
  </conditionalFormatting>
  <conditionalFormatting sqref="N22">
    <cfRule type="expression" dxfId="1238" priority="4">
      <formula>$O19="NOT COMPLETE"</formula>
    </cfRule>
  </conditionalFormatting>
  <conditionalFormatting sqref="N23">
    <cfRule type="expression" dxfId="1237" priority="5">
      <formula>$O19="NOT COMPLETE"</formula>
    </cfRule>
  </conditionalFormatting>
  <conditionalFormatting sqref="N24">
    <cfRule type="expression" dxfId="1236" priority="6">
      <formula>$O19="NOT COMPLETE"</formula>
    </cfRule>
  </conditionalFormatting>
  <conditionalFormatting sqref="N25">
    <cfRule type="expression" dxfId="1235" priority="7">
      <formula>$O19="NOT COMPLETE"</formula>
    </cfRule>
  </conditionalFormatting>
  <conditionalFormatting sqref="N26">
    <cfRule type="expression" dxfId="1234" priority="8">
      <formula>$O19="NOT COMPLETE"</formula>
    </cfRule>
  </conditionalFormatting>
  <conditionalFormatting sqref="N27">
    <cfRule type="expression" dxfId="1233" priority="9">
      <formula>$O19="NOT COMPLETE"</formula>
    </cfRule>
  </conditionalFormatting>
  <conditionalFormatting sqref="N28">
    <cfRule type="expression" dxfId="1232" priority="10">
      <formula>$O19="NOT COMPLETE"</formula>
    </cfRule>
  </conditionalFormatting>
  <conditionalFormatting sqref="N29">
    <cfRule type="expression" dxfId="1231" priority="11">
      <formula>$O19="NOT COMPLETE"</formula>
    </cfRule>
  </conditionalFormatting>
  <conditionalFormatting sqref="N30">
    <cfRule type="expression" dxfId="1230" priority="12">
      <formula>$O19="NOT COMPLETE"</formula>
    </cfRule>
  </conditionalFormatting>
  <conditionalFormatting sqref="N31">
    <cfRule type="expression" dxfId="1229" priority="13">
      <formula>$O19="NOT COMPLETE"</formula>
    </cfRule>
  </conditionalFormatting>
  <conditionalFormatting sqref="N32">
    <cfRule type="expression" dxfId="1228" priority="14">
      <formula>$O19="NOT COMPLETE"</formula>
    </cfRule>
  </conditionalFormatting>
  <conditionalFormatting sqref="N33">
    <cfRule type="expression" dxfId="1227" priority="15">
      <formula>$O19="NOT COMPLETE"</formula>
    </cfRule>
  </conditionalFormatting>
  <conditionalFormatting sqref="N34">
    <cfRule type="expression" dxfId="1226" priority="16">
      <formula>$O19="NOT COMPLETE"</formula>
    </cfRule>
  </conditionalFormatting>
  <conditionalFormatting sqref="N35">
    <cfRule type="expression" dxfId="1225" priority="17">
      <formula>$O19="NOT COMPLETE"</formula>
    </cfRule>
  </conditionalFormatting>
  <conditionalFormatting sqref="N36">
    <cfRule type="expression" dxfId="1224" priority="18">
      <formula>$O19="NOT COMPLETE"</formula>
    </cfRule>
  </conditionalFormatting>
  <conditionalFormatting sqref="B1">
    <cfRule type="cellIs" dxfId="1223" priority="19" operator="equal">
      <formula>"AMBER"</formula>
    </cfRule>
  </conditionalFormatting>
  <conditionalFormatting sqref="B1">
    <cfRule type="cellIs" dxfId="1222" priority="20" operator="equal">
      <formula>"RED"</formula>
    </cfRule>
  </conditionalFormatting>
  <conditionalFormatting sqref="B1">
    <cfRule type="cellIs" dxfId="1221" priority="21" operator="equal">
      <formula>"GREEN"</formula>
    </cfRule>
  </conditionalFormatting>
  <conditionalFormatting sqref="B2">
    <cfRule type="cellIs" dxfId="1220" priority="22" operator="equal">
      <formula>"AMBER"</formula>
    </cfRule>
  </conditionalFormatting>
  <conditionalFormatting sqref="B2">
    <cfRule type="cellIs" dxfId="1219" priority="23" operator="equal">
      <formula>"RED"</formula>
    </cfRule>
  </conditionalFormatting>
  <conditionalFormatting sqref="B2">
    <cfRule type="cellIs" dxfId="1218" priority="24" operator="equal">
      <formula>"GREEN"</formula>
    </cfRule>
  </conditionalFormatting>
  <conditionalFormatting sqref="B3">
    <cfRule type="cellIs" dxfId="1217" priority="25" operator="equal">
      <formula>"AMBER"</formula>
    </cfRule>
  </conditionalFormatting>
  <conditionalFormatting sqref="B3">
    <cfRule type="cellIs" dxfId="1216" priority="26" operator="equal">
      <formula>"RED"</formula>
    </cfRule>
  </conditionalFormatting>
  <conditionalFormatting sqref="B3">
    <cfRule type="cellIs" dxfId="1215" priority="27" operator="equal">
      <formula>"GREEN"</formula>
    </cfRule>
  </conditionalFormatting>
  <conditionalFormatting sqref="B4">
    <cfRule type="cellIs" dxfId="1214" priority="28" operator="equal">
      <formula>"AMBER"</formula>
    </cfRule>
  </conditionalFormatting>
  <conditionalFormatting sqref="B4">
    <cfRule type="cellIs" dxfId="1213" priority="29" operator="equal">
      <formula>"RED"</formula>
    </cfRule>
  </conditionalFormatting>
  <conditionalFormatting sqref="B4">
    <cfRule type="cellIs" dxfId="1212" priority="30" operator="equal">
      <formula>"GREEN"</formula>
    </cfRule>
  </conditionalFormatting>
  <conditionalFormatting sqref="B5">
    <cfRule type="cellIs" dxfId="1211" priority="31" operator="equal">
      <formula>"AMBER"</formula>
    </cfRule>
  </conditionalFormatting>
  <conditionalFormatting sqref="B5">
    <cfRule type="cellIs" dxfId="1210" priority="32" operator="equal">
      <formula>"RED"</formula>
    </cfRule>
  </conditionalFormatting>
  <conditionalFormatting sqref="B5">
    <cfRule type="cellIs" dxfId="1209" priority="33" operator="equal">
      <formula>"GREEN"</formula>
    </cfRule>
  </conditionalFormatting>
  <conditionalFormatting sqref="B6">
    <cfRule type="cellIs" dxfId="1208" priority="34" operator="equal">
      <formula>"AMBER"</formula>
    </cfRule>
  </conditionalFormatting>
  <conditionalFormatting sqref="B6">
    <cfRule type="cellIs" dxfId="1207" priority="35" operator="equal">
      <formula>"RED"</formula>
    </cfRule>
  </conditionalFormatting>
  <conditionalFormatting sqref="B6">
    <cfRule type="cellIs" dxfId="1206" priority="36" operator="equal">
      <formula>"GREEN"</formula>
    </cfRule>
  </conditionalFormatting>
  <conditionalFormatting sqref="B7">
    <cfRule type="cellIs" dxfId="1205" priority="37" operator="equal">
      <formula>"AMBER"</formula>
    </cfRule>
  </conditionalFormatting>
  <conditionalFormatting sqref="B7">
    <cfRule type="cellIs" dxfId="1204" priority="38" operator="equal">
      <formula>"RED"</formula>
    </cfRule>
  </conditionalFormatting>
  <conditionalFormatting sqref="B7">
    <cfRule type="cellIs" dxfId="1203" priority="39" operator="equal">
      <formula>"GREEN"</formula>
    </cfRule>
  </conditionalFormatting>
  <conditionalFormatting sqref="B8">
    <cfRule type="cellIs" dxfId="1202" priority="40" operator="equal">
      <formula>"AMBER"</formula>
    </cfRule>
  </conditionalFormatting>
  <conditionalFormatting sqref="B8">
    <cfRule type="cellIs" dxfId="1201" priority="41" operator="equal">
      <formula>"RED"</formula>
    </cfRule>
  </conditionalFormatting>
  <conditionalFormatting sqref="B8">
    <cfRule type="cellIs" dxfId="1200" priority="42" operator="equal">
      <formula>"GREEN"</formula>
    </cfRule>
  </conditionalFormatting>
  <conditionalFormatting sqref="B9">
    <cfRule type="cellIs" dxfId="1199" priority="43" operator="equal">
      <formula>"AMBER"</formula>
    </cfRule>
  </conditionalFormatting>
  <conditionalFormatting sqref="B9">
    <cfRule type="cellIs" dxfId="1198" priority="44" operator="equal">
      <formula>"RED"</formula>
    </cfRule>
  </conditionalFormatting>
  <conditionalFormatting sqref="B9">
    <cfRule type="cellIs" dxfId="1197" priority="45" operator="equal">
      <formula>"GREEN"</formula>
    </cfRule>
  </conditionalFormatting>
  <conditionalFormatting sqref="B10">
    <cfRule type="cellIs" dxfId="1196" priority="46" operator="equal">
      <formula>"AMBER"</formula>
    </cfRule>
  </conditionalFormatting>
  <conditionalFormatting sqref="B10">
    <cfRule type="cellIs" dxfId="1195" priority="47" operator="equal">
      <formula>"RED"</formula>
    </cfRule>
  </conditionalFormatting>
  <conditionalFormatting sqref="B10">
    <cfRule type="cellIs" dxfId="1194" priority="48" operator="equal">
      <formula>"GREEN"</formula>
    </cfRule>
  </conditionalFormatting>
  <conditionalFormatting sqref="B11">
    <cfRule type="cellIs" dxfId="1193" priority="49" operator="equal">
      <formula>"AMBER"</formula>
    </cfRule>
  </conditionalFormatting>
  <conditionalFormatting sqref="B11">
    <cfRule type="cellIs" dxfId="1192" priority="50" operator="equal">
      <formula>"RED"</formula>
    </cfRule>
  </conditionalFormatting>
  <conditionalFormatting sqref="B11">
    <cfRule type="cellIs" dxfId="1191" priority="51" operator="equal">
      <formula>"GREEN"</formula>
    </cfRule>
  </conditionalFormatting>
  <conditionalFormatting sqref="C1">
    <cfRule type="cellIs" dxfId="1190" priority="52" operator="equal">
      <formula>"AMBER"</formula>
    </cfRule>
  </conditionalFormatting>
  <conditionalFormatting sqref="C1">
    <cfRule type="cellIs" dxfId="1189" priority="53" operator="equal">
      <formula>"RED"</formula>
    </cfRule>
  </conditionalFormatting>
  <conditionalFormatting sqref="C1">
    <cfRule type="cellIs" dxfId="1188" priority="54" operator="equal">
      <formula>"GREEN"</formula>
    </cfRule>
  </conditionalFormatting>
  <conditionalFormatting sqref="C2">
    <cfRule type="cellIs" dxfId="1187" priority="55" operator="equal">
      <formula>"AMBER"</formula>
    </cfRule>
  </conditionalFormatting>
  <conditionalFormatting sqref="C2">
    <cfRule type="cellIs" dxfId="1186" priority="56" operator="equal">
      <formula>"RED"</formula>
    </cfRule>
  </conditionalFormatting>
  <conditionalFormatting sqref="C2">
    <cfRule type="cellIs" dxfId="1185" priority="57" operator="equal">
      <formula>"GREEN"</formula>
    </cfRule>
  </conditionalFormatting>
  <conditionalFormatting sqref="C3">
    <cfRule type="cellIs" dxfId="1184" priority="58" operator="equal">
      <formula>"AMBER"</formula>
    </cfRule>
  </conditionalFormatting>
  <conditionalFormatting sqref="C3">
    <cfRule type="cellIs" dxfId="1183" priority="59" operator="equal">
      <formula>"RED"</formula>
    </cfRule>
  </conditionalFormatting>
  <conditionalFormatting sqref="C3">
    <cfRule type="cellIs" dxfId="1182" priority="60" operator="equal">
      <formula>"GREEN"</formula>
    </cfRule>
  </conditionalFormatting>
  <conditionalFormatting sqref="C4">
    <cfRule type="cellIs" dxfId="1181" priority="61" operator="equal">
      <formula>"AMBER"</formula>
    </cfRule>
  </conditionalFormatting>
  <conditionalFormatting sqref="C4">
    <cfRule type="cellIs" dxfId="1180" priority="62" operator="equal">
      <formula>"RED"</formula>
    </cfRule>
  </conditionalFormatting>
  <conditionalFormatting sqref="C4">
    <cfRule type="cellIs" dxfId="1179" priority="63" operator="equal">
      <formula>"GREEN"</formula>
    </cfRule>
  </conditionalFormatting>
  <conditionalFormatting sqref="C5">
    <cfRule type="cellIs" dxfId="1178" priority="64" operator="equal">
      <formula>"AMBER"</formula>
    </cfRule>
  </conditionalFormatting>
  <conditionalFormatting sqref="C5">
    <cfRule type="cellIs" dxfId="1177" priority="65" operator="equal">
      <formula>"RED"</formula>
    </cfRule>
  </conditionalFormatting>
  <conditionalFormatting sqref="C5">
    <cfRule type="cellIs" dxfId="1176" priority="66" operator="equal">
      <formula>"GREEN"</formula>
    </cfRule>
  </conditionalFormatting>
  <conditionalFormatting sqref="C6">
    <cfRule type="cellIs" dxfId="1175" priority="67" operator="equal">
      <formula>"AMBER"</formula>
    </cfRule>
  </conditionalFormatting>
  <conditionalFormatting sqref="C6">
    <cfRule type="cellIs" dxfId="1174" priority="68" operator="equal">
      <formula>"RED"</formula>
    </cfRule>
  </conditionalFormatting>
  <conditionalFormatting sqref="C6">
    <cfRule type="cellIs" dxfId="1173" priority="69" operator="equal">
      <formula>"GREEN"</formula>
    </cfRule>
  </conditionalFormatting>
  <conditionalFormatting sqref="C7">
    <cfRule type="cellIs" dxfId="1172" priority="70" operator="equal">
      <formula>"AMBER"</formula>
    </cfRule>
  </conditionalFormatting>
  <conditionalFormatting sqref="C7">
    <cfRule type="cellIs" dxfId="1171" priority="71" operator="equal">
      <formula>"RED"</formula>
    </cfRule>
  </conditionalFormatting>
  <conditionalFormatting sqref="C7">
    <cfRule type="cellIs" dxfId="1170" priority="72" operator="equal">
      <formula>"GREEN"</formula>
    </cfRule>
  </conditionalFormatting>
  <conditionalFormatting sqref="C8">
    <cfRule type="cellIs" dxfId="1169" priority="73" operator="equal">
      <formula>"AMBER"</formula>
    </cfRule>
  </conditionalFormatting>
  <conditionalFormatting sqref="C8">
    <cfRule type="cellIs" dxfId="1168" priority="74" operator="equal">
      <formula>"RED"</formula>
    </cfRule>
  </conditionalFormatting>
  <conditionalFormatting sqref="C8">
    <cfRule type="cellIs" dxfId="1167" priority="75" operator="equal">
      <formula>"GREEN"</formula>
    </cfRule>
  </conditionalFormatting>
  <conditionalFormatting sqref="C9">
    <cfRule type="cellIs" dxfId="1166" priority="76" operator="equal">
      <formula>"AMBER"</formula>
    </cfRule>
  </conditionalFormatting>
  <conditionalFormatting sqref="C9">
    <cfRule type="cellIs" dxfId="1165" priority="77" operator="equal">
      <formula>"RED"</formula>
    </cfRule>
  </conditionalFormatting>
  <conditionalFormatting sqref="C9">
    <cfRule type="cellIs" dxfId="1164" priority="78" operator="equal">
      <formula>"GREEN"</formula>
    </cfRule>
  </conditionalFormatting>
  <conditionalFormatting sqref="C10">
    <cfRule type="cellIs" dxfId="1163" priority="79" operator="equal">
      <formula>"AMBER"</formula>
    </cfRule>
  </conditionalFormatting>
  <conditionalFormatting sqref="C10">
    <cfRule type="cellIs" dxfId="1162" priority="80" operator="equal">
      <formula>"RED"</formula>
    </cfRule>
  </conditionalFormatting>
  <conditionalFormatting sqref="C10">
    <cfRule type="cellIs" dxfId="1161" priority="81" operator="equal">
      <formula>"GREEN"</formula>
    </cfRule>
  </conditionalFormatting>
  <conditionalFormatting sqref="C11">
    <cfRule type="cellIs" dxfId="1160" priority="82" operator="equal">
      <formula>"AMBER"</formula>
    </cfRule>
  </conditionalFormatting>
  <conditionalFormatting sqref="C11">
    <cfRule type="cellIs" dxfId="1159" priority="83" operator="equal">
      <formula>"RED"</formula>
    </cfRule>
  </conditionalFormatting>
  <conditionalFormatting sqref="C11">
    <cfRule type="cellIs" dxfId="1158" priority="84" operator="equal">
      <formula>"GREEN"</formula>
    </cfRule>
  </conditionalFormatting>
  <conditionalFormatting sqref="J19">
    <cfRule type="containsText" dxfId="1157" priority="85" operator="containsText" text="Y">
      <formula>NOT(ISERROR(SEARCH("Y",J19)))</formula>
    </cfRule>
  </conditionalFormatting>
  <conditionalFormatting sqref="J20">
    <cfRule type="containsText" dxfId="1156" priority="86" operator="containsText" text="Y">
      <formula>NOT(ISERROR(SEARCH("Y",J20)))</formula>
    </cfRule>
  </conditionalFormatting>
  <conditionalFormatting sqref="J21">
    <cfRule type="containsText" dxfId="1155" priority="87" operator="containsText" text="Y">
      <formula>NOT(ISERROR(SEARCH("Y",J21)))</formula>
    </cfRule>
  </conditionalFormatting>
  <conditionalFormatting sqref="J22">
    <cfRule type="containsText" dxfId="1154" priority="88" operator="containsText" text="Y">
      <formula>NOT(ISERROR(SEARCH("Y",J22)))</formula>
    </cfRule>
  </conditionalFormatting>
  <conditionalFormatting sqref="J23">
    <cfRule type="containsText" dxfId="1153" priority="89" operator="containsText" text="Y">
      <formula>NOT(ISERROR(SEARCH("Y",J23)))</formula>
    </cfRule>
  </conditionalFormatting>
  <conditionalFormatting sqref="J24">
    <cfRule type="containsText" dxfId="1152" priority="90" operator="containsText" text="Y">
      <formula>NOT(ISERROR(SEARCH("Y",J24)))</formula>
    </cfRule>
  </conditionalFormatting>
  <conditionalFormatting sqref="J25">
    <cfRule type="containsText" dxfId="1151" priority="91" operator="containsText" text="Y">
      <formula>NOT(ISERROR(SEARCH("Y",J25)))</formula>
    </cfRule>
  </conditionalFormatting>
  <conditionalFormatting sqref="J26">
    <cfRule type="containsText" dxfId="1150" priority="92" operator="containsText" text="Y">
      <formula>NOT(ISERROR(SEARCH("Y",J26)))</formula>
    </cfRule>
  </conditionalFormatting>
  <conditionalFormatting sqref="J27">
    <cfRule type="containsText" dxfId="1149" priority="93" operator="containsText" text="Y">
      <formula>NOT(ISERROR(SEARCH("Y",J27)))</formula>
    </cfRule>
  </conditionalFormatting>
  <conditionalFormatting sqref="J28">
    <cfRule type="containsText" dxfId="1148" priority="94" operator="containsText" text="Y">
      <formula>NOT(ISERROR(SEARCH("Y",J28)))</formula>
    </cfRule>
  </conditionalFormatting>
  <conditionalFormatting sqref="J29">
    <cfRule type="containsText" dxfId="1147" priority="95" operator="containsText" text="Y">
      <formula>NOT(ISERROR(SEARCH("Y",J29)))</formula>
    </cfRule>
  </conditionalFormatting>
  <conditionalFormatting sqref="J30">
    <cfRule type="containsText" dxfId="1146" priority="96" operator="containsText" text="Y">
      <formula>NOT(ISERROR(SEARCH("Y",J30)))</formula>
    </cfRule>
  </conditionalFormatting>
  <conditionalFormatting sqref="J31">
    <cfRule type="containsText" dxfId="1145" priority="97" operator="containsText" text="Y">
      <formula>NOT(ISERROR(SEARCH("Y",J31)))</formula>
    </cfRule>
  </conditionalFormatting>
  <conditionalFormatting sqref="J32">
    <cfRule type="containsText" dxfId="1144" priority="98" operator="containsText" text="Y">
      <formula>NOT(ISERROR(SEARCH("Y",J32)))</formula>
    </cfRule>
  </conditionalFormatting>
  <conditionalFormatting sqref="J33">
    <cfRule type="containsText" dxfId="1143" priority="99" operator="containsText" text="Y">
      <formula>NOT(ISERROR(SEARCH("Y",J33)))</formula>
    </cfRule>
  </conditionalFormatting>
  <conditionalFormatting sqref="J34">
    <cfRule type="containsText" dxfId="1142" priority="100" operator="containsText" text="Y">
      <formula>NOT(ISERROR(SEARCH("Y",J34)))</formula>
    </cfRule>
  </conditionalFormatting>
  <conditionalFormatting sqref="J35">
    <cfRule type="containsText" dxfId="1141" priority="101" operator="containsText" text="Y">
      <formula>NOT(ISERROR(SEARCH("Y",J35)))</formula>
    </cfRule>
  </conditionalFormatting>
  <conditionalFormatting sqref="J36">
    <cfRule type="containsText" dxfId="1140" priority="102" operator="containsText" text="Y">
      <formula>NOT(ISERROR(SEARCH("Y",J36)))</formula>
    </cfRule>
  </conditionalFormatting>
  <conditionalFormatting sqref="K19">
    <cfRule type="containsText" dxfId="1139" priority="103" operator="containsText" text="Y">
      <formula>NOT(ISERROR(SEARCH("Y",K19)))</formula>
    </cfRule>
  </conditionalFormatting>
  <conditionalFormatting sqref="K20">
    <cfRule type="containsText" dxfId="1138" priority="104" operator="containsText" text="Y">
      <formula>NOT(ISERROR(SEARCH("Y",K20)))</formula>
    </cfRule>
  </conditionalFormatting>
  <conditionalFormatting sqref="K21">
    <cfRule type="containsText" dxfId="1137" priority="105" operator="containsText" text="Y">
      <formula>NOT(ISERROR(SEARCH("Y",K21)))</formula>
    </cfRule>
  </conditionalFormatting>
  <conditionalFormatting sqref="K22">
    <cfRule type="containsText" dxfId="1136" priority="106" operator="containsText" text="Y">
      <formula>NOT(ISERROR(SEARCH("Y",K22)))</formula>
    </cfRule>
  </conditionalFormatting>
  <conditionalFormatting sqref="K23">
    <cfRule type="containsText" dxfId="1135" priority="107" operator="containsText" text="Y">
      <formula>NOT(ISERROR(SEARCH("Y",K23)))</formula>
    </cfRule>
  </conditionalFormatting>
  <conditionalFormatting sqref="K24">
    <cfRule type="containsText" dxfId="1134" priority="108" operator="containsText" text="Y">
      <formula>NOT(ISERROR(SEARCH("Y",K24)))</formula>
    </cfRule>
  </conditionalFormatting>
  <conditionalFormatting sqref="K25">
    <cfRule type="containsText" dxfId="1133" priority="109" operator="containsText" text="Y">
      <formula>NOT(ISERROR(SEARCH("Y",K25)))</formula>
    </cfRule>
  </conditionalFormatting>
  <conditionalFormatting sqref="K26">
    <cfRule type="containsText" dxfId="1132" priority="110" operator="containsText" text="Y">
      <formula>NOT(ISERROR(SEARCH("Y",K26)))</formula>
    </cfRule>
  </conditionalFormatting>
  <conditionalFormatting sqref="K27">
    <cfRule type="containsText" dxfId="1131" priority="111" operator="containsText" text="Y">
      <formula>NOT(ISERROR(SEARCH("Y",K27)))</formula>
    </cfRule>
  </conditionalFormatting>
  <conditionalFormatting sqref="K28">
    <cfRule type="containsText" dxfId="1130" priority="112" operator="containsText" text="Y">
      <formula>NOT(ISERROR(SEARCH("Y",K28)))</formula>
    </cfRule>
  </conditionalFormatting>
  <conditionalFormatting sqref="K29">
    <cfRule type="containsText" dxfId="1129" priority="113" operator="containsText" text="Y">
      <formula>NOT(ISERROR(SEARCH("Y",K29)))</formula>
    </cfRule>
  </conditionalFormatting>
  <conditionalFormatting sqref="K30">
    <cfRule type="containsText" dxfId="1128" priority="114" operator="containsText" text="Y">
      <formula>NOT(ISERROR(SEARCH("Y",K30)))</formula>
    </cfRule>
  </conditionalFormatting>
  <conditionalFormatting sqref="K31">
    <cfRule type="containsText" dxfId="1127" priority="115" operator="containsText" text="Y">
      <formula>NOT(ISERROR(SEARCH("Y",K31)))</formula>
    </cfRule>
  </conditionalFormatting>
  <conditionalFormatting sqref="K32">
    <cfRule type="containsText" dxfId="1126" priority="116" operator="containsText" text="Y">
      <formula>NOT(ISERROR(SEARCH("Y",K32)))</formula>
    </cfRule>
  </conditionalFormatting>
  <conditionalFormatting sqref="K33">
    <cfRule type="containsText" dxfId="1125" priority="117" operator="containsText" text="Y">
      <formula>NOT(ISERROR(SEARCH("Y",K33)))</formula>
    </cfRule>
  </conditionalFormatting>
  <conditionalFormatting sqref="K34">
    <cfRule type="containsText" dxfId="1124" priority="118" operator="containsText" text="Y">
      <formula>NOT(ISERROR(SEARCH("Y",K34)))</formula>
    </cfRule>
  </conditionalFormatting>
  <conditionalFormatting sqref="K35">
    <cfRule type="containsText" dxfId="1123" priority="119" operator="containsText" text="Y">
      <formula>NOT(ISERROR(SEARCH("Y",K35)))</formula>
    </cfRule>
  </conditionalFormatting>
  <conditionalFormatting sqref="K36">
    <cfRule type="containsText" dxfId="1122" priority="120" operator="containsText" text="Y">
      <formula>NOT(ISERROR(SEARCH("Y",K36)))</formula>
    </cfRule>
  </conditionalFormatting>
  <conditionalFormatting sqref="G19">
    <cfRule type="cellIs" dxfId="1121" priority="121" operator="equal">
      <formula>100</formula>
    </cfRule>
  </conditionalFormatting>
  <conditionalFormatting sqref="G20">
    <cfRule type="cellIs" dxfId="1120" priority="122" operator="equal">
      <formula>100</formula>
    </cfRule>
  </conditionalFormatting>
  <conditionalFormatting sqref="G21">
    <cfRule type="cellIs" dxfId="1119" priority="123" operator="equal">
      <formula>100</formula>
    </cfRule>
  </conditionalFormatting>
  <conditionalFormatting sqref="G22">
    <cfRule type="cellIs" dxfId="1118" priority="124" operator="equal">
      <formula>100</formula>
    </cfRule>
  </conditionalFormatting>
  <conditionalFormatting sqref="G23">
    <cfRule type="cellIs" dxfId="1117" priority="125" operator="equal">
      <formula>100</formula>
    </cfRule>
  </conditionalFormatting>
  <conditionalFormatting sqref="G24">
    <cfRule type="cellIs" dxfId="1116" priority="126" operator="equal">
      <formula>100</formula>
    </cfRule>
  </conditionalFormatting>
  <conditionalFormatting sqref="G25">
    <cfRule type="cellIs" dxfId="1115" priority="127" operator="equal">
      <formula>100</formula>
    </cfRule>
  </conditionalFormatting>
  <conditionalFormatting sqref="G26">
    <cfRule type="cellIs" dxfId="1114" priority="128" operator="equal">
      <formula>100</formula>
    </cfRule>
  </conditionalFormatting>
  <conditionalFormatting sqref="G27">
    <cfRule type="cellIs" dxfId="1113" priority="129" operator="equal">
      <formula>100</formula>
    </cfRule>
  </conditionalFormatting>
  <conditionalFormatting sqref="G28">
    <cfRule type="cellIs" dxfId="1112" priority="130" operator="equal">
      <formula>100</formula>
    </cfRule>
  </conditionalFormatting>
  <conditionalFormatting sqref="G29">
    <cfRule type="cellIs" dxfId="1111" priority="131" operator="equal">
      <formula>100</formula>
    </cfRule>
  </conditionalFormatting>
  <conditionalFormatting sqref="G30">
    <cfRule type="cellIs" dxfId="1110" priority="132" operator="equal">
      <formula>100</formula>
    </cfRule>
  </conditionalFormatting>
  <conditionalFormatting sqref="G31">
    <cfRule type="cellIs" dxfId="1109" priority="133" operator="equal">
      <formula>100</formula>
    </cfRule>
  </conditionalFormatting>
  <conditionalFormatting sqref="G32">
    <cfRule type="cellIs" dxfId="1108" priority="134" operator="equal">
      <formula>100</formula>
    </cfRule>
  </conditionalFormatting>
  <conditionalFormatting sqref="G33">
    <cfRule type="cellIs" dxfId="1107" priority="135" operator="equal">
      <formula>100</formula>
    </cfRule>
  </conditionalFormatting>
  <conditionalFormatting sqref="G34">
    <cfRule type="cellIs" dxfId="1106" priority="136" operator="equal">
      <formula>100</formula>
    </cfRule>
  </conditionalFormatting>
  <conditionalFormatting sqref="G35">
    <cfRule type="cellIs" dxfId="1105" priority="137" operator="equal">
      <formula>100</formula>
    </cfRule>
  </conditionalFormatting>
  <conditionalFormatting sqref="G36">
    <cfRule type="cellIs" dxfId="1104" priority="138" operator="equal">
      <formula>100</formula>
    </cfRule>
  </conditionalFormatting>
  <conditionalFormatting sqref="J15">
    <cfRule type="cellIs" dxfId="1103" priority="139" operator="equal">
      <formula>"AMBER"</formula>
    </cfRule>
  </conditionalFormatting>
  <conditionalFormatting sqref="J15">
    <cfRule type="cellIs" dxfId="1102" priority="140" operator="equal">
      <formula>"RED"</formula>
    </cfRule>
  </conditionalFormatting>
  <conditionalFormatting sqref="J15">
    <cfRule type="cellIs" dxfId="1101" priority="141" operator="equal">
      <formula>"GREEN"</formula>
    </cfRule>
  </conditionalFormatting>
  <dataValidations count="36">
    <dataValidation type="list" showInputMessage="1" showErrorMessage="1" sqref="G19">
      <formula1>PercentageListItems</formula1>
    </dataValidation>
    <dataValidation type="list" showInputMessage="1" showErrorMessage="1" sqref="G20">
      <formula1>PercentageListItems</formula1>
    </dataValidation>
    <dataValidation type="list" showInputMessage="1" showErrorMessage="1" sqref="G21">
      <formula1>PercentageListItems</formula1>
    </dataValidation>
    <dataValidation type="list" showInputMessage="1" showErrorMessage="1" sqref="G22">
      <formula1>PercentageListItems</formula1>
    </dataValidation>
    <dataValidation type="list" showInputMessage="1" showErrorMessage="1" sqref="G23">
      <formula1>PercentageListItems</formula1>
    </dataValidation>
    <dataValidation type="list" showInputMessage="1" showErrorMessage="1" sqref="G24">
      <formula1>PercentageListItems</formula1>
    </dataValidation>
    <dataValidation type="list" showInputMessage="1" showErrorMessage="1" sqref="G25">
      <formula1>PercentageListItems</formula1>
    </dataValidation>
    <dataValidation type="list" showInputMessage="1" showErrorMessage="1" sqref="G26">
      <formula1>PercentageListItems</formula1>
    </dataValidation>
    <dataValidation type="list" showInputMessage="1" showErrorMessage="1" sqref="G27">
      <formula1>PercentageListItems</formula1>
    </dataValidation>
    <dataValidation type="list" showInputMessage="1" showErrorMessage="1" sqref="G28">
      <formula1>PercentageListItems</formula1>
    </dataValidation>
    <dataValidation type="list" showInputMessage="1" showErrorMessage="1" sqref="G29">
      <formula1>PercentageListItems</formula1>
    </dataValidation>
    <dataValidation type="list" showInputMessage="1" showErrorMessage="1" sqref="G30">
      <formula1>PercentageListItems</formula1>
    </dataValidation>
    <dataValidation type="list" showInputMessage="1" showErrorMessage="1" sqref="G31">
      <formula1>PercentageListItems</formula1>
    </dataValidation>
    <dataValidation type="list" showInputMessage="1" showErrorMessage="1" sqref="G32">
      <formula1>PercentageListItems</formula1>
    </dataValidation>
    <dataValidation type="list" showInputMessage="1" showErrorMessage="1" sqref="G33">
      <formula1>PercentageListItems</formula1>
    </dataValidation>
    <dataValidation type="list" showInputMessage="1" showErrorMessage="1" sqref="G34">
      <formula1>PercentageListItems</formula1>
    </dataValidation>
    <dataValidation type="list" showInputMessage="1" showErrorMessage="1" sqref="G35">
      <formula1>PercentageListItems</formula1>
    </dataValidation>
    <dataValidation type="list" showInputMessage="1" showErrorMessage="1" sqref="G36">
      <formula1>PercentageListItems</formula1>
    </dataValidation>
    <dataValidation type="date" allowBlank="1" showInputMessage="1" showErrorMessage="1" errorTitle="Invalid Date" error="The date entered must be no later than the last date of the reporting period + 14 days." sqref="H19">
      <formula1>EarliestDate</formula1>
      <formula2>LastDateReport+14</formula2>
    </dataValidation>
    <dataValidation type="date" allowBlank="1" showInputMessage="1" showErrorMessage="1" errorTitle="Invalid Date" error="The date entered must be no later than the last date of the reporting period + 14 days." sqref="H20">
      <formula1>EarliestDate</formula1>
      <formula2>LastDateReport+14</formula2>
    </dataValidation>
    <dataValidation type="date" allowBlank="1" showInputMessage="1" showErrorMessage="1" errorTitle="Invalid Date" error="The date entered must be no later than the last date of the reporting period + 14 days." sqref="H21">
      <formula1>EarliestDate</formula1>
      <formula2>LastDateReport+14</formula2>
    </dataValidation>
    <dataValidation type="date" allowBlank="1" showInputMessage="1" showErrorMessage="1" errorTitle="Invalid Date" error="The date entered must be no later than the last date of the reporting period + 14 days." sqref="H22">
      <formula1>EarliestDate</formula1>
      <formula2>LastDateReport+14</formula2>
    </dataValidation>
    <dataValidation type="date" allowBlank="1" showInputMessage="1" showErrorMessage="1" errorTitle="Invalid Date" error="The date entered must be no later than the last date of the reporting period + 14 days." sqref="H23">
      <formula1>EarliestDate</formula1>
      <formula2>LastDateReport+14</formula2>
    </dataValidation>
    <dataValidation type="date" allowBlank="1" showInputMessage="1" showErrorMessage="1" errorTitle="Invalid Date" error="The date entered must be no later than the last date of the reporting period + 14 days." sqref="H24">
      <formula1>EarliestDate</formula1>
      <formula2>LastDateReport+14</formula2>
    </dataValidation>
    <dataValidation type="date" allowBlank="1" showInputMessage="1" showErrorMessage="1" errorTitle="Invalid Date" error="The date entered must be no later than the last date of the reporting period + 14 days." sqref="H25">
      <formula1>EarliestDate</formula1>
      <formula2>LastDateReport+14</formula2>
    </dataValidation>
    <dataValidation type="date" allowBlank="1" showInputMessage="1" showErrorMessage="1" errorTitle="Invalid Date" error="The date entered must be no later than the last date of the reporting period + 14 days." sqref="H26">
      <formula1>EarliestDate</formula1>
      <formula2>LastDateReport+14</formula2>
    </dataValidation>
    <dataValidation type="date" allowBlank="1" showInputMessage="1" showErrorMessage="1" errorTitle="Invalid Date" error="The date entered must be no later than the last date of the reporting period + 14 days." sqref="H27">
      <formula1>EarliestDate</formula1>
      <formula2>LastDateReport+14</formula2>
    </dataValidation>
    <dataValidation type="date" allowBlank="1" showInputMessage="1" showErrorMessage="1" errorTitle="Invalid Date" error="The date entered must be no later than the last date of the reporting period + 14 days." sqref="H28">
      <formula1>EarliestDate</formula1>
      <formula2>LastDateReport+14</formula2>
    </dataValidation>
    <dataValidation type="date" allowBlank="1" showInputMessage="1" showErrorMessage="1" errorTitle="Invalid Date" error="The date entered must be no later than the last date of the reporting period + 14 days." sqref="H29">
      <formula1>EarliestDate</formula1>
      <formula2>LastDateReport+14</formula2>
    </dataValidation>
    <dataValidation type="date" allowBlank="1" showInputMessage="1" showErrorMessage="1" errorTitle="Invalid Date" error="The date entered must be no later than the last date of the reporting period + 14 days." sqref="H30">
      <formula1>EarliestDate</formula1>
      <formula2>LastDateReport+14</formula2>
    </dataValidation>
    <dataValidation type="date" allowBlank="1" showInputMessage="1" showErrorMessage="1" errorTitle="Invalid Date" error="The date entered must be no later than the last date of the reporting period + 14 days." sqref="H31">
      <formula1>EarliestDate</formula1>
      <formula2>LastDateReport+14</formula2>
    </dataValidation>
    <dataValidation type="date" allowBlank="1" showInputMessage="1" showErrorMessage="1" errorTitle="Invalid Date" error="The date entered must be no later than the last date of the reporting period + 14 days." sqref="H32">
      <formula1>EarliestDate</formula1>
      <formula2>LastDateReport+14</formula2>
    </dataValidation>
    <dataValidation type="date" allowBlank="1" showInputMessage="1" showErrorMessage="1" errorTitle="Invalid Date" error="The date entered must be no later than the last date of the reporting period + 14 days." sqref="H33">
      <formula1>EarliestDate</formula1>
      <formula2>LastDateReport+14</formula2>
    </dataValidation>
    <dataValidation type="date" allowBlank="1" showInputMessage="1" showErrorMessage="1" errorTitle="Invalid Date" error="The date entered must be no later than the last date of the reporting period + 14 days." sqref="H34">
      <formula1>EarliestDate</formula1>
      <formula2>LastDateReport+14</formula2>
    </dataValidation>
    <dataValidation type="date" allowBlank="1" showInputMessage="1" showErrorMessage="1" errorTitle="Invalid Date" error="The date entered must be no later than the last date of the reporting period + 14 days." sqref="H35">
      <formula1>EarliestDate</formula1>
      <formula2>LastDateReport+14</formula2>
    </dataValidation>
    <dataValidation type="date" allowBlank="1" showInputMessage="1" showErrorMessage="1" errorTitle="Invalid Date" error="The date entered must be no later than the last date of the reporting period + 14 days." sqref="H36">
      <formula1>EarliestDate</formula1>
      <formula2>LastDateReport+14</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0" location="Legend!A1" display="See Legend"/>
  </hyperlinks>
  <pageMargins left="0.43307086614173229" right="0.31496062992125984" top="0.98425196850393704" bottom="0.98425196850393704" header="0.51181102362204722" footer="0.51181102362204722"/>
  <pageSetup paperSize="9" scale="52" orientation="landscape" r:id="rId1"/>
</worksheet>
</file>

<file path=xl/worksheets/sheet3.xml><?xml version="1.0" encoding="utf-8"?>
<worksheet xmlns="http://schemas.openxmlformats.org/spreadsheetml/2006/main" xmlns:r="http://schemas.openxmlformats.org/officeDocument/2006/relationships">
  <sheetPr>
    <tabColor rgb="FFCCFFCC"/>
    <pageSetUpPr fitToPage="1"/>
  </sheetPr>
  <dimension ref="A1:R55"/>
  <sheetViews>
    <sheetView showGridLines="0" workbookViewId="0">
      <selection activeCell="F15" sqref="F15"/>
    </sheetView>
  </sheetViews>
  <sheetFormatPr defaultColWidth="11.42578125" defaultRowHeight="12.75"/>
  <cols>
    <col min="1" max="1" width="14" style="4" customWidth="1"/>
    <col min="2" max="2" width="16.42578125" customWidth="1"/>
    <col min="3" max="3" width="69.7109375" customWidth="1"/>
    <col min="4" max="4" width="15.7109375" customWidth="1"/>
    <col min="5" max="5" width="17.28515625" customWidth="1"/>
    <col min="6" max="6" width="18.42578125" customWidth="1"/>
    <col min="7" max="7" width="4.140625" style="5" hidden="1" customWidth="1"/>
    <col min="8" max="8" width="10.140625" style="4" hidden="1" customWidth="1"/>
    <col min="9" max="9" width="0" hidden="1" customWidth="1"/>
    <col min="10" max="10" width="17.7109375" customWidth="1"/>
    <col min="11" max="11" width="11.42578125" hidden="1"/>
  </cols>
  <sheetData>
    <row r="1" spans="1:18" s="4" customFormat="1">
      <c r="A1" s="60" t="s">
        <v>0</v>
      </c>
      <c r="B1" s="38" t="str">
        <f>OVERALLLIGHT</f>
        <v>AMBER</v>
      </c>
      <c r="G1" s="5"/>
    </row>
    <row r="2" spans="1:18" s="4" customFormat="1">
      <c r="A2" s="61" t="s">
        <v>1</v>
      </c>
      <c r="B2" s="39" t="str">
        <f>MILESTONELIGHT</f>
        <v>RED</v>
      </c>
      <c r="G2" s="5"/>
    </row>
    <row r="3" spans="1:18" s="4" customFormat="1">
      <c r="A3" s="61" t="s">
        <v>2</v>
      </c>
      <c r="B3" s="39" t="str">
        <f>ISSUELIGHT</f>
        <v>GREEN</v>
      </c>
      <c r="G3" s="5"/>
    </row>
    <row r="4" spans="1:18" s="4" customFormat="1">
      <c r="A4" s="61" t="s">
        <v>3</v>
      </c>
      <c r="B4" s="39" t="str">
        <f>RISKLIGHT</f>
        <v>GREEN</v>
      </c>
      <c r="G4" s="5"/>
    </row>
    <row r="5" spans="1:18" s="4" customFormat="1">
      <c r="A5" s="61" t="s">
        <v>4</v>
      </c>
      <c r="B5" s="39" t="str">
        <f>CHANGELIGHT</f>
        <v>GREEN</v>
      </c>
      <c r="G5" s="5"/>
    </row>
    <row r="6" spans="1:18" s="4" customFormat="1">
      <c r="A6" s="61" t="s">
        <v>5</v>
      </c>
      <c r="B6" s="40" t="str">
        <f>DEPENDENCYLIGHT</f>
        <v/>
      </c>
      <c r="G6" s="5"/>
    </row>
    <row r="7" spans="1:18" s="4" customFormat="1">
      <c r="A7" s="61" t="s">
        <v>6</v>
      </c>
      <c r="B7" s="40" t="str">
        <f>MEASURELIGHT</f>
        <v/>
      </c>
      <c r="G7" s="5"/>
    </row>
    <row r="8" spans="1:18" s="4" customFormat="1" ht="15">
      <c r="A8" s="61" t="s">
        <v>7</v>
      </c>
      <c r="B8" s="39" t="str">
        <f>COMMUNICATIONLIGHT</f>
        <v>GREEN</v>
      </c>
      <c r="D8" s="16"/>
      <c r="G8" s="5"/>
    </row>
    <row r="9" spans="1:18" s="4" customFormat="1" ht="15">
      <c r="A9" s="61" t="s">
        <v>8</v>
      </c>
      <c r="B9" s="41" t="str">
        <f>FINANCELIGHT</f>
        <v>GREEN</v>
      </c>
      <c r="D9" s="16"/>
      <c r="G9" s="5"/>
    </row>
    <row r="10" spans="1:18" s="5" customFormat="1">
      <c r="A10" s="72"/>
      <c r="B10" s="132"/>
      <c r="N10" s="10"/>
    </row>
    <row r="11" spans="1:18" s="5" customFormat="1" ht="15.95" customHeight="1">
      <c r="A11" s="72"/>
      <c r="B11" s="130" t="str">
        <f>ProjNo</f>
        <v>RT029</v>
      </c>
      <c r="C11" s="131" t="str">
        <f>ProjName</f>
        <v>Cloud Based Bioinformatics Tools</v>
      </c>
      <c r="N11" s="10"/>
    </row>
    <row r="12" spans="1:18" s="5" customFormat="1" ht="15.95" customHeight="1">
      <c r="A12" s="72"/>
      <c r="B12" s="128" t="s">
        <v>42</v>
      </c>
      <c r="C12" s="133">
        <f>ReportFrom</f>
        <v>41244</v>
      </c>
      <c r="D12" s="125"/>
      <c r="N12" s="10"/>
    </row>
    <row r="13" spans="1:18" s="5" customFormat="1" ht="15.95" customHeight="1">
      <c r="A13" s="72"/>
      <c r="B13" s="129" t="s">
        <v>43</v>
      </c>
      <c r="C13" s="134">
        <f>LastDateReport</f>
        <v>41334</v>
      </c>
      <c r="D13" s="125"/>
      <c r="N13" s="10"/>
    </row>
    <row r="14" spans="1:18" s="5" customFormat="1" ht="6" customHeight="1">
      <c r="A14" s="72"/>
      <c r="B14" s="126"/>
      <c r="C14" s="127"/>
      <c r="D14" s="125"/>
      <c r="N14" s="10"/>
    </row>
    <row r="15" spans="1:18" ht="20.100000000000001" customHeight="1">
      <c r="A15" s="65"/>
      <c r="B15" s="47" t="s">
        <v>104</v>
      </c>
      <c r="C15" s="30"/>
      <c r="D15" s="30"/>
      <c r="E15" s="30" t="s">
        <v>45</v>
      </c>
      <c r="F15" s="30" t="str">
        <f>ISSUELIGHT</f>
        <v>GREEN</v>
      </c>
      <c r="G15" s="30"/>
      <c r="H15" s="30"/>
      <c r="I15" s="4"/>
      <c r="J15" s="4"/>
      <c r="K15" s="4"/>
      <c r="L15" s="4"/>
      <c r="M15" s="4"/>
      <c r="N15" s="4"/>
      <c r="O15" s="4"/>
      <c r="P15" s="4"/>
      <c r="Q15" s="4"/>
      <c r="R15" s="4"/>
    </row>
    <row r="16" spans="1:18" ht="17.100000000000001" customHeight="1">
      <c r="A16" s="65"/>
      <c r="B16" s="509" t="s">
        <v>105</v>
      </c>
      <c r="C16" s="509"/>
      <c r="D16" s="509"/>
      <c r="E16" s="509"/>
      <c r="F16" s="509"/>
      <c r="G16" s="42"/>
      <c r="H16" s="28"/>
      <c r="I16" s="4"/>
      <c r="J16" s="4"/>
      <c r="K16" s="4"/>
      <c r="L16" s="4"/>
      <c r="M16" s="4"/>
      <c r="N16" s="4"/>
      <c r="O16" s="4"/>
      <c r="P16" s="4"/>
      <c r="Q16" s="4"/>
      <c r="R16" s="4"/>
    </row>
    <row r="17" spans="1:18" ht="17.100000000000001" customHeight="1">
      <c r="A17" s="65"/>
      <c r="B17" s="510"/>
      <c r="C17" s="510"/>
      <c r="D17" s="510"/>
      <c r="E17" s="510"/>
      <c r="F17" s="510"/>
      <c r="G17" s="11"/>
      <c r="I17" s="4"/>
      <c r="J17" s="4"/>
      <c r="K17" s="4"/>
      <c r="L17" s="4"/>
      <c r="M17" s="4"/>
      <c r="P17" s="4"/>
      <c r="Q17" s="4"/>
      <c r="R17" s="4"/>
    </row>
    <row r="18" spans="1:18" ht="47.25" customHeight="1">
      <c r="B18" s="74" t="s">
        <v>106</v>
      </c>
      <c r="C18" s="75" t="s">
        <v>107</v>
      </c>
      <c r="D18" s="75" t="s">
        <v>108</v>
      </c>
      <c r="E18" s="75" t="s">
        <v>109</v>
      </c>
      <c r="F18" s="76" t="s">
        <v>110</v>
      </c>
      <c r="G18" s="180"/>
      <c r="H18" s="181" t="s">
        <v>111</v>
      </c>
      <c r="I18" s="181" t="s">
        <v>112</v>
      </c>
      <c r="J18" s="76" t="s">
        <v>113</v>
      </c>
      <c r="K18" s="65"/>
      <c r="L18" s="65"/>
      <c r="M18" s="4"/>
      <c r="P18" s="4"/>
      <c r="Q18" s="4"/>
      <c r="R18" s="4"/>
    </row>
    <row r="19" spans="1:18" ht="44.1" customHeight="1">
      <c r="A19" s="21" t="s">
        <v>48</v>
      </c>
      <c r="B19" s="308"/>
      <c r="C19" s="309"/>
      <c r="D19" s="310"/>
      <c r="E19" s="310"/>
      <c r="F19" s="311"/>
      <c r="G19" s="78"/>
      <c r="H19" s="79" t="str">
        <f t="shared" ref="H19:H26" si="0">IF(F19&gt;0,F19-D19,"")</f>
        <v/>
      </c>
      <c r="I19" s="79" t="str">
        <f t="shared" ref="I19:I26" si="1">IF(F19&gt;0,F19-E19,"")</f>
        <v/>
      </c>
      <c r="J19" s="184" t="str">
        <f t="shared" ref="J19:J26" si="2">IF(D19&gt;0,IF(F19&lt;1,IF(E19&lt;LastDateReport+1,"NOT CLOSED","NOT DUE"),"CLOSED"),"")</f>
        <v/>
      </c>
      <c r="K19" s="65" t="str">
        <f t="shared" ref="K19:K26" si="3">IF(J19="NOT CLOSED",IF(LastDateReport-E19&lt;28,IF(LastDateReport-E19&gt;7,"AMBER","GREEN"),"RED"),"GREEN")</f>
        <v>GREEN</v>
      </c>
      <c r="L19" s="65"/>
      <c r="M19" s="4"/>
      <c r="P19" s="4"/>
      <c r="Q19" s="4"/>
      <c r="R19" s="4"/>
    </row>
    <row r="20" spans="1:18" s="5" customFormat="1" ht="44.1" customHeight="1">
      <c r="A20" s="21"/>
      <c r="B20" s="308"/>
      <c r="C20" s="309"/>
      <c r="D20" s="310"/>
      <c r="E20" s="310"/>
      <c r="F20" s="311"/>
      <c r="G20" s="78"/>
      <c r="H20" s="79" t="str">
        <f t="shared" si="0"/>
        <v/>
      </c>
      <c r="I20" s="79" t="str">
        <f t="shared" si="1"/>
        <v/>
      </c>
      <c r="J20" s="184" t="str">
        <f t="shared" si="2"/>
        <v/>
      </c>
      <c r="K20" s="65" t="str">
        <f t="shared" si="3"/>
        <v>GREEN</v>
      </c>
      <c r="L20" s="65"/>
    </row>
    <row r="21" spans="1:18" s="5" customFormat="1" ht="44.1" customHeight="1">
      <c r="A21" s="21"/>
      <c r="B21" s="308"/>
      <c r="C21" s="309"/>
      <c r="D21" s="310"/>
      <c r="E21" s="310"/>
      <c r="F21" s="311"/>
      <c r="G21" s="78"/>
      <c r="H21" s="79" t="str">
        <f t="shared" si="0"/>
        <v/>
      </c>
      <c r="I21" s="79" t="str">
        <f t="shared" si="1"/>
        <v/>
      </c>
      <c r="J21" s="184" t="str">
        <f t="shared" si="2"/>
        <v/>
      </c>
      <c r="K21" s="65" t="str">
        <f t="shared" si="3"/>
        <v>GREEN</v>
      </c>
      <c r="L21" s="65"/>
    </row>
    <row r="22" spans="1:18" s="5" customFormat="1" ht="44.1" customHeight="1">
      <c r="A22" s="21"/>
      <c r="B22" s="308"/>
      <c r="C22" s="309"/>
      <c r="D22" s="310"/>
      <c r="E22" s="310"/>
      <c r="F22" s="311"/>
      <c r="G22" s="78"/>
      <c r="H22" s="79" t="str">
        <f t="shared" si="0"/>
        <v/>
      </c>
      <c r="I22" s="79" t="str">
        <f t="shared" si="1"/>
        <v/>
      </c>
      <c r="J22" s="184" t="str">
        <f t="shared" si="2"/>
        <v/>
      </c>
      <c r="K22" s="65" t="str">
        <f t="shared" si="3"/>
        <v>GREEN</v>
      </c>
      <c r="L22" s="65"/>
    </row>
    <row r="23" spans="1:18" ht="44.1" customHeight="1">
      <c r="B23" s="308"/>
      <c r="C23" s="309"/>
      <c r="D23" s="310"/>
      <c r="E23" s="310"/>
      <c r="F23" s="311"/>
      <c r="G23" s="78"/>
      <c r="H23" s="79" t="str">
        <f t="shared" si="0"/>
        <v/>
      </c>
      <c r="I23" s="79" t="str">
        <f t="shared" si="1"/>
        <v/>
      </c>
      <c r="J23" s="184" t="str">
        <f t="shared" si="2"/>
        <v/>
      </c>
      <c r="K23" s="65" t="str">
        <f t="shared" si="3"/>
        <v>GREEN</v>
      </c>
      <c r="L23" s="65"/>
      <c r="M23" s="4"/>
      <c r="P23" s="4"/>
      <c r="Q23" s="4"/>
      <c r="R23" s="4"/>
    </row>
    <row r="24" spans="1:18" ht="44.1" customHeight="1">
      <c r="B24" s="308"/>
      <c r="C24" s="309"/>
      <c r="D24" s="310"/>
      <c r="E24" s="310"/>
      <c r="F24" s="311"/>
      <c r="G24" s="78"/>
      <c r="H24" s="79" t="str">
        <f t="shared" si="0"/>
        <v/>
      </c>
      <c r="I24" s="79" t="str">
        <f t="shared" si="1"/>
        <v/>
      </c>
      <c r="J24" s="184" t="str">
        <f t="shared" si="2"/>
        <v/>
      </c>
      <c r="K24" s="65" t="str">
        <f t="shared" si="3"/>
        <v>GREEN</v>
      </c>
      <c r="L24" s="65"/>
      <c r="M24" s="4"/>
      <c r="P24" s="4"/>
      <c r="Q24" s="4"/>
      <c r="R24" s="4"/>
    </row>
    <row r="25" spans="1:18" ht="44.1" customHeight="1">
      <c r="B25" s="308"/>
      <c r="C25" s="309"/>
      <c r="D25" s="310"/>
      <c r="E25" s="310"/>
      <c r="F25" s="311"/>
      <c r="G25" s="78"/>
      <c r="H25" s="79" t="str">
        <f t="shared" si="0"/>
        <v/>
      </c>
      <c r="I25" s="79" t="str">
        <f t="shared" si="1"/>
        <v/>
      </c>
      <c r="J25" s="184" t="str">
        <f t="shared" si="2"/>
        <v/>
      </c>
      <c r="K25" s="65" t="str">
        <f t="shared" si="3"/>
        <v>GREEN</v>
      </c>
      <c r="L25" s="65"/>
      <c r="M25" s="4"/>
      <c r="P25" s="4"/>
      <c r="Q25" s="4"/>
      <c r="R25" s="4"/>
    </row>
    <row r="26" spans="1:18" ht="44.1" customHeight="1">
      <c r="B26" s="308"/>
      <c r="C26" s="312"/>
      <c r="D26" s="313"/>
      <c r="E26" s="313"/>
      <c r="F26" s="314"/>
      <c r="G26" s="182"/>
      <c r="H26" s="183" t="str">
        <f t="shared" si="0"/>
        <v/>
      </c>
      <c r="I26" s="183" t="str">
        <f t="shared" si="1"/>
        <v/>
      </c>
      <c r="J26" s="185" t="str">
        <f t="shared" si="2"/>
        <v/>
      </c>
      <c r="K26" s="65" t="str">
        <f t="shared" si="3"/>
        <v>GREEN</v>
      </c>
      <c r="L26" s="65"/>
      <c r="M26" s="4"/>
      <c r="P26" s="4"/>
      <c r="Q26" s="4"/>
      <c r="R26" s="4"/>
    </row>
    <row r="27" spans="1:18" s="5" customFormat="1">
      <c r="B27" s="80"/>
      <c r="C27" s="81"/>
      <c r="D27" s="82"/>
      <c r="E27" s="82"/>
      <c r="F27" s="82"/>
      <c r="G27" s="78"/>
      <c r="H27" s="83"/>
      <c r="I27" s="83"/>
      <c r="J27" s="65"/>
      <c r="K27" s="65" t="str">
        <f>IF(J27="NOT CLOSED",IF(LastDateReport-E27&lt;28,"AMBER","RED"),"")</f>
        <v/>
      </c>
      <c r="L27" s="65"/>
    </row>
    <row r="28" spans="1:18" ht="15" customHeight="1">
      <c r="B28" s="84" t="s">
        <v>114</v>
      </c>
      <c r="C28" s="85" t="s">
        <v>115</v>
      </c>
      <c r="D28" s="84" t="s">
        <v>116</v>
      </c>
      <c r="E28" s="508"/>
      <c r="F28" s="84" t="s">
        <v>117</v>
      </c>
      <c r="G28" s="86"/>
      <c r="H28" s="86"/>
      <c r="I28" s="65"/>
      <c r="J28" s="65"/>
      <c r="K28" s="65" t="str">
        <f>IF(COUNTIF(K19:K26,"RED")&gt;0,"RED",IF(COUNTIF(K19:K26,"AMBER")&gt;0,"AMBER","GREEN"))</f>
        <v>GREEN</v>
      </c>
      <c r="L28" s="65"/>
      <c r="M28" s="4"/>
      <c r="N28" s="4"/>
      <c r="O28" s="4"/>
      <c r="P28" s="4"/>
      <c r="Q28" s="4"/>
      <c r="R28" s="4"/>
    </row>
    <row r="29" spans="1:18">
      <c r="B29" s="87">
        <f>COUNTIF(B19:B26,"*")</f>
        <v>0</v>
      </c>
      <c r="C29" s="87" t="str">
        <f>IF(ISERROR(AVERAGE(I19:I26)),"",AVERAGE(I19:I26))</f>
        <v/>
      </c>
      <c r="D29" s="87">
        <f>B29-F29</f>
        <v>0</v>
      </c>
      <c r="E29" s="508"/>
      <c r="F29" s="87">
        <f>COUNT(F19:F26)</f>
        <v>0</v>
      </c>
      <c r="G29" s="88"/>
      <c r="H29" s="88"/>
      <c r="I29" s="65"/>
      <c r="J29" s="65"/>
      <c r="K29" s="65"/>
      <c r="L29" s="65"/>
      <c r="M29" s="4"/>
      <c r="N29" s="4"/>
      <c r="O29" s="4"/>
      <c r="P29" s="4"/>
      <c r="Q29" s="4"/>
      <c r="R29" s="4"/>
    </row>
    <row r="30" spans="1:18">
      <c r="B30" s="65"/>
      <c r="C30" s="65"/>
      <c r="D30" s="65"/>
      <c r="E30" s="65"/>
      <c r="F30" s="65"/>
      <c r="G30" s="89"/>
      <c r="H30" s="65"/>
      <c r="I30" s="65"/>
      <c r="J30" s="65"/>
      <c r="K30" s="65"/>
      <c r="L30" s="65"/>
    </row>
    <row r="31" spans="1:18">
      <c r="B31" s="65"/>
      <c r="C31" s="65"/>
      <c r="D31" s="65"/>
      <c r="E31" s="65"/>
      <c r="F31" s="65"/>
      <c r="G31" s="89"/>
      <c r="H31" s="65"/>
      <c r="I31" s="65"/>
      <c r="J31" s="65"/>
      <c r="K31" s="65"/>
      <c r="L31" s="65"/>
    </row>
    <row r="32" spans="1:18" ht="14.1" customHeight="1">
      <c r="B32" s="507" t="s">
        <v>28</v>
      </c>
      <c r="C32" s="507"/>
      <c r="D32" s="507"/>
      <c r="E32" s="507"/>
      <c r="F32" s="65"/>
      <c r="G32" s="89"/>
      <c r="H32" s="65"/>
      <c r="I32" s="65"/>
      <c r="J32" s="65"/>
      <c r="K32" s="65"/>
      <c r="L32" s="65"/>
    </row>
    <row r="33" spans="2:12">
      <c r="B33" s="65"/>
      <c r="C33" s="65"/>
      <c r="D33" s="65"/>
      <c r="E33" s="65"/>
      <c r="F33" s="65"/>
      <c r="G33" s="89"/>
      <c r="H33" s="65"/>
      <c r="I33" s="65"/>
      <c r="J33" s="65"/>
      <c r="K33" s="65"/>
      <c r="L33" s="65"/>
    </row>
    <row r="34" spans="2:12">
      <c r="B34" s="65"/>
      <c r="C34" s="65"/>
      <c r="D34" s="65"/>
      <c r="E34" s="65"/>
      <c r="F34" s="65"/>
      <c r="G34" s="89"/>
      <c r="H34" s="65"/>
      <c r="I34" s="65"/>
      <c r="J34" s="65"/>
      <c r="K34" s="65"/>
      <c r="L34" s="65"/>
    </row>
    <row r="35" spans="2:12">
      <c r="B35" s="65"/>
      <c r="C35" s="65"/>
      <c r="D35" s="65"/>
      <c r="E35" s="65"/>
      <c r="F35" s="65"/>
      <c r="G35" s="89"/>
      <c r="H35" s="65"/>
      <c r="I35" s="65"/>
      <c r="J35" s="65"/>
      <c r="K35" s="65"/>
      <c r="L35" s="65"/>
    </row>
    <row r="36" spans="2:12">
      <c r="B36" s="65"/>
      <c r="C36" s="65"/>
      <c r="D36" s="65"/>
      <c r="E36" s="65"/>
      <c r="F36" s="65"/>
      <c r="G36" s="89"/>
      <c r="H36" s="65"/>
      <c r="I36" s="65"/>
      <c r="J36" s="65"/>
      <c r="K36" s="65"/>
      <c r="L36" s="65"/>
    </row>
    <row r="37" spans="2:12">
      <c r="B37" s="65"/>
      <c r="C37" s="65"/>
      <c r="D37" s="65"/>
      <c r="E37" s="65"/>
      <c r="F37" s="65"/>
      <c r="G37" s="89"/>
      <c r="H37" s="65"/>
      <c r="I37" s="65"/>
      <c r="J37" s="65"/>
      <c r="K37" s="65"/>
      <c r="L37" s="65"/>
    </row>
    <row r="38" spans="2:12">
      <c r="B38" s="65"/>
      <c r="C38" s="65"/>
      <c r="D38" s="65"/>
      <c r="E38" s="65"/>
      <c r="F38" s="65"/>
      <c r="G38" s="89"/>
      <c r="H38" s="65"/>
      <c r="I38" s="65"/>
      <c r="J38" s="65"/>
      <c r="K38" s="65"/>
      <c r="L38" s="65"/>
    </row>
    <row r="39" spans="2:12">
      <c r="G39" s="14"/>
    </row>
    <row r="47" spans="2:12">
      <c r="B47" s="17"/>
    </row>
    <row r="48" spans="2:12">
      <c r="B48" s="17"/>
    </row>
    <row r="49" spans="2:2">
      <c r="B49" s="20"/>
    </row>
    <row r="50" spans="2:2">
      <c r="B50" s="17"/>
    </row>
    <row r="51" spans="2:2">
      <c r="B51" s="17"/>
    </row>
    <row r="52" spans="2:2">
      <c r="B52" s="17"/>
    </row>
    <row r="53" spans="2:2">
      <c r="B53" s="17"/>
    </row>
    <row r="54" spans="2:2">
      <c r="B54" s="17"/>
    </row>
    <row r="55" spans="2:2">
      <c r="B55" s="17"/>
    </row>
  </sheetData>
  <sheetProtection sheet="1" formatColumns="0" selectLockedCells="1"/>
  <mergeCells count="4">
    <mergeCell ref="E28:E29"/>
    <mergeCell ref="B16:F16"/>
    <mergeCell ref="B17:F17"/>
    <mergeCell ref="B32:E32"/>
  </mergeCells>
  <conditionalFormatting sqref="B1">
    <cfRule type="cellIs" dxfId="1100" priority="1" operator="equal">
      <formula>"AMBER"</formula>
    </cfRule>
  </conditionalFormatting>
  <conditionalFormatting sqref="B1">
    <cfRule type="cellIs" dxfId="1099" priority="2" operator="equal">
      <formula>"RED"</formula>
    </cfRule>
  </conditionalFormatting>
  <conditionalFormatting sqref="B1">
    <cfRule type="cellIs" dxfId="1098" priority="3" operator="equal">
      <formula>"GREEN"</formula>
    </cfRule>
  </conditionalFormatting>
  <conditionalFormatting sqref="B2">
    <cfRule type="cellIs" dxfId="1097" priority="4" operator="equal">
      <formula>"AMBER"</formula>
    </cfRule>
  </conditionalFormatting>
  <conditionalFormatting sqref="B2">
    <cfRule type="cellIs" dxfId="1096" priority="5" operator="equal">
      <formula>"RED"</formula>
    </cfRule>
  </conditionalFormatting>
  <conditionalFormatting sqref="B2">
    <cfRule type="cellIs" dxfId="1095" priority="6" operator="equal">
      <formula>"GREEN"</formula>
    </cfRule>
  </conditionalFormatting>
  <conditionalFormatting sqref="B3">
    <cfRule type="cellIs" dxfId="1094" priority="7" operator="equal">
      <formula>"AMBER"</formula>
    </cfRule>
  </conditionalFormatting>
  <conditionalFormatting sqref="B3">
    <cfRule type="cellIs" dxfId="1093" priority="8" operator="equal">
      <formula>"RED"</formula>
    </cfRule>
  </conditionalFormatting>
  <conditionalFormatting sqref="B3">
    <cfRule type="cellIs" dxfId="1092" priority="9" operator="equal">
      <formula>"GREEN"</formula>
    </cfRule>
  </conditionalFormatting>
  <conditionalFormatting sqref="B4">
    <cfRule type="cellIs" dxfId="1091" priority="10" operator="equal">
      <formula>"AMBER"</formula>
    </cfRule>
  </conditionalFormatting>
  <conditionalFormatting sqref="B4">
    <cfRule type="cellIs" dxfId="1090" priority="11" operator="equal">
      <formula>"RED"</formula>
    </cfRule>
  </conditionalFormatting>
  <conditionalFormatting sqref="B4">
    <cfRule type="cellIs" dxfId="1089" priority="12" operator="equal">
      <formula>"GREEN"</formula>
    </cfRule>
  </conditionalFormatting>
  <conditionalFormatting sqref="B5">
    <cfRule type="cellIs" dxfId="1088" priority="13" operator="equal">
      <formula>"AMBER"</formula>
    </cfRule>
  </conditionalFormatting>
  <conditionalFormatting sqref="B5">
    <cfRule type="cellIs" dxfId="1087" priority="14" operator="equal">
      <formula>"RED"</formula>
    </cfRule>
  </conditionalFormatting>
  <conditionalFormatting sqref="B5">
    <cfRule type="cellIs" dxfId="1086" priority="15" operator="equal">
      <formula>"GREEN"</formula>
    </cfRule>
  </conditionalFormatting>
  <conditionalFormatting sqref="B6">
    <cfRule type="cellIs" dxfId="1085" priority="16" operator="equal">
      <formula>"AMBER"</formula>
    </cfRule>
  </conditionalFormatting>
  <conditionalFormatting sqref="B6">
    <cfRule type="cellIs" dxfId="1084" priority="17" operator="equal">
      <formula>"RED"</formula>
    </cfRule>
  </conditionalFormatting>
  <conditionalFormatting sqref="B6">
    <cfRule type="cellIs" dxfId="1083" priority="18" operator="equal">
      <formula>"GREEN"</formula>
    </cfRule>
  </conditionalFormatting>
  <conditionalFormatting sqref="B7">
    <cfRule type="cellIs" dxfId="1082" priority="19" operator="equal">
      <formula>"AMBER"</formula>
    </cfRule>
  </conditionalFormatting>
  <conditionalFormatting sqref="B7">
    <cfRule type="cellIs" dxfId="1081" priority="20" operator="equal">
      <formula>"RED"</formula>
    </cfRule>
  </conditionalFormatting>
  <conditionalFormatting sqref="B7">
    <cfRule type="cellIs" dxfId="1080" priority="21" operator="equal">
      <formula>"GREEN"</formula>
    </cfRule>
  </conditionalFormatting>
  <conditionalFormatting sqref="B8">
    <cfRule type="cellIs" dxfId="1079" priority="22" operator="equal">
      <formula>"AMBER"</formula>
    </cfRule>
  </conditionalFormatting>
  <conditionalFormatting sqref="B8">
    <cfRule type="cellIs" dxfId="1078" priority="23" operator="equal">
      <formula>"RED"</formula>
    </cfRule>
  </conditionalFormatting>
  <conditionalFormatting sqref="B8">
    <cfRule type="cellIs" dxfId="1077" priority="24" operator="equal">
      <formula>"GREEN"</formula>
    </cfRule>
  </conditionalFormatting>
  <conditionalFormatting sqref="B9">
    <cfRule type="cellIs" dxfId="1076" priority="25" operator="equal">
      <formula>"AMBER"</formula>
    </cfRule>
  </conditionalFormatting>
  <conditionalFormatting sqref="B9">
    <cfRule type="cellIs" dxfId="1075" priority="26" operator="equal">
      <formula>"RED"</formula>
    </cfRule>
  </conditionalFormatting>
  <conditionalFormatting sqref="B9">
    <cfRule type="cellIs" dxfId="1074" priority="27" operator="equal">
      <formula>"GREEN"</formula>
    </cfRule>
  </conditionalFormatting>
  <conditionalFormatting sqref="F15">
    <cfRule type="cellIs" dxfId="1073" priority="28" operator="equal">
      <formula>"AMBER"</formula>
    </cfRule>
  </conditionalFormatting>
  <conditionalFormatting sqref="F15">
    <cfRule type="cellIs" dxfId="1072" priority="29" operator="equal">
      <formula>"RED"</formula>
    </cfRule>
  </conditionalFormatting>
  <conditionalFormatting sqref="F15">
    <cfRule type="cellIs" dxfId="1071" priority="30" operator="equal">
      <formula>"GREEN"</formula>
    </cfRule>
  </conditionalFormatting>
  <dataValidations count="24">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E19">
      <formula1>EarliestDate</formula1>
      <formula2>LatestDate</formula2>
    </dataValidation>
    <dataValidation type="date" allowBlank="1" showInputMessage="1" showErrorMessage="1" sqref="E20">
      <formula1>EarliestDate</formula1>
      <formula2>LatestDate</formula2>
    </dataValidation>
    <dataValidation type="date" allowBlank="1" showInputMessage="1" showErrorMessage="1" sqref="E21">
      <formula1>EarliestDate</formula1>
      <formula2>LatestDate</formula2>
    </dataValidation>
    <dataValidation type="date" allowBlank="1" showInputMessage="1" showErrorMessage="1" sqref="E22">
      <formula1>EarliestDate</formula1>
      <formula2>LatestDate</formula2>
    </dataValidation>
    <dataValidation type="date" allowBlank="1" showInputMessage="1" showErrorMessage="1" sqref="E23">
      <formula1>EarliestDate</formula1>
      <formula2>LatestDate</formula2>
    </dataValidation>
    <dataValidation type="date" allowBlank="1" showInputMessage="1" showErrorMessage="1" sqref="E24">
      <formula1>EarliestDate</formula1>
      <formula2>LatestDate</formula2>
    </dataValidation>
    <dataValidation type="date" allowBlank="1" showInputMessage="1" showErrorMessage="1" sqref="E25">
      <formula1>EarliestDate</formula1>
      <formula2>LatestDate</formula2>
    </dataValidation>
    <dataValidation type="date" allowBlank="1" showInputMessage="1" showErrorMessage="1" sqref="E26">
      <formula1>EarliestDate</formula1>
      <formula2>LatestDate</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scale="80" orientation="landscape" r:id="rId1"/>
</worksheet>
</file>

<file path=xl/worksheets/sheet4.xml><?xml version="1.0" encoding="utf-8"?>
<worksheet xmlns="http://schemas.openxmlformats.org/spreadsheetml/2006/main" xmlns:r="http://schemas.openxmlformats.org/officeDocument/2006/relationships">
  <sheetPr>
    <tabColor rgb="FFCCFFCC"/>
    <pageSetUpPr fitToPage="1"/>
  </sheetPr>
  <dimension ref="A1:O51"/>
  <sheetViews>
    <sheetView showGridLines="0" workbookViewId="0">
      <selection activeCell="D21" sqref="D21"/>
    </sheetView>
  </sheetViews>
  <sheetFormatPr defaultColWidth="11.42578125" defaultRowHeight="12.75"/>
  <cols>
    <col min="1" max="1" width="14" style="4" customWidth="1"/>
    <col min="2" max="2" width="18.140625" customWidth="1"/>
    <col min="3" max="3" width="52.7109375" customWidth="1"/>
    <col min="4" max="4" width="63" customWidth="1"/>
    <col min="5" max="5" width="21.28515625" customWidth="1"/>
    <col min="6" max="6" width="3.42578125" style="5" customWidth="1"/>
    <col min="7" max="7" width="11.42578125" hidden="1"/>
  </cols>
  <sheetData>
    <row r="1" spans="1:15" s="4" customFormat="1">
      <c r="A1" s="60" t="s">
        <v>0</v>
      </c>
      <c r="B1" s="38" t="str">
        <f>OVERALLLIGHT</f>
        <v>AMBER</v>
      </c>
      <c r="F1" s="65"/>
    </row>
    <row r="2" spans="1:15" s="4" customFormat="1">
      <c r="A2" s="61" t="s">
        <v>1</v>
      </c>
      <c r="B2" s="39" t="str">
        <f>MILESTONELIGHT</f>
        <v>RED</v>
      </c>
      <c r="F2" s="65"/>
    </row>
    <row r="3" spans="1:15" s="4" customFormat="1">
      <c r="A3" s="61" t="s">
        <v>2</v>
      </c>
      <c r="B3" s="39" t="str">
        <f>ISSUELIGHT</f>
        <v>GREEN</v>
      </c>
      <c r="F3" s="65"/>
    </row>
    <row r="4" spans="1:15" s="4" customFormat="1">
      <c r="A4" s="61" t="s">
        <v>3</v>
      </c>
      <c r="B4" s="39" t="str">
        <f>RISKLIGHT</f>
        <v>GREEN</v>
      </c>
      <c r="F4" s="65"/>
    </row>
    <row r="5" spans="1:15" s="4" customFormat="1">
      <c r="A5" s="61" t="s">
        <v>4</v>
      </c>
      <c r="B5" s="39" t="str">
        <f>CHANGELIGHT</f>
        <v>GREEN</v>
      </c>
      <c r="F5" s="65"/>
    </row>
    <row r="6" spans="1:15" s="4" customFormat="1">
      <c r="A6" s="61" t="s">
        <v>5</v>
      </c>
      <c r="B6" s="40" t="str">
        <f>DEPENDENCYLIGHT</f>
        <v/>
      </c>
      <c r="F6" s="65"/>
    </row>
    <row r="7" spans="1:15" s="4" customFormat="1">
      <c r="A7" s="61" t="s">
        <v>6</v>
      </c>
      <c r="B7" s="40" t="str">
        <f>MEASURELIGHT</f>
        <v/>
      </c>
      <c r="F7" s="65"/>
    </row>
    <row r="8" spans="1:15" s="4" customFormat="1" ht="15">
      <c r="A8" s="61" t="s">
        <v>7</v>
      </c>
      <c r="B8" s="39" t="str">
        <f>COMMUNICATIONLIGHT</f>
        <v>GREEN</v>
      </c>
      <c r="D8" s="16"/>
      <c r="F8" s="65"/>
    </row>
    <row r="9" spans="1:15" s="4" customFormat="1" ht="15">
      <c r="A9" s="61" t="s">
        <v>8</v>
      </c>
      <c r="B9" s="41" t="str">
        <f>FINANCELIGHT</f>
        <v>GREEN</v>
      </c>
      <c r="D9" s="16"/>
      <c r="F9" s="65"/>
    </row>
    <row r="10" spans="1:15" s="5" customFormat="1">
      <c r="A10" s="72"/>
      <c r="B10" s="132"/>
      <c r="N10" s="10"/>
    </row>
    <row r="11" spans="1:15" s="5" customFormat="1" ht="15.95" customHeight="1">
      <c r="A11" s="72"/>
      <c r="B11" s="130" t="str">
        <f>ProjNo</f>
        <v>RT029</v>
      </c>
      <c r="C11" s="131" t="str">
        <f>ProjName</f>
        <v>Cloud Based Bioinformatics Tools</v>
      </c>
      <c r="N11" s="10"/>
    </row>
    <row r="12" spans="1:15" s="5" customFormat="1" ht="15.95" customHeight="1">
      <c r="A12" s="72"/>
      <c r="B12" s="128" t="s">
        <v>42</v>
      </c>
      <c r="C12" s="133">
        <f>ReportFrom</f>
        <v>41244</v>
      </c>
      <c r="D12" s="125"/>
      <c r="N12" s="10"/>
    </row>
    <row r="13" spans="1:15" s="5" customFormat="1" ht="15.95" customHeight="1">
      <c r="A13" s="72"/>
      <c r="B13" s="129" t="s">
        <v>43</v>
      </c>
      <c r="C13" s="134">
        <f>LastDateReport</f>
        <v>41334</v>
      </c>
      <c r="D13" s="125"/>
      <c r="N13" s="10"/>
    </row>
    <row r="14" spans="1:15" s="5" customFormat="1" ht="6" customHeight="1">
      <c r="A14" s="72"/>
      <c r="B14" s="126"/>
      <c r="C14" s="127"/>
      <c r="D14" s="125"/>
      <c r="N14" s="10"/>
    </row>
    <row r="15" spans="1:15" ht="18.95" customHeight="1">
      <c r="A15" s="65"/>
      <c r="B15" s="12" t="s">
        <v>118</v>
      </c>
      <c r="C15" s="30"/>
      <c r="D15" s="30" t="s">
        <v>45</v>
      </c>
      <c r="E15" s="30" t="str">
        <f>RISKLIGHT</f>
        <v>GREEN</v>
      </c>
      <c r="F15" s="90"/>
      <c r="G15" s="4"/>
      <c r="H15" s="4"/>
      <c r="I15" s="4"/>
      <c r="J15" s="4"/>
      <c r="K15" s="4"/>
      <c r="L15" s="4"/>
      <c r="M15" s="4"/>
      <c r="N15" s="4"/>
      <c r="O15" s="4"/>
    </row>
    <row r="16" spans="1:15" ht="15.95" customHeight="1">
      <c r="A16" s="5"/>
      <c r="B16" s="509" t="s">
        <v>119</v>
      </c>
      <c r="C16" s="509"/>
      <c r="D16" s="509"/>
      <c r="E16" s="509"/>
      <c r="F16" s="91"/>
      <c r="G16" s="4"/>
      <c r="H16" s="4"/>
      <c r="I16" s="4"/>
      <c r="J16" s="4"/>
      <c r="K16" s="4"/>
      <c r="L16" s="4"/>
      <c r="M16" s="4"/>
      <c r="N16" s="4"/>
      <c r="O16" s="4"/>
    </row>
    <row r="17" spans="1:15" ht="17.100000000000001" customHeight="1">
      <c r="B17" s="510"/>
      <c r="C17" s="510"/>
      <c r="D17" s="510"/>
      <c r="E17" s="510"/>
      <c r="F17" s="92"/>
      <c r="G17" s="4"/>
      <c r="H17" s="4"/>
      <c r="I17" s="4"/>
      <c r="J17" s="4"/>
      <c r="K17" s="4"/>
      <c r="L17" s="4"/>
      <c r="M17" s="4"/>
      <c r="N17" s="4"/>
      <c r="O17" s="4"/>
    </row>
    <row r="18" spans="1:15" ht="27" customHeight="1">
      <c r="B18" s="43" t="s">
        <v>120</v>
      </c>
      <c r="C18" s="44" t="s">
        <v>121</v>
      </c>
      <c r="D18" s="44" t="s">
        <v>122</v>
      </c>
      <c r="E18" s="45" t="s">
        <v>123</v>
      </c>
      <c r="F18" s="77"/>
      <c r="G18" s="4"/>
      <c r="H18" s="4"/>
      <c r="I18" s="4"/>
      <c r="J18" s="4"/>
      <c r="K18" s="4"/>
      <c r="L18" s="4"/>
      <c r="M18" s="4"/>
      <c r="N18" s="4"/>
      <c r="O18" s="4"/>
    </row>
    <row r="19" spans="1:15" ht="81.75" customHeight="1">
      <c r="A19" s="21" t="s">
        <v>48</v>
      </c>
      <c r="B19" s="302" t="s">
        <v>124</v>
      </c>
      <c r="C19" s="360" t="s">
        <v>125</v>
      </c>
      <c r="D19" s="370" t="s">
        <v>375</v>
      </c>
      <c r="E19" s="358" t="s">
        <v>126</v>
      </c>
      <c r="F19" s="93"/>
      <c r="G19" s="48" t="str">
        <f>IF(C19&gt;0,"","ENTER RISK 1")</f>
        <v/>
      </c>
      <c r="H19" s="4"/>
      <c r="I19" s="4"/>
      <c r="J19" s="4"/>
      <c r="K19" s="4"/>
      <c r="L19" s="4"/>
      <c r="M19" s="4"/>
      <c r="N19" s="4"/>
      <c r="O19" s="4"/>
    </row>
    <row r="20" spans="1:15" ht="81.75" customHeight="1">
      <c r="B20" s="302">
        <v>1</v>
      </c>
      <c r="C20" s="303" t="s">
        <v>127</v>
      </c>
      <c r="D20" s="370" t="s">
        <v>391</v>
      </c>
      <c r="E20" s="358" t="s">
        <v>126</v>
      </c>
      <c r="F20" s="93"/>
      <c r="G20" s="48" t="str">
        <f>IF(C20&gt;0,"","ENTER RISK 2")</f>
        <v/>
      </c>
      <c r="H20" s="4"/>
      <c r="I20" s="4"/>
      <c r="J20" s="4"/>
      <c r="K20" s="4"/>
      <c r="L20" s="4"/>
      <c r="M20" s="4"/>
      <c r="N20" s="4"/>
      <c r="O20" s="4"/>
    </row>
    <row r="21" spans="1:15" ht="81.75" customHeight="1">
      <c r="B21" s="302">
        <v>2</v>
      </c>
      <c r="C21" s="303" t="s">
        <v>129</v>
      </c>
      <c r="D21" s="366" t="s">
        <v>130</v>
      </c>
      <c r="E21" s="358" t="s">
        <v>128</v>
      </c>
      <c r="F21" s="93"/>
      <c r="G21" s="48" t="str">
        <f>IF(C21&gt;0,"","ENTER RISK 3")</f>
        <v/>
      </c>
      <c r="H21" s="4"/>
      <c r="I21" s="4"/>
      <c r="J21" s="4"/>
      <c r="K21" s="4"/>
      <c r="L21" s="4"/>
      <c r="M21" s="4"/>
      <c r="N21" s="4"/>
      <c r="O21" s="4"/>
    </row>
    <row r="22" spans="1:15" ht="81.75" customHeight="1">
      <c r="B22" s="302">
        <v>3</v>
      </c>
      <c r="C22" s="303" t="s">
        <v>131</v>
      </c>
      <c r="D22" s="304" t="s">
        <v>132</v>
      </c>
      <c r="E22" s="358" t="s">
        <v>128</v>
      </c>
      <c r="F22" s="93"/>
      <c r="G22" s="48" t="str">
        <f>IF(C22&gt;0,"","ENTER RISK 4")</f>
        <v/>
      </c>
      <c r="H22" s="4"/>
      <c r="I22" s="4"/>
      <c r="J22" s="4"/>
      <c r="K22" s="4"/>
      <c r="L22" s="4"/>
      <c r="M22" s="4"/>
      <c r="N22" s="4"/>
      <c r="O22" s="4"/>
    </row>
    <row r="23" spans="1:15" ht="81.75" customHeight="1">
      <c r="B23" s="305">
        <v>4</v>
      </c>
      <c r="C23" s="306" t="s">
        <v>133</v>
      </c>
      <c r="D23" s="307" t="s">
        <v>134</v>
      </c>
      <c r="E23" s="359" t="s">
        <v>126</v>
      </c>
      <c r="F23" s="93"/>
      <c r="G23" s="48" t="str">
        <f>IF(C23&gt;0,"","ENTER RISK 5")</f>
        <v/>
      </c>
      <c r="H23" s="4"/>
      <c r="I23" s="4"/>
      <c r="J23" s="4"/>
      <c r="K23" s="4"/>
      <c r="L23" s="4"/>
      <c r="M23" s="4"/>
      <c r="N23" s="4"/>
      <c r="O23" s="4"/>
    </row>
    <row r="24" spans="1:15">
      <c r="B24" s="9"/>
      <c r="C24" s="9"/>
      <c r="D24" s="9"/>
      <c r="E24" s="9"/>
      <c r="F24" s="70"/>
      <c r="G24" s="4"/>
      <c r="H24" s="4"/>
      <c r="I24" s="4"/>
      <c r="J24" s="4"/>
      <c r="K24" s="4"/>
      <c r="L24" s="4"/>
      <c r="M24" s="4"/>
      <c r="N24" s="4"/>
      <c r="O24" s="4"/>
    </row>
    <row r="25" spans="1:15" ht="14.1" customHeight="1">
      <c r="B25" s="507" t="s">
        <v>28</v>
      </c>
      <c r="C25" s="507"/>
      <c r="D25" s="507"/>
      <c r="E25" s="507"/>
      <c r="F25" s="65"/>
      <c r="G25" t="str">
        <f>IF(COUNTIF(G19:G23,"ENTER*")&gt;1,"RED",IF(COUNTIF(G19:G23,"ENTER*")=1,"AMBER","GREEN"))</f>
        <v>GREEN</v>
      </c>
    </row>
    <row r="26" spans="1:15">
      <c r="F26" s="65"/>
    </row>
    <row r="27" spans="1:15">
      <c r="F27" s="65"/>
    </row>
    <row r="28" spans="1:15">
      <c r="F28" s="65"/>
    </row>
    <row r="29" spans="1:15">
      <c r="F29" s="65"/>
    </row>
    <row r="30" spans="1:15">
      <c r="F30" s="65"/>
    </row>
    <row r="31" spans="1:15">
      <c r="F31" s="65"/>
    </row>
    <row r="32" spans="1:15">
      <c r="F32" s="65"/>
    </row>
    <row r="33" spans="2:6">
      <c r="F33" s="65"/>
    </row>
    <row r="34" spans="2:6">
      <c r="C34" s="17"/>
      <c r="F34" s="65"/>
    </row>
    <row r="35" spans="2:6">
      <c r="C35" s="18"/>
      <c r="F35" s="65"/>
    </row>
    <row r="36" spans="2:6">
      <c r="C36" s="17"/>
      <c r="F36" s="65"/>
    </row>
    <row r="37" spans="2:6">
      <c r="C37" s="17"/>
      <c r="F37" s="65"/>
    </row>
    <row r="38" spans="2:6">
      <c r="C38" s="17"/>
      <c r="F38" s="65"/>
    </row>
    <row r="39" spans="2:6">
      <c r="C39" s="17"/>
      <c r="F39" s="65"/>
    </row>
    <row r="40" spans="2:6">
      <c r="C40" s="17"/>
    </row>
    <row r="41" spans="2:6">
      <c r="C41" s="17"/>
    </row>
    <row r="42" spans="2:6">
      <c r="C42" s="17"/>
    </row>
    <row r="43" spans="2:6">
      <c r="B43" s="17"/>
    </row>
    <row r="44" spans="2:6">
      <c r="B44" s="17"/>
    </row>
    <row r="45" spans="2:6">
      <c r="B45" s="17"/>
    </row>
    <row r="46" spans="2:6">
      <c r="B46" s="17"/>
    </row>
    <row r="47" spans="2:6">
      <c r="B47" s="17"/>
    </row>
    <row r="48" spans="2:6">
      <c r="B48" s="17"/>
    </row>
    <row r="49" spans="2:2">
      <c r="B49" s="17"/>
    </row>
    <row r="50" spans="2:2">
      <c r="B50" s="17"/>
    </row>
    <row r="51" spans="2:2">
      <c r="B51" s="17"/>
    </row>
  </sheetData>
  <sheetProtection sheet="1" formatColumns="0" selectLockedCells="1"/>
  <mergeCells count="3">
    <mergeCell ref="B16:E16"/>
    <mergeCell ref="B17:E17"/>
    <mergeCell ref="B25:E25"/>
  </mergeCells>
  <conditionalFormatting sqref="B1">
    <cfRule type="cellIs" dxfId="1070" priority="1" operator="equal">
      <formula>"AMBER"</formula>
    </cfRule>
  </conditionalFormatting>
  <conditionalFormatting sqref="B1">
    <cfRule type="cellIs" dxfId="1069" priority="2" operator="equal">
      <formula>"RED"</formula>
    </cfRule>
  </conditionalFormatting>
  <conditionalFormatting sqref="B1">
    <cfRule type="cellIs" dxfId="1068" priority="3" operator="equal">
      <formula>"GREEN"</formula>
    </cfRule>
  </conditionalFormatting>
  <conditionalFormatting sqref="B2">
    <cfRule type="cellIs" dxfId="1067" priority="4" operator="equal">
      <formula>"AMBER"</formula>
    </cfRule>
  </conditionalFormatting>
  <conditionalFormatting sqref="B2">
    <cfRule type="cellIs" dxfId="1066" priority="5" operator="equal">
      <formula>"RED"</formula>
    </cfRule>
  </conditionalFormatting>
  <conditionalFormatting sqref="B2">
    <cfRule type="cellIs" dxfId="1065" priority="6" operator="equal">
      <formula>"GREEN"</formula>
    </cfRule>
  </conditionalFormatting>
  <conditionalFormatting sqref="B3">
    <cfRule type="cellIs" dxfId="1064" priority="7" operator="equal">
      <formula>"AMBER"</formula>
    </cfRule>
  </conditionalFormatting>
  <conditionalFormatting sqref="B3">
    <cfRule type="cellIs" dxfId="1063" priority="8" operator="equal">
      <formula>"RED"</formula>
    </cfRule>
  </conditionalFormatting>
  <conditionalFormatting sqref="B3">
    <cfRule type="cellIs" dxfId="1062" priority="9" operator="equal">
      <formula>"GREEN"</formula>
    </cfRule>
  </conditionalFormatting>
  <conditionalFormatting sqref="B4">
    <cfRule type="cellIs" dxfId="1061" priority="10" operator="equal">
      <formula>"AMBER"</formula>
    </cfRule>
  </conditionalFormatting>
  <conditionalFormatting sqref="B4">
    <cfRule type="cellIs" dxfId="1060" priority="11" operator="equal">
      <formula>"RED"</formula>
    </cfRule>
  </conditionalFormatting>
  <conditionalFormatting sqref="B4">
    <cfRule type="cellIs" dxfId="1059" priority="12" operator="equal">
      <formula>"GREEN"</formula>
    </cfRule>
  </conditionalFormatting>
  <conditionalFormatting sqref="B5">
    <cfRule type="cellIs" dxfId="1058" priority="13" operator="equal">
      <formula>"AMBER"</formula>
    </cfRule>
  </conditionalFormatting>
  <conditionalFormatting sqref="B5">
    <cfRule type="cellIs" dxfId="1057" priority="14" operator="equal">
      <formula>"RED"</formula>
    </cfRule>
  </conditionalFormatting>
  <conditionalFormatting sqref="B5">
    <cfRule type="cellIs" dxfId="1056" priority="15" operator="equal">
      <formula>"GREEN"</formula>
    </cfRule>
  </conditionalFormatting>
  <conditionalFormatting sqref="B6">
    <cfRule type="cellIs" dxfId="1055" priority="16" operator="equal">
      <formula>"AMBER"</formula>
    </cfRule>
  </conditionalFormatting>
  <conditionalFormatting sqref="B6">
    <cfRule type="cellIs" dxfId="1054" priority="17" operator="equal">
      <formula>"RED"</formula>
    </cfRule>
  </conditionalFormatting>
  <conditionalFormatting sqref="B6">
    <cfRule type="cellIs" dxfId="1053" priority="18" operator="equal">
      <formula>"GREEN"</formula>
    </cfRule>
  </conditionalFormatting>
  <conditionalFormatting sqref="B7">
    <cfRule type="cellIs" dxfId="1052" priority="19" operator="equal">
      <formula>"AMBER"</formula>
    </cfRule>
  </conditionalFormatting>
  <conditionalFormatting sqref="B7">
    <cfRule type="cellIs" dxfId="1051" priority="20" operator="equal">
      <formula>"RED"</formula>
    </cfRule>
  </conditionalFormatting>
  <conditionalFormatting sqref="B7">
    <cfRule type="cellIs" dxfId="1050" priority="21" operator="equal">
      <formula>"GREEN"</formula>
    </cfRule>
  </conditionalFormatting>
  <conditionalFormatting sqref="B8">
    <cfRule type="cellIs" dxfId="1049" priority="22" operator="equal">
      <formula>"AMBER"</formula>
    </cfRule>
  </conditionalFormatting>
  <conditionalFormatting sqref="B8">
    <cfRule type="cellIs" dxfId="1048" priority="23" operator="equal">
      <formula>"RED"</formula>
    </cfRule>
  </conditionalFormatting>
  <conditionalFormatting sqref="B8">
    <cfRule type="cellIs" dxfId="1047" priority="24" operator="equal">
      <formula>"GREEN"</formula>
    </cfRule>
  </conditionalFormatting>
  <conditionalFormatting sqref="B9">
    <cfRule type="cellIs" dxfId="1046" priority="25" operator="equal">
      <formula>"AMBER"</formula>
    </cfRule>
  </conditionalFormatting>
  <conditionalFormatting sqref="B9">
    <cfRule type="cellIs" dxfId="1045" priority="26" operator="equal">
      <formula>"RED"</formula>
    </cfRule>
  </conditionalFormatting>
  <conditionalFormatting sqref="B9">
    <cfRule type="cellIs" dxfId="1044" priority="27" operator="equal">
      <formula>"GREEN"</formula>
    </cfRule>
  </conditionalFormatting>
  <conditionalFormatting sqref="E15">
    <cfRule type="cellIs" dxfId="1043" priority="28" operator="equal">
      <formula>"AMBER"</formula>
    </cfRule>
  </conditionalFormatting>
  <conditionalFormatting sqref="E15">
    <cfRule type="cellIs" dxfId="1042" priority="29" operator="equal">
      <formula>"RED"</formula>
    </cfRule>
  </conditionalFormatting>
  <conditionalFormatting sqref="E15">
    <cfRule type="cellIs" dxfId="1041" priority="30" operator="equal">
      <formula>"GREEN"</formula>
    </cfRule>
  </conditionalFormatting>
  <conditionalFormatting sqref="B19">
    <cfRule type="cellIs" dxfId="1040" priority="31" operator="lessThan">
      <formula>1</formula>
    </cfRule>
  </conditionalFormatting>
  <conditionalFormatting sqref="B20">
    <cfRule type="cellIs" dxfId="1039" priority="32" operator="lessThan">
      <formula>1</formula>
    </cfRule>
  </conditionalFormatting>
  <conditionalFormatting sqref="B21">
    <cfRule type="cellIs" dxfId="1038" priority="33" operator="lessThan">
      <formula>1</formula>
    </cfRule>
  </conditionalFormatting>
  <conditionalFormatting sqref="B22">
    <cfRule type="cellIs" dxfId="1037" priority="34" operator="lessThan">
      <formula>1</formula>
    </cfRule>
  </conditionalFormatting>
  <conditionalFormatting sqref="B23">
    <cfRule type="cellIs" dxfId="1036" priority="35" operator="lessThan">
      <formula>1</formula>
    </cfRule>
  </conditionalFormatting>
  <conditionalFormatting sqref="E19">
    <cfRule type="cellIs" dxfId="1035" priority="36" operator="equal">
      <formula>"Amber"</formula>
    </cfRule>
  </conditionalFormatting>
  <conditionalFormatting sqref="E19">
    <cfRule type="cellIs" dxfId="1034" priority="37" operator="equal">
      <formula>"Red"</formula>
    </cfRule>
  </conditionalFormatting>
  <conditionalFormatting sqref="E19">
    <cfRule type="cellIs" dxfId="1033" priority="38" operator="equal">
      <formula>"Green"</formula>
    </cfRule>
  </conditionalFormatting>
  <conditionalFormatting sqref="E20">
    <cfRule type="cellIs" dxfId="1032" priority="39" operator="equal">
      <formula>"Amber"</formula>
    </cfRule>
  </conditionalFormatting>
  <conditionalFormatting sqref="E20">
    <cfRule type="cellIs" dxfId="1031" priority="40" operator="equal">
      <formula>"Red"</formula>
    </cfRule>
  </conditionalFormatting>
  <conditionalFormatting sqref="E20">
    <cfRule type="cellIs" dxfId="1030" priority="41" operator="equal">
      <formula>"Green"</formula>
    </cfRule>
  </conditionalFormatting>
  <conditionalFormatting sqref="E21">
    <cfRule type="cellIs" dxfId="1029" priority="42" operator="equal">
      <formula>"Amber"</formula>
    </cfRule>
  </conditionalFormatting>
  <conditionalFormatting sqref="E21">
    <cfRule type="cellIs" dxfId="1028" priority="43" operator="equal">
      <formula>"Red"</formula>
    </cfRule>
  </conditionalFormatting>
  <conditionalFormatting sqref="E21">
    <cfRule type="cellIs" dxfId="1027" priority="44" operator="equal">
      <formula>"Green"</formula>
    </cfRule>
  </conditionalFormatting>
  <conditionalFormatting sqref="E22">
    <cfRule type="cellIs" dxfId="1026" priority="45" operator="equal">
      <formula>"Amber"</formula>
    </cfRule>
  </conditionalFormatting>
  <conditionalFormatting sqref="E22">
    <cfRule type="cellIs" dxfId="1025" priority="46" operator="equal">
      <formula>"Red"</formula>
    </cfRule>
  </conditionalFormatting>
  <conditionalFormatting sqref="E22">
    <cfRule type="cellIs" dxfId="1024" priority="47" operator="equal">
      <formula>"Green"</formula>
    </cfRule>
  </conditionalFormatting>
  <conditionalFormatting sqref="E23">
    <cfRule type="cellIs" dxfId="1023" priority="48" operator="equal">
      <formula>"Amber"</formula>
    </cfRule>
  </conditionalFormatting>
  <conditionalFormatting sqref="E23">
    <cfRule type="cellIs" dxfId="1022" priority="49" operator="equal">
      <formula>"Red"</formula>
    </cfRule>
  </conditionalFormatting>
  <conditionalFormatting sqref="E23">
    <cfRule type="cellIs" dxfId="1021" priority="50" operator="equal">
      <formula>"Green"</formula>
    </cfRule>
  </conditionalFormatting>
  <dataValidations count="5">
    <dataValidation type="list" allowBlank="1" showInputMessage="1" showErrorMessage="1" sqref="E19">
      <formula1>RiskRating</formula1>
    </dataValidation>
    <dataValidation type="list" allowBlank="1" showInputMessage="1" showErrorMessage="1" sqref="E20">
      <formula1>RiskRating</formula1>
    </dataValidation>
    <dataValidation type="list" allowBlank="1" showInputMessage="1" showErrorMessage="1" sqref="E21">
      <formula1>RiskRating</formula1>
    </dataValidation>
    <dataValidation type="list" allowBlank="1" showInputMessage="1" showErrorMessage="1" sqref="E22">
      <formula1>RiskRating</formula1>
    </dataValidation>
    <dataValidation type="list" allowBlank="1" showInputMessage="1" showErrorMessage="1" sqref="E23">
      <formula1>RiskRating</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25" location="Legend!A1" display="See Legend"/>
  </hyperlinks>
  <pageMargins left="0.75" right="0.75" top="1" bottom="1" header="0.5" footer="0.5"/>
  <pageSetup paperSize="9" scale="81" orientation="landscape" r:id="rId1"/>
</worksheet>
</file>

<file path=xl/worksheets/sheet5.xml><?xml version="1.0" encoding="utf-8"?>
<worksheet xmlns="http://schemas.openxmlformats.org/spreadsheetml/2006/main" xmlns:r="http://schemas.openxmlformats.org/officeDocument/2006/relationships">
  <sheetPr>
    <pageSetUpPr fitToPage="1"/>
  </sheetPr>
  <dimension ref="A1:AB51"/>
  <sheetViews>
    <sheetView showGridLines="0" topLeftCell="A16" workbookViewId="0">
      <selection activeCell="I20" sqref="I20"/>
    </sheetView>
  </sheetViews>
  <sheetFormatPr defaultColWidth="11.42578125" defaultRowHeight="12.75"/>
  <cols>
    <col min="1" max="1" width="14" style="4" customWidth="1"/>
    <col min="2" max="2" width="15.85546875" style="5" customWidth="1"/>
    <col min="3" max="3" width="35.28515625" style="5" customWidth="1"/>
    <col min="4" max="4" width="14.85546875" style="5" customWidth="1"/>
    <col min="5" max="5" width="15.85546875" style="5" customWidth="1"/>
    <col min="6" max="6" width="19.140625" style="5" customWidth="1"/>
    <col min="7" max="8" width="13.140625" style="5" customWidth="1"/>
    <col min="9" max="9" width="15.7109375" style="5" customWidth="1"/>
    <col min="10" max="10" width="2.7109375" style="65" customWidth="1"/>
    <col min="11" max="11" width="11.42578125" style="65"/>
    <col min="12" max="14" width="11.42578125" hidden="1"/>
  </cols>
  <sheetData>
    <row r="1" spans="1:28" s="4" customFormat="1">
      <c r="A1" s="60" t="s">
        <v>0</v>
      </c>
      <c r="B1" s="38" t="str">
        <f>OVERALLLIGHT</f>
        <v>AMBER</v>
      </c>
      <c r="C1" s="196"/>
      <c r="D1" s="5"/>
      <c r="E1" s="5"/>
      <c r="F1" s="5"/>
      <c r="G1" s="5"/>
      <c r="H1" s="5"/>
      <c r="I1" s="5"/>
      <c r="J1" s="65"/>
      <c r="K1" s="65"/>
    </row>
    <row r="2" spans="1:28" s="4" customFormat="1">
      <c r="A2" s="61" t="s">
        <v>1</v>
      </c>
      <c r="B2" s="39" t="str">
        <f>MILESTONELIGHT</f>
        <v>RED</v>
      </c>
      <c r="C2" s="33"/>
      <c r="D2" s="5"/>
      <c r="E2" s="5"/>
      <c r="F2" s="5"/>
      <c r="G2" s="5"/>
      <c r="H2" s="5"/>
      <c r="I2" s="5"/>
      <c r="J2" s="65"/>
      <c r="K2" s="65"/>
    </row>
    <row r="3" spans="1:28" s="4" customFormat="1">
      <c r="A3" s="61" t="s">
        <v>2</v>
      </c>
      <c r="B3" s="39" t="str">
        <f>ISSUELIGHT</f>
        <v>GREEN</v>
      </c>
      <c r="C3" s="33"/>
      <c r="D3" s="5"/>
      <c r="E3" s="5"/>
      <c r="F3" s="5"/>
      <c r="G3" s="5"/>
      <c r="H3" s="5"/>
      <c r="I3" s="5"/>
      <c r="J3" s="65"/>
      <c r="K3" s="65"/>
    </row>
    <row r="4" spans="1:28" s="4" customFormat="1">
      <c r="A4" s="61" t="s">
        <v>3</v>
      </c>
      <c r="B4" s="39" t="str">
        <f>RISKLIGHT</f>
        <v>GREEN</v>
      </c>
      <c r="C4" s="33"/>
      <c r="D4" s="5"/>
      <c r="E4" s="5"/>
      <c r="F4" s="5"/>
      <c r="G4" s="5"/>
      <c r="H4" s="5"/>
      <c r="I4" s="5"/>
      <c r="J4" s="65"/>
      <c r="K4" s="65"/>
    </row>
    <row r="5" spans="1:28" s="4" customFormat="1">
      <c r="A5" s="61" t="s">
        <v>4</v>
      </c>
      <c r="B5" s="39" t="str">
        <f>CHANGELIGHT</f>
        <v>GREEN</v>
      </c>
      <c r="C5" s="33"/>
      <c r="D5" s="5"/>
      <c r="E5" s="5"/>
      <c r="F5" s="5"/>
      <c r="G5" s="5"/>
      <c r="H5" s="5"/>
      <c r="I5" s="5"/>
      <c r="J5" s="65"/>
      <c r="K5" s="65"/>
    </row>
    <row r="6" spans="1:28" s="4" customFormat="1">
      <c r="A6" s="61" t="s">
        <v>5</v>
      </c>
      <c r="B6" s="40" t="str">
        <f>DEPENDENCYLIGHT</f>
        <v/>
      </c>
      <c r="C6" s="33"/>
      <c r="D6" s="5"/>
      <c r="E6" s="5"/>
      <c r="F6" s="5"/>
      <c r="G6" s="5"/>
      <c r="H6" s="5"/>
      <c r="I6" s="5"/>
      <c r="J6" s="65"/>
      <c r="K6" s="65"/>
    </row>
    <row r="7" spans="1:28" s="4" customFormat="1">
      <c r="A7" s="61" t="s">
        <v>6</v>
      </c>
      <c r="B7" s="40" t="str">
        <f>MEASURELIGHT</f>
        <v/>
      </c>
      <c r="C7" s="33"/>
      <c r="D7" s="5"/>
      <c r="E7" s="5"/>
      <c r="F7" s="5"/>
      <c r="G7" s="5"/>
      <c r="H7" s="5"/>
      <c r="I7" s="5"/>
      <c r="J7" s="65"/>
      <c r="K7" s="65"/>
    </row>
    <row r="8" spans="1:28" s="4" customFormat="1" ht="15">
      <c r="A8" s="61" t="s">
        <v>7</v>
      </c>
      <c r="B8" s="39" t="str">
        <f>COMMUNICATIONLIGHT</f>
        <v>GREEN</v>
      </c>
      <c r="C8" s="33"/>
      <c r="D8" s="5"/>
      <c r="E8" s="16"/>
      <c r="F8" s="5"/>
      <c r="G8" s="5"/>
      <c r="H8" s="5"/>
      <c r="I8" s="5"/>
      <c r="J8" s="65"/>
      <c r="K8" s="65"/>
    </row>
    <row r="9" spans="1:28" s="4" customFormat="1" ht="15">
      <c r="A9" s="61" t="s">
        <v>8</v>
      </c>
      <c r="B9" s="41" t="str">
        <f>FINANCELIGHT</f>
        <v>GREEN</v>
      </c>
      <c r="C9" s="33"/>
      <c r="D9" s="5"/>
      <c r="E9" s="16"/>
      <c r="F9" s="5"/>
      <c r="G9" s="5"/>
      <c r="H9" s="5"/>
      <c r="I9" s="5"/>
      <c r="J9" s="65"/>
      <c r="K9" s="65"/>
    </row>
    <row r="10" spans="1:28" s="5" customFormat="1">
      <c r="A10" s="72"/>
      <c r="B10" s="132"/>
      <c r="C10" s="33"/>
      <c r="O10" s="10"/>
    </row>
    <row r="11" spans="1:28" s="5" customFormat="1" ht="15.95" customHeight="1">
      <c r="A11" s="72"/>
      <c r="B11" s="130" t="str">
        <f>ProjNo</f>
        <v>RT029</v>
      </c>
      <c r="C11" s="131"/>
      <c r="D11" s="131" t="str">
        <f>ProjName</f>
        <v>Cloud Based Bioinformatics Tools</v>
      </c>
      <c r="O11" s="10"/>
    </row>
    <row r="12" spans="1:28" s="5" customFormat="1" ht="15.95" customHeight="1">
      <c r="A12" s="72"/>
      <c r="B12" s="128" t="s">
        <v>42</v>
      </c>
      <c r="C12" s="126"/>
      <c r="D12" s="133">
        <f>ReportFrom</f>
        <v>41244</v>
      </c>
      <c r="E12" s="125"/>
      <c r="O12" s="10"/>
    </row>
    <row r="13" spans="1:28" s="5" customFormat="1" ht="15.95" customHeight="1">
      <c r="A13" s="72"/>
      <c r="B13" s="129" t="s">
        <v>43</v>
      </c>
      <c r="C13" s="197"/>
      <c r="D13" s="134">
        <f>LastDateReport</f>
        <v>41334</v>
      </c>
      <c r="E13" s="125"/>
      <c r="O13" s="10"/>
    </row>
    <row r="14" spans="1:28" s="5" customFormat="1" ht="6" customHeight="1">
      <c r="A14" s="72"/>
      <c r="B14" s="126"/>
      <c r="C14" s="126"/>
      <c r="D14" s="127"/>
      <c r="E14" s="125"/>
      <c r="O14" s="10"/>
    </row>
    <row r="15" spans="1:28" s="4" customFormat="1" ht="18.95" customHeight="1">
      <c r="A15" s="65"/>
      <c r="B15" s="12" t="s">
        <v>135</v>
      </c>
      <c r="C15" s="12"/>
      <c r="D15" s="12"/>
      <c r="E15" s="12"/>
      <c r="F15" s="12"/>
      <c r="G15" s="12"/>
      <c r="H15" s="12" t="s">
        <v>45</v>
      </c>
      <c r="I15" s="12" t="str">
        <f>CHANGELIGHT</f>
        <v>GREEN</v>
      </c>
      <c r="J15" s="94"/>
      <c r="K15" s="94"/>
      <c r="L15" s="1" t="s">
        <v>136</v>
      </c>
      <c r="M15" s="1"/>
      <c r="N15" s="1">
        <f>B29</f>
        <v>0</v>
      </c>
      <c r="AB15" s="2"/>
    </row>
    <row r="16" spans="1:28" s="4" customFormat="1" ht="15.95" customHeight="1">
      <c r="A16" s="65"/>
      <c r="B16" s="46" t="s">
        <v>137</v>
      </c>
      <c r="C16" s="186"/>
      <c r="D16" s="46"/>
      <c r="E16" s="46"/>
      <c r="F16" s="46"/>
      <c r="G16" s="46"/>
      <c r="H16" s="46"/>
      <c r="I16" s="46"/>
      <c r="J16" s="91"/>
      <c r="K16" s="91"/>
      <c r="L16" s="1" t="s">
        <v>138</v>
      </c>
      <c r="M16" s="1"/>
      <c r="N16" s="1">
        <f>K29</f>
        <v>99</v>
      </c>
      <c r="AB16" s="2"/>
    </row>
    <row r="17" spans="1:28" s="4" customFormat="1" ht="15" customHeight="1">
      <c r="B17" s="33"/>
      <c r="C17" s="33"/>
      <c r="D17" s="33"/>
      <c r="E17" s="33"/>
      <c r="F17" s="33"/>
      <c r="G17" s="33"/>
      <c r="H17" s="33"/>
      <c r="I17" s="33"/>
      <c r="J17" s="63"/>
      <c r="K17" s="63"/>
      <c r="L17" s="1" t="s">
        <v>139</v>
      </c>
      <c r="M17" s="1"/>
      <c r="N17" s="1">
        <f>G29</f>
        <v>1</v>
      </c>
      <c r="AB17" s="2"/>
    </row>
    <row r="18" spans="1:28" s="4" customFormat="1" ht="57.75" customHeight="1">
      <c r="B18" s="49" t="s">
        <v>140</v>
      </c>
      <c r="C18" s="198" t="s">
        <v>141</v>
      </c>
      <c r="D18" s="50" t="s">
        <v>142</v>
      </c>
      <c r="E18" s="50" t="s">
        <v>143</v>
      </c>
      <c r="F18" s="50" t="s">
        <v>144</v>
      </c>
      <c r="G18" s="50" t="s">
        <v>113</v>
      </c>
      <c r="H18" s="50" t="s">
        <v>145</v>
      </c>
      <c r="I18" s="51" t="s">
        <v>146</v>
      </c>
      <c r="J18" s="95"/>
      <c r="K18" s="96" t="s">
        <v>147</v>
      </c>
      <c r="AB18" s="2"/>
    </row>
    <row r="19" spans="1:28" s="4" customFormat="1" ht="42" customHeight="1">
      <c r="A19" s="21" t="s">
        <v>48</v>
      </c>
      <c r="B19" s="324" t="s">
        <v>148</v>
      </c>
      <c r="C19" s="325" t="s">
        <v>149</v>
      </c>
      <c r="D19" s="326">
        <v>0</v>
      </c>
      <c r="E19" s="327">
        <v>0</v>
      </c>
      <c r="F19" s="328">
        <v>41053</v>
      </c>
      <c r="G19" s="177" t="str">
        <f t="shared" ref="G19:G27" si="0">IF(ISBLANK(I19),IF(ISBLANK(B19),"","open"),"closed")</f>
        <v>closed</v>
      </c>
      <c r="H19" s="37">
        <f t="shared" ref="H19:H27" si="1">IF(F19&gt;0,F19+28,"")</f>
        <v>41081</v>
      </c>
      <c r="I19" s="337">
        <v>41152</v>
      </c>
      <c r="J19" s="97"/>
      <c r="K19" s="98">
        <f t="shared" ref="K19:K27" si="2">IF(ISBLANK(I19),"",I19-F19)</f>
        <v>99</v>
      </c>
      <c r="L19" s="4" t="str">
        <f t="shared" ref="L19:L27" si="3">IF(G19="OPEN",IF(H19&lt;LastDateReport+1,"DUE","NOT DUE"),"")</f>
        <v/>
      </c>
      <c r="M19" s="4" t="str">
        <f t="shared" ref="M19:M27" si="4">IF(L19="DUE",IF(LastDateReport-H19&gt;28,"RED",IF(LastDateReport-H19&lt;8,"GREEN","AMBER")),"")</f>
        <v/>
      </c>
      <c r="AB19" s="2"/>
    </row>
    <row r="20" spans="1:28" s="4" customFormat="1" ht="42" customHeight="1">
      <c r="B20" s="329" t="s">
        <v>376</v>
      </c>
      <c r="C20" s="330" t="s">
        <v>149</v>
      </c>
      <c r="D20" s="326">
        <v>0</v>
      </c>
      <c r="E20" s="331">
        <v>0</v>
      </c>
      <c r="F20" s="328">
        <v>41323</v>
      </c>
      <c r="G20" s="177" t="str">
        <f t="shared" si="0"/>
        <v>open</v>
      </c>
      <c r="H20" s="37">
        <f t="shared" si="1"/>
        <v>41351</v>
      </c>
      <c r="I20" s="337"/>
      <c r="J20" s="97"/>
      <c r="K20" s="98" t="str">
        <f t="shared" si="2"/>
        <v/>
      </c>
      <c r="L20" s="5" t="str">
        <f t="shared" si="3"/>
        <v>NOT DUE</v>
      </c>
      <c r="M20" s="5" t="str">
        <f t="shared" si="4"/>
        <v/>
      </c>
      <c r="AB20" s="2"/>
    </row>
    <row r="21" spans="1:28" s="4" customFormat="1" ht="42" customHeight="1">
      <c r="B21" s="329"/>
      <c r="C21" s="330"/>
      <c r="D21" s="326"/>
      <c r="E21" s="331"/>
      <c r="F21" s="328"/>
      <c r="G21" s="177" t="str">
        <f t="shared" si="0"/>
        <v/>
      </c>
      <c r="H21" s="37" t="str">
        <f t="shared" si="1"/>
        <v/>
      </c>
      <c r="I21" s="337"/>
      <c r="J21" s="97"/>
      <c r="K21" s="98" t="str">
        <f t="shared" si="2"/>
        <v/>
      </c>
      <c r="L21" s="5" t="str">
        <f t="shared" si="3"/>
        <v/>
      </c>
      <c r="M21" s="5" t="str">
        <f t="shared" si="4"/>
        <v/>
      </c>
      <c r="AB21" s="2"/>
    </row>
    <row r="22" spans="1:28" s="4" customFormat="1" ht="42" customHeight="1">
      <c r="B22" s="329"/>
      <c r="C22" s="330"/>
      <c r="D22" s="326"/>
      <c r="E22" s="331"/>
      <c r="F22" s="328"/>
      <c r="G22" s="177" t="str">
        <f t="shared" si="0"/>
        <v/>
      </c>
      <c r="H22" s="37" t="str">
        <f t="shared" si="1"/>
        <v/>
      </c>
      <c r="I22" s="337"/>
      <c r="J22" s="97"/>
      <c r="K22" s="98" t="str">
        <f t="shared" si="2"/>
        <v/>
      </c>
      <c r="L22" s="5" t="str">
        <f t="shared" si="3"/>
        <v/>
      </c>
      <c r="M22" s="5" t="str">
        <f t="shared" si="4"/>
        <v/>
      </c>
      <c r="AB22" s="2"/>
    </row>
    <row r="23" spans="1:28" s="4" customFormat="1" ht="42" customHeight="1">
      <c r="B23" s="329"/>
      <c r="C23" s="330"/>
      <c r="D23" s="326"/>
      <c r="E23" s="331"/>
      <c r="F23" s="328"/>
      <c r="G23" s="177" t="str">
        <f t="shared" si="0"/>
        <v/>
      </c>
      <c r="H23" s="37" t="str">
        <f t="shared" si="1"/>
        <v/>
      </c>
      <c r="I23" s="337"/>
      <c r="J23" s="97"/>
      <c r="K23" s="98" t="str">
        <f t="shared" si="2"/>
        <v/>
      </c>
      <c r="L23" s="5" t="str">
        <f t="shared" si="3"/>
        <v/>
      </c>
      <c r="M23" s="5" t="str">
        <f t="shared" si="4"/>
        <v/>
      </c>
      <c r="AB23" s="2"/>
    </row>
    <row r="24" spans="1:28" s="4" customFormat="1" ht="42" customHeight="1">
      <c r="B24" s="329"/>
      <c r="C24" s="330"/>
      <c r="D24" s="326"/>
      <c r="E24" s="331"/>
      <c r="F24" s="328"/>
      <c r="G24" s="177" t="str">
        <f t="shared" si="0"/>
        <v/>
      </c>
      <c r="H24" s="37" t="str">
        <f t="shared" si="1"/>
        <v/>
      </c>
      <c r="I24" s="337"/>
      <c r="J24" s="97"/>
      <c r="K24" s="98" t="str">
        <f t="shared" si="2"/>
        <v/>
      </c>
      <c r="L24" s="5" t="str">
        <f t="shared" si="3"/>
        <v/>
      </c>
      <c r="M24" s="5" t="str">
        <f t="shared" si="4"/>
        <v/>
      </c>
      <c r="AB24" s="2"/>
    </row>
    <row r="25" spans="1:28" s="4" customFormat="1" ht="42" customHeight="1">
      <c r="B25" s="329"/>
      <c r="C25" s="330"/>
      <c r="D25" s="326"/>
      <c r="E25" s="331"/>
      <c r="F25" s="328"/>
      <c r="G25" s="177" t="str">
        <f t="shared" si="0"/>
        <v/>
      </c>
      <c r="H25" s="37" t="str">
        <f t="shared" si="1"/>
        <v/>
      </c>
      <c r="I25" s="337"/>
      <c r="J25" s="97"/>
      <c r="K25" s="98" t="str">
        <f t="shared" si="2"/>
        <v/>
      </c>
      <c r="L25" s="5" t="str">
        <f t="shared" si="3"/>
        <v/>
      </c>
      <c r="M25" s="5" t="str">
        <f t="shared" si="4"/>
        <v/>
      </c>
      <c r="AB25" s="2"/>
    </row>
    <row r="26" spans="1:28" s="4" customFormat="1" ht="42" customHeight="1">
      <c r="B26" s="329"/>
      <c r="C26" s="330"/>
      <c r="D26" s="326"/>
      <c r="E26" s="331"/>
      <c r="F26" s="328"/>
      <c r="G26" s="177" t="str">
        <f t="shared" si="0"/>
        <v/>
      </c>
      <c r="H26" s="37" t="str">
        <f t="shared" si="1"/>
        <v/>
      </c>
      <c r="I26" s="337"/>
      <c r="J26" s="97"/>
      <c r="K26" s="98" t="str">
        <f t="shared" si="2"/>
        <v/>
      </c>
      <c r="L26" s="5" t="str">
        <f t="shared" si="3"/>
        <v/>
      </c>
      <c r="M26" s="5" t="str">
        <f t="shared" si="4"/>
        <v/>
      </c>
      <c r="AB26" s="2"/>
    </row>
    <row r="27" spans="1:28" s="4" customFormat="1" ht="42" customHeight="1">
      <c r="B27" s="332"/>
      <c r="C27" s="333"/>
      <c r="D27" s="334"/>
      <c r="E27" s="335"/>
      <c r="F27" s="336"/>
      <c r="G27" s="177" t="str">
        <f t="shared" si="0"/>
        <v/>
      </c>
      <c r="H27" s="52" t="str">
        <f t="shared" si="1"/>
        <v/>
      </c>
      <c r="I27" s="338"/>
      <c r="J27" s="97"/>
      <c r="K27" s="98" t="str">
        <f t="shared" si="2"/>
        <v/>
      </c>
      <c r="L27" s="5" t="str">
        <f t="shared" si="3"/>
        <v/>
      </c>
      <c r="M27" s="5" t="str">
        <f t="shared" si="4"/>
        <v/>
      </c>
      <c r="AB27" s="2"/>
    </row>
    <row r="28" spans="1:28" s="4" customFormat="1" ht="15" customHeight="1">
      <c r="B28" s="36" t="s">
        <v>35</v>
      </c>
      <c r="C28" s="36"/>
      <c r="D28" s="33"/>
      <c r="E28" s="33"/>
      <c r="F28" s="33"/>
      <c r="G28" s="36" t="s">
        <v>116</v>
      </c>
      <c r="H28" s="29"/>
      <c r="I28" s="33"/>
      <c r="J28" s="63"/>
      <c r="K28" s="99" t="s">
        <v>150</v>
      </c>
      <c r="M28" s="32" t="str">
        <f>IF(COUNTIF(M19:M27,"RED")&gt;0,"RED",IF(COUNTIF(M19:M27,"AMBER")&gt;0,"AMBER","GREEN"))</f>
        <v>GREEN</v>
      </c>
      <c r="AB28" s="2"/>
    </row>
    <row r="29" spans="1:28" s="4" customFormat="1">
      <c r="B29" s="34">
        <f>COUNT(B19:B27)</f>
        <v>0</v>
      </c>
      <c r="C29" s="34"/>
      <c r="D29" s="33"/>
      <c r="E29" s="33"/>
      <c r="F29" s="33"/>
      <c r="G29" s="34">
        <f>COUNTIF(G19:G27,"open")</f>
        <v>1</v>
      </c>
      <c r="H29" s="59"/>
      <c r="I29" s="33"/>
      <c r="J29" s="63"/>
      <c r="K29" s="98">
        <f>IFERROR(AVERAGE(K19:K27),"")</f>
        <v>99</v>
      </c>
      <c r="AB29" s="2"/>
    </row>
    <row r="32" spans="1:28" ht="14.1" customHeight="1">
      <c r="B32" s="507" t="s">
        <v>28</v>
      </c>
      <c r="C32" s="507"/>
      <c r="D32" s="507"/>
      <c r="E32" s="507"/>
    </row>
    <row r="34" spans="2:4">
      <c r="D34" s="17"/>
    </row>
    <row r="35" spans="2:4">
      <c r="D35" s="18"/>
    </row>
    <row r="36" spans="2:4">
      <c r="D36" s="17"/>
    </row>
    <row r="37" spans="2:4">
      <c r="D37" s="17"/>
    </row>
    <row r="38" spans="2:4">
      <c r="D38" s="17"/>
    </row>
    <row r="39" spans="2:4">
      <c r="D39" s="17"/>
    </row>
    <row r="40" spans="2:4">
      <c r="D40" s="17"/>
    </row>
    <row r="41" spans="2:4">
      <c r="D41" s="17"/>
    </row>
    <row r="42" spans="2:4">
      <c r="D42" s="17"/>
    </row>
    <row r="43" spans="2:4">
      <c r="B43" s="17"/>
      <c r="C43" s="17"/>
    </row>
    <row r="44" spans="2:4">
      <c r="B44" s="17"/>
      <c r="C44" s="17"/>
    </row>
    <row r="45" spans="2:4">
      <c r="B45" s="17"/>
      <c r="C45" s="17"/>
    </row>
    <row r="46" spans="2:4">
      <c r="B46" s="17"/>
      <c r="C46" s="17"/>
    </row>
    <row r="47" spans="2:4">
      <c r="B47" s="17"/>
      <c r="C47" s="17"/>
    </row>
    <row r="48" spans="2:4">
      <c r="B48" s="17"/>
      <c r="C48" s="17"/>
    </row>
    <row r="49" spans="2:3">
      <c r="B49" s="17"/>
      <c r="C49" s="17"/>
    </row>
    <row r="50" spans="2:3">
      <c r="B50" s="17"/>
      <c r="C50" s="17"/>
    </row>
    <row r="51" spans="2:3">
      <c r="B51" s="17"/>
      <c r="C51" s="17"/>
    </row>
  </sheetData>
  <sheetProtection sheet="1" formatColumns="0" selectLockedCells="1"/>
  <mergeCells count="1">
    <mergeCell ref="B32:E32"/>
  </mergeCells>
  <conditionalFormatting sqref="G19">
    <cfRule type="cellIs" dxfId="1020" priority="4" operator="equal">
      <formula>"AMBER"</formula>
    </cfRule>
  </conditionalFormatting>
  <conditionalFormatting sqref="G19">
    <cfRule type="cellIs" dxfId="1019" priority="5" operator="equal">
      <formula>"RED"</formula>
    </cfRule>
  </conditionalFormatting>
  <conditionalFormatting sqref="G19">
    <cfRule type="cellIs" dxfId="1018" priority="6" operator="equal">
      <formula>"GREEN"</formula>
    </cfRule>
  </conditionalFormatting>
  <conditionalFormatting sqref="G20">
    <cfRule type="cellIs" dxfId="1017" priority="7" operator="equal">
      <formula>"AMBER"</formula>
    </cfRule>
  </conditionalFormatting>
  <conditionalFormatting sqref="G20">
    <cfRule type="cellIs" dxfId="1016" priority="8" operator="equal">
      <formula>"RED"</formula>
    </cfRule>
  </conditionalFormatting>
  <conditionalFormatting sqref="G20">
    <cfRule type="cellIs" dxfId="1015" priority="9" operator="equal">
      <formula>"GREEN"</formula>
    </cfRule>
  </conditionalFormatting>
  <conditionalFormatting sqref="G21">
    <cfRule type="cellIs" dxfId="1014" priority="10" operator="equal">
      <formula>"AMBER"</formula>
    </cfRule>
  </conditionalFormatting>
  <conditionalFormatting sqref="G21">
    <cfRule type="cellIs" dxfId="1013" priority="11" operator="equal">
      <formula>"RED"</formula>
    </cfRule>
  </conditionalFormatting>
  <conditionalFormatting sqref="G21">
    <cfRule type="cellIs" dxfId="1012" priority="12" operator="equal">
      <formula>"GREEN"</formula>
    </cfRule>
  </conditionalFormatting>
  <conditionalFormatting sqref="G22">
    <cfRule type="cellIs" dxfId="1011" priority="13" operator="equal">
      <formula>"AMBER"</formula>
    </cfRule>
  </conditionalFormatting>
  <conditionalFormatting sqref="G22">
    <cfRule type="cellIs" dxfId="1010" priority="14" operator="equal">
      <formula>"RED"</formula>
    </cfRule>
  </conditionalFormatting>
  <conditionalFormatting sqref="G22">
    <cfRule type="cellIs" dxfId="1009" priority="15" operator="equal">
      <formula>"GREEN"</formula>
    </cfRule>
  </conditionalFormatting>
  <conditionalFormatting sqref="G23">
    <cfRule type="cellIs" dxfId="1008" priority="16" operator="equal">
      <formula>"AMBER"</formula>
    </cfRule>
  </conditionalFormatting>
  <conditionalFormatting sqref="G23">
    <cfRule type="cellIs" dxfId="1007" priority="17" operator="equal">
      <formula>"RED"</formula>
    </cfRule>
  </conditionalFormatting>
  <conditionalFormatting sqref="G23">
    <cfRule type="cellIs" dxfId="1006" priority="18" operator="equal">
      <formula>"GREEN"</formula>
    </cfRule>
  </conditionalFormatting>
  <conditionalFormatting sqref="G24">
    <cfRule type="cellIs" dxfId="1005" priority="19" operator="equal">
      <formula>"AMBER"</formula>
    </cfRule>
  </conditionalFormatting>
  <conditionalFormatting sqref="G24">
    <cfRule type="cellIs" dxfId="1004" priority="20" operator="equal">
      <formula>"RED"</formula>
    </cfRule>
  </conditionalFormatting>
  <conditionalFormatting sqref="G24">
    <cfRule type="cellIs" dxfId="1003" priority="21" operator="equal">
      <formula>"GREEN"</formula>
    </cfRule>
  </conditionalFormatting>
  <conditionalFormatting sqref="G25">
    <cfRule type="cellIs" dxfId="1002" priority="22" operator="equal">
      <formula>"AMBER"</formula>
    </cfRule>
  </conditionalFormatting>
  <conditionalFormatting sqref="G25">
    <cfRule type="cellIs" dxfId="1001" priority="23" operator="equal">
      <formula>"RED"</formula>
    </cfRule>
  </conditionalFormatting>
  <conditionalFormatting sqref="G25">
    <cfRule type="cellIs" dxfId="1000" priority="24" operator="equal">
      <formula>"GREEN"</formula>
    </cfRule>
  </conditionalFormatting>
  <conditionalFormatting sqref="G26">
    <cfRule type="cellIs" dxfId="999" priority="25" operator="equal">
      <formula>"AMBER"</formula>
    </cfRule>
  </conditionalFormatting>
  <conditionalFormatting sqref="G26">
    <cfRule type="cellIs" dxfId="998" priority="26" operator="equal">
      <formula>"RED"</formula>
    </cfRule>
  </conditionalFormatting>
  <conditionalFormatting sqref="G26">
    <cfRule type="cellIs" dxfId="997" priority="27" operator="equal">
      <formula>"GREEN"</formula>
    </cfRule>
  </conditionalFormatting>
  <conditionalFormatting sqref="G27">
    <cfRule type="cellIs" dxfId="996" priority="28" operator="equal">
      <formula>"AMBER"</formula>
    </cfRule>
  </conditionalFormatting>
  <conditionalFormatting sqref="G27">
    <cfRule type="cellIs" dxfId="995" priority="29" operator="equal">
      <formula>"RED"</formula>
    </cfRule>
  </conditionalFormatting>
  <conditionalFormatting sqref="G27">
    <cfRule type="cellIs" dxfId="994" priority="30" operator="equal">
      <formula>"GREEN"</formula>
    </cfRule>
  </conditionalFormatting>
  <conditionalFormatting sqref="H19">
    <cfRule type="cellIs" dxfId="993" priority="31" operator="equal">
      <formula>"AMBER"</formula>
    </cfRule>
  </conditionalFormatting>
  <conditionalFormatting sqref="H19">
    <cfRule type="cellIs" dxfId="992" priority="32" operator="equal">
      <formula>"RED"</formula>
    </cfRule>
  </conditionalFormatting>
  <conditionalFormatting sqref="H19">
    <cfRule type="cellIs" dxfId="991" priority="33" operator="equal">
      <formula>"GREEN"</formula>
    </cfRule>
  </conditionalFormatting>
  <conditionalFormatting sqref="H20">
    <cfRule type="cellIs" dxfId="990" priority="34" operator="equal">
      <formula>"AMBER"</formula>
    </cfRule>
  </conditionalFormatting>
  <conditionalFormatting sqref="H20">
    <cfRule type="cellIs" dxfId="989" priority="35" operator="equal">
      <formula>"RED"</formula>
    </cfRule>
  </conditionalFormatting>
  <conditionalFormatting sqref="H20">
    <cfRule type="cellIs" dxfId="988" priority="36" operator="equal">
      <formula>"GREEN"</formula>
    </cfRule>
  </conditionalFormatting>
  <conditionalFormatting sqref="H21">
    <cfRule type="cellIs" dxfId="987" priority="37" operator="equal">
      <formula>"AMBER"</formula>
    </cfRule>
  </conditionalFormatting>
  <conditionalFormatting sqref="H21">
    <cfRule type="cellIs" dxfId="986" priority="38" operator="equal">
      <formula>"RED"</formula>
    </cfRule>
  </conditionalFormatting>
  <conditionalFormatting sqref="H21">
    <cfRule type="cellIs" dxfId="985" priority="39" operator="equal">
      <formula>"GREEN"</formula>
    </cfRule>
  </conditionalFormatting>
  <conditionalFormatting sqref="H22">
    <cfRule type="cellIs" dxfId="984" priority="40" operator="equal">
      <formula>"AMBER"</formula>
    </cfRule>
  </conditionalFormatting>
  <conditionalFormatting sqref="H22">
    <cfRule type="cellIs" dxfId="983" priority="41" operator="equal">
      <formula>"RED"</formula>
    </cfRule>
  </conditionalFormatting>
  <conditionalFormatting sqref="H22">
    <cfRule type="cellIs" dxfId="982" priority="42" operator="equal">
      <formula>"GREEN"</formula>
    </cfRule>
  </conditionalFormatting>
  <conditionalFormatting sqref="H23">
    <cfRule type="cellIs" dxfId="981" priority="43" operator="equal">
      <formula>"AMBER"</formula>
    </cfRule>
  </conditionalFormatting>
  <conditionalFormatting sqref="H23">
    <cfRule type="cellIs" dxfId="980" priority="44" operator="equal">
      <formula>"RED"</formula>
    </cfRule>
  </conditionalFormatting>
  <conditionalFormatting sqref="H23">
    <cfRule type="cellIs" dxfId="979" priority="45" operator="equal">
      <formula>"GREEN"</formula>
    </cfRule>
  </conditionalFormatting>
  <conditionalFormatting sqref="H24">
    <cfRule type="cellIs" dxfId="978" priority="46" operator="equal">
      <formula>"AMBER"</formula>
    </cfRule>
  </conditionalFormatting>
  <conditionalFormatting sqref="H24">
    <cfRule type="cellIs" dxfId="977" priority="47" operator="equal">
      <formula>"RED"</formula>
    </cfRule>
  </conditionalFormatting>
  <conditionalFormatting sqref="H24">
    <cfRule type="cellIs" dxfId="976" priority="48" operator="equal">
      <formula>"GREEN"</formula>
    </cfRule>
  </conditionalFormatting>
  <conditionalFormatting sqref="H25">
    <cfRule type="cellIs" dxfId="975" priority="49" operator="equal">
      <formula>"AMBER"</formula>
    </cfRule>
  </conditionalFormatting>
  <conditionalFormatting sqref="H25">
    <cfRule type="cellIs" dxfId="974" priority="50" operator="equal">
      <formula>"RED"</formula>
    </cfRule>
  </conditionalFormatting>
  <conditionalFormatting sqref="H25">
    <cfRule type="cellIs" dxfId="973" priority="51" operator="equal">
      <formula>"GREEN"</formula>
    </cfRule>
  </conditionalFormatting>
  <conditionalFormatting sqref="H26">
    <cfRule type="cellIs" dxfId="972" priority="52" operator="equal">
      <formula>"AMBER"</formula>
    </cfRule>
  </conditionalFormatting>
  <conditionalFormatting sqref="H26">
    <cfRule type="cellIs" dxfId="971" priority="53" operator="equal">
      <formula>"RED"</formula>
    </cfRule>
  </conditionalFormatting>
  <conditionalFormatting sqref="H26">
    <cfRule type="cellIs" dxfId="970" priority="54" operator="equal">
      <formula>"GREEN"</formula>
    </cfRule>
  </conditionalFormatting>
  <conditionalFormatting sqref="H27">
    <cfRule type="cellIs" dxfId="969" priority="55" operator="equal">
      <formula>"AMBER"</formula>
    </cfRule>
  </conditionalFormatting>
  <conditionalFormatting sqref="H27">
    <cfRule type="cellIs" dxfId="968" priority="56" operator="equal">
      <formula>"RED"</formula>
    </cfRule>
  </conditionalFormatting>
  <conditionalFormatting sqref="H27">
    <cfRule type="cellIs" dxfId="967" priority="57" operator="equal">
      <formula>"GREEN"</formula>
    </cfRule>
  </conditionalFormatting>
  <conditionalFormatting sqref="B1">
    <cfRule type="cellIs" dxfId="966" priority="58" operator="equal">
      <formula>"AMBER"</formula>
    </cfRule>
  </conditionalFormatting>
  <conditionalFormatting sqref="B1">
    <cfRule type="cellIs" dxfId="965" priority="59" operator="equal">
      <formula>"RED"</formula>
    </cfRule>
  </conditionalFormatting>
  <conditionalFormatting sqref="B1">
    <cfRule type="cellIs" dxfId="964" priority="60" operator="equal">
      <formula>"GREEN"</formula>
    </cfRule>
  </conditionalFormatting>
  <conditionalFormatting sqref="B2">
    <cfRule type="cellIs" dxfId="963" priority="61" operator="equal">
      <formula>"AMBER"</formula>
    </cfRule>
  </conditionalFormatting>
  <conditionalFormatting sqref="B2">
    <cfRule type="cellIs" dxfId="962" priority="62" operator="equal">
      <formula>"RED"</formula>
    </cfRule>
  </conditionalFormatting>
  <conditionalFormatting sqref="B2">
    <cfRule type="cellIs" dxfId="961" priority="63" operator="equal">
      <formula>"GREEN"</formula>
    </cfRule>
  </conditionalFormatting>
  <conditionalFormatting sqref="B3">
    <cfRule type="cellIs" dxfId="960" priority="64" operator="equal">
      <formula>"AMBER"</formula>
    </cfRule>
  </conditionalFormatting>
  <conditionalFormatting sqref="B3">
    <cfRule type="cellIs" dxfId="959" priority="65" operator="equal">
      <formula>"RED"</formula>
    </cfRule>
  </conditionalFormatting>
  <conditionalFormatting sqref="B3">
    <cfRule type="cellIs" dxfId="958" priority="66" operator="equal">
      <formula>"GREEN"</formula>
    </cfRule>
  </conditionalFormatting>
  <conditionalFormatting sqref="B4">
    <cfRule type="cellIs" dxfId="957" priority="67" operator="equal">
      <formula>"AMBER"</formula>
    </cfRule>
  </conditionalFormatting>
  <conditionalFormatting sqref="B4">
    <cfRule type="cellIs" dxfId="956" priority="68" operator="equal">
      <formula>"RED"</formula>
    </cfRule>
  </conditionalFormatting>
  <conditionalFormatting sqref="B4">
    <cfRule type="cellIs" dxfId="955" priority="69" operator="equal">
      <formula>"GREEN"</formula>
    </cfRule>
  </conditionalFormatting>
  <conditionalFormatting sqref="B5">
    <cfRule type="cellIs" dxfId="954" priority="70" operator="equal">
      <formula>"AMBER"</formula>
    </cfRule>
  </conditionalFormatting>
  <conditionalFormatting sqref="B5">
    <cfRule type="cellIs" dxfId="953" priority="71" operator="equal">
      <formula>"RED"</formula>
    </cfRule>
  </conditionalFormatting>
  <conditionalFormatting sqref="B5">
    <cfRule type="cellIs" dxfId="952" priority="72" operator="equal">
      <formula>"GREEN"</formula>
    </cfRule>
  </conditionalFormatting>
  <conditionalFormatting sqref="B6">
    <cfRule type="cellIs" dxfId="951" priority="73" operator="equal">
      <formula>"AMBER"</formula>
    </cfRule>
  </conditionalFormatting>
  <conditionalFormatting sqref="B6">
    <cfRule type="cellIs" dxfId="950" priority="74" operator="equal">
      <formula>"RED"</formula>
    </cfRule>
  </conditionalFormatting>
  <conditionalFormatting sqref="B6">
    <cfRule type="cellIs" dxfId="949" priority="75" operator="equal">
      <formula>"GREEN"</formula>
    </cfRule>
  </conditionalFormatting>
  <conditionalFormatting sqref="B7">
    <cfRule type="cellIs" dxfId="948" priority="76" operator="equal">
      <formula>"AMBER"</formula>
    </cfRule>
  </conditionalFormatting>
  <conditionalFormatting sqref="B7">
    <cfRule type="cellIs" dxfId="947" priority="77" operator="equal">
      <formula>"RED"</formula>
    </cfRule>
  </conditionalFormatting>
  <conditionalFormatting sqref="B7">
    <cfRule type="cellIs" dxfId="946" priority="78" operator="equal">
      <formula>"GREEN"</formula>
    </cfRule>
  </conditionalFormatting>
  <conditionalFormatting sqref="B8">
    <cfRule type="cellIs" dxfId="945" priority="79" operator="equal">
      <formula>"AMBER"</formula>
    </cfRule>
  </conditionalFormatting>
  <conditionalFormatting sqref="B8">
    <cfRule type="cellIs" dxfId="944" priority="80" operator="equal">
      <formula>"RED"</formula>
    </cfRule>
  </conditionalFormatting>
  <conditionalFormatting sqref="B8">
    <cfRule type="cellIs" dxfId="943" priority="81" operator="equal">
      <formula>"GREEN"</formula>
    </cfRule>
  </conditionalFormatting>
  <conditionalFormatting sqref="B9">
    <cfRule type="cellIs" dxfId="942" priority="82" operator="equal">
      <formula>"AMBER"</formula>
    </cfRule>
  </conditionalFormatting>
  <conditionalFormatting sqref="B9">
    <cfRule type="cellIs" dxfId="941" priority="83" operator="equal">
      <formula>"RED"</formula>
    </cfRule>
  </conditionalFormatting>
  <conditionalFormatting sqref="B9">
    <cfRule type="cellIs" dxfId="940" priority="84" operator="equal">
      <formula>"GREEN"</formula>
    </cfRule>
  </conditionalFormatting>
  <conditionalFormatting sqref="C1">
    <cfRule type="cellIs" dxfId="939" priority="85" operator="equal">
      <formula>"AMBER"</formula>
    </cfRule>
  </conditionalFormatting>
  <conditionalFormatting sqref="C1">
    <cfRule type="cellIs" dxfId="938" priority="86" operator="equal">
      <formula>"RED"</formula>
    </cfRule>
  </conditionalFormatting>
  <conditionalFormatting sqref="C1">
    <cfRule type="cellIs" dxfId="937" priority="87" operator="equal">
      <formula>"GREEN"</formula>
    </cfRule>
  </conditionalFormatting>
  <conditionalFormatting sqref="C2">
    <cfRule type="cellIs" dxfId="936" priority="88" operator="equal">
      <formula>"AMBER"</formula>
    </cfRule>
  </conditionalFormatting>
  <conditionalFormatting sqref="C2">
    <cfRule type="cellIs" dxfId="935" priority="89" operator="equal">
      <formula>"RED"</formula>
    </cfRule>
  </conditionalFormatting>
  <conditionalFormatting sqref="C2">
    <cfRule type="cellIs" dxfId="934" priority="90" operator="equal">
      <formula>"GREEN"</formula>
    </cfRule>
  </conditionalFormatting>
  <conditionalFormatting sqref="C3">
    <cfRule type="cellIs" dxfId="933" priority="91" operator="equal">
      <formula>"AMBER"</formula>
    </cfRule>
  </conditionalFormatting>
  <conditionalFormatting sqref="C3">
    <cfRule type="cellIs" dxfId="932" priority="92" operator="equal">
      <formula>"RED"</formula>
    </cfRule>
  </conditionalFormatting>
  <conditionalFormatting sqref="C3">
    <cfRule type="cellIs" dxfId="931" priority="93" operator="equal">
      <formula>"GREEN"</formula>
    </cfRule>
  </conditionalFormatting>
  <conditionalFormatting sqref="C4">
    <cfRule type="cellIs" dxfId="930" priority="94" operator="equal">
      <formula>"AMBER"</formula>
    </cfRule>
  </conditionalFormatting>
  <conditionalFormatting sqref="C4">
    <cfRule type="cellIs" dxfId="929" priority="95" operator="equal">
      <formula>"RED"</formula>
    </cfRule>
  </conditionalFormatting>
  <conditionalFormatting sqref="C4">
    <cfRule type="cellIs" dxfId="928" priority="96" operator="equal">
      <formula>"GREEN"</formula>
    </cfRule>
  </conditionalFormatting>
  <conditionalFormatting sqref="C5">
    <cfRule type="cellIs" dxfId="927" priority="97" operator="equal">
      <formula>"AMBER"</formula>
    </cfRule>
  </conditionalFormatting>
  <conditionalFormatting sqref="C5">
    <cfRule type="cellIs" dxfId="926" priority="98" operator="equal">
      <formula>"RED"</formula>
    </cfRule>
  </conditionalFormatting>
  <conditionalFormatting sqref="C5">
    <cfRule type="cellIs" dxfId="925" priority="99" operator="equal">
      <formula>"GREEN"</formula>
    </cfRule>
  </conditionalFormatting>
  <conditionalFormatting sqref="C6">
    <cfRule type="cellIs" dxfId="924" priority="100" operator="equal">
      <formula>"AMBER"</formula>
    </cfRule>
  </conditionalFormatting>
  <conditionalFormatting sqref="C6">
    <cfRule type="cellIs" dxfId="923" priority="101" operator="equal">
      <formula>"RED"</formula>
    </cfRule>
  </conditionalFormatting>
  <conditionalFormatting sqref="C6">
    <cfRule type="cellIs" dxfId="922" priority="102" operator="equal">
      <formula>"GREEN"</formula>
    </cfRule>
  </conditionalFormatting>
  <conditionalFormatting sqref="C7">
    <cfRule type="cellIs" dxfId="921" priority="103" operator="equal">
      <formula>"AMBER"</formula>
    </cfRule>
  </conditionalFormatting>
  <conditionalFormatting sqref="C7">
    <cfRule type="cellIs" dxfId="920" priority="104" operator="equal">
      <formula>"RED"</formula>
    </cfRule>
  </conditionalFormatting>
  <conditionalFormatting sqref="C7">
    <cfRule type="cellIs" dxfId="919" priority="105" operator="equal">
      <formula>"GREEN"</formula>
    </cfRule>
  </conditionalFormatting>
  <conditionalFormatting sqref="C8">
    <cfRule type="cellIs" dxfId="918" priority="106" operator="equal">
      <formula>"AMBER"</formula>
    </cfRule>
  </conditionalFormatting>
  <conditionalFormatting sqref="C8">
    <cfRule type="cellIs" dxfId="917" priority="107" operator="equal">
      <formula>"RED"</formula>
    </cfRule>
  </conditionalFormatting>
  <conditionalFormatting sqref="C8">
    <cfRule type="cellIs" dxfId="916" priority="108" operator="equal">
      <formula>"GREEN"</formula>
    </cfRule>
  </conditionalFormatting>
  <conditionalFormatting sqref="C9">
    <cfRule type="cellIs" dxfId="915" priority="109" operator="equal">
      <formula>"AMBER"</formula>
    </cfRule>
  </conditionalFormatting>
  <conditionalFormatting sqref="C9">
    <cfRule type="cellIs" dxfId="914" priority="110" operator="equal">
      <formula>"RED"</formula>
    </cfRule>
  </conditionalFormatting>
  <conditionalFormatting sqref="C9">
    <cfRule type="cellIs" dxfId="913" priority="111" operator="equal">
      <formula>"GREEN"</formula>
    </cfRule>
  </conditionalFormatting>
  <conditionalFormatting sqref="B15">
    <cfRule type="cellIs" dxfId="912" priority="112" operator="equal">
      <formula>"AMBER"</formula>
    </cfRule>
  </conditionalFormatting>
  <conditionalFormatting sqref="B15">
    <cfRule type="cellIs" dxfId="911" priority="113" operator="equal">
      <formula>"RED"</formula>
    </cfRule>
  </conditionalFormatting>
  <conditionalFormatting sqref="B15">
    <cfRule type="cellIs" dxfId="910" priority="114" operator="equal">
      <formula>"GREEN"</formula>
    </cfRule>
  </conditionalFormatting>
  <conditionalFormatting sqref="B16">
    <cfRule type="cellIs" dxfId="909" priority="115" operator="equal">
      <formula>"AMBER"</formula>
    </cfRule>
  </conditionalFormatting>
  <conditionalFormatting sqref="B16">
    <cfRule type="cellIs" dxfId="908" priority="116" operator="equal">
      <formula>"RED"</formula>
    </cfRule>
  </conditionalFormatting>
  <conditionalFormatting sqref="B16">
    <cfRule type="cellIs" dxfId="907" priority="117" operator="equal">
      <formula>"GREEN"</formula>
    </cfRule>
  </conditionalFormatting>
  <conditionalFormatting sqref="B17">
    <cfRule type="cellIs" dxfId="906" priority="118" operator="equal">
      <formula>"AMBER"</formula>
    </cfRule>
  </conditionalFormatting>
  <conditionalFormatting sqref="B17">
    <cfRule type="cellIs" dxfId="905" priority="119" operator="equal">
      <formula>"RED"</formula>
    </cfRule>
  </conditionalFormatting>
  <conditionalFormatting sqref="B17">
    <cfRule type="cellIs" dxfId="904" priority="120" operator="equal">
      <formula>"GREEN"</formula>
    </cfRule>
  </conditionalFormatting>
  <conditionalFormatting sqref="B18">
    <cfRule type="cellIs" dxfId="903" priority="121" operator="equal">
      <formula>"AMBER"</formula>
    </cfRule>
  </conditionalFormatting>
  <conditionalFormatting sqref="B18">
    <cfRule type="cellIs" dxfId="902" priority="122" operator="equal">
      <formula>"RED"</formula>
    </cfRule>
  </conditionalFormatting>
  <conditionalFormatting sqref="B18">
    <cfRule type="cellIs" dxfId="901" priority="123" operator="equal">
      <formula>"GREEN"</formula>
    </cfRule>
  </conditionalFormatting>
  <conditionalFormatting sqref="B19">
    <cfRule type="cellIs" dxfId="900" priority="124" operator="equal">
      <formula>"AMBER"</formula>
    </cfRule>
  </conditionalFormatting>
  <conditionalFormatting sqref="B19">
    <cfRule type="cellIs" dxfId="899" priority="125" operator="equal">
      <formula>"RED"</formula>
    </cfRule>
  </conditionalFormatting>
  <conditionalFormatting sqref="B19">
    <cfRule type="cellIs" dxfId="898" priority="126" operator="equal">
      <formula>"GREEN"</formula>
    </cfRule>
  </conditionalFormatting>
  <conditionalFormatting sqref="B20">
    <cfRule type="cellIs" dxfId="897" priority="127" operator="equal">
      <formula>"AMBER"</formula>
    </cfRule>
  </conditionalFormatting>
  <conditionalFormatting sqref="B20">
    <cfRule type="cellIs" dxfId="896" priority="128" operator="equal">
      <formula>"RED"</formula>
    </cfRule>
  </conditionalFormatting>
  <conditionalFormatting sqref="B20">
    <cfRule type="cellIs" dxfId="895" priority="129" operator="equal">
      <formula>"GREEN"</formula>
    </cfRule>
  </conditionalFormatting>
  <conditionalFormatting sqref="B21">
    <cfRule type="cellIs" dxfId="894" priority="130" operator="equal">
      <formula>"AMBER"</formula>
    </cfRule>
  </conditionalFormatting>
  <conditionalFormatting sqref="B21">
    <cfRule type="cellIs" dxfId="893" priority="131" operator="equal">
      <formula>"RED"</formula>
    </cfRule>
  </conditionalFormatting>
  <conditionalFormatting sqref="B21">
    <cfRule type="cellIs" dxfId="892" priority="132" operator="equal">
      <formula>"GREEN"</formula>
    </cfRule>
  </conditionalFormatting>
  <conditionalFormatting sqref="B22">
    <cfRule type="cellIs" dxfId="891" priority="133" operator="equal">
      <formula>"AMBER"</formula>
    </cfRule>
  </conditionalFormatting>
  <conditionalFormatting sqref="B22">
    <cfRule type="cellIs" dxfId="890" priority="134" operator="equal">
      <formula>"RED"</formula>
    </cfRule>
  </conditionalFormatting>
  <conditionalFormatting sqref="B22">
    <cfRule type="cellIs" dxfId="889" priority="135" operator="equal">
      <formula>"GREEN"</formula>
    </cfRule>
  </conditionalFormatting>
  <conditionalFormatting sqref="B23">
    <cfRule type="cellIs" dxfId="888" priority="136" operator="equal">
      <formula>"AMBER"</formula>
    </cfRule>
  </conditionalFormatting>
  <conditionalFormatting sqref="B23">
    <cfRule type="cellIs" dxfId="887" priority="137" operator="equal">
      <formula>"RED"</formula>
    </cfRule>
  </conditionalFormatting>
  <conditionalFormatting sqref="B23">
    <cfRule type="cellIs" dxfId="886" priority="138" operator="equal">
      <formula>"GREEN"</formula>
    </cfRule>
  </conditionalFormatting>
  <conditionalFormatting sqref="B24">
    <cfRule type="cellIs" dxfId="885" priority="139" operator="equal">
      <formula>"AMBER"</formula>
    </cfRule>
  </conditionalFormatting>
  <conditionalFormatting sqref="B24">
    <cfRule type="cellIs" dxfId="884" priority="140" operator="equal">
      <formula>"RED"</formula>
    </cfRule>
  </conditionalFormatting>
  <conditionalFormatting sqref="B24">
    <cfRule type="cellIs" dxfId="883" priority="141" operator="equal">
      <formula>"GREEN"</formula>
    </cfRule>
  </conditionalFormatting>
  <conditionalFormatting sqref="B25">
    <cfRule type="cellIs" dxfId="882" priority="142" operator="equal">
      <formula>"AMBER"</formula>
    </cfRule>
  </conditionalFormatting>
  <conditionalFormatting sqref="B25">
    <cfRule type="cellIs" dxfId="881" priority="143" operator="equal">
      <formula>"RED"</formula>
    </cfRule>
  </conditionalFormatting>
  <conditionalFormatting sqref="B25">
    <cfRule type="cellIs" dxfId="880" priority="144" operator="equal">
      <formula>"GREEN"</formula>
    </cfRule>
  </conditionalFormatting>
  <conditionalFormatting sqref="B26">
    <cfRule type="cellIs" dxfId="879" priority="145" operator="equal">
      <formula>"AMBER"</formula>
    </cfRule>
  </conditionalFormatting>
  <conditionalFormatting sqref="B26">
    <cfRule type="cellIs" dxfId="878" priority="146" operator="equal">
      <formula>"RED"</formula>
    </cfRule>
  </conditionalFormatting>
  <conditionalFormatting sqref="B26">
    <cfRule type="cellIs" dxfId="877" priority="147" operator="equal">
      <formula>"GREEN"</formula>
    </cfRule>
  </conditionalFormatting>
  <conditionalFormatting sqref="B27">
    <cfRule type="cellIs" dxfId="876" priority="148" operator="equal">
      <formula>"AMBER"</formula>
    </cfRule>
  </conditionalFormatting>
  <conditionalFormatting sqref="B27">
    <cfRule type="cellIs" dxfId="875" priority="149" operator="equal">
      <formula>"RED"</formula>
    </cfRule>
  </conditionalFormatting>
  <conditionalFormatting sqref="B27">
    <cfRule type="cellIs" dxfId="874" priority="150" operator="equal">
      <formula>"GREEN"</formula>
    </cfRule>
  </conditionalFormatting>
  <conditionalFormatting sqref="B28">
    <cfRule type="cellIs" dxfId="873" priority="151" operator="equal">
      <formula>"AMBER"</formula>
    </cfRule>
  </conditionalFormatting>
  <conditionalFormatting sqref="B28">
    <cfRule type="cellIs" dxfId="872" priority="152" operator="equal">
      <formula>"RED"</formula>
    </cfRule>
  </conditionalFormatting>
  <conditionalFormatting sqref="B28">
    <cfRule type="cellIs" dxfId="871" priority="153" operator="equal">
      <formula>"GREEN"</formula>
    </cfRule>
  </conditionalFormatting>
  <conditionalFormatting sqref="B29">
    <cfRule type="cellIs" dxfId="870" priority="154" operator="equal">
      <formula>"AMBER"</formula>
    </cfRule>
  </conditionalFormatting>
  <conditionalFormatting sqref="B29">
    <cfRule type="cellIs" dxfId="869" priority="155" operator="equal">
      <formula>"RED"</formula>
    </cfRule>
  </conditionalFormatting>
  <conditionalFormatting sqref="B29">
    <cfRule type="cellIs" dxfId="868" priority="156" operator="equal">
      <formula>"GREEN"</formula>
    </cfRule>
  </conditionalFormatting>
  <conditionalFormatting sqref="B30">
    <cfRule type="cellIs" dxfId="867" priority="157" operator="equal">
      <formula>"AMBER"</formula>
    </cfRule>
  </conditionalFormatting>
  <conditionalFormatting sqref="B30">
    <cfRule type="cellIs" dxfId="866" priority="158" operator="equal">
      <formula>"RED"</formula>
    </cfRule>
  </conditionalFormatting>
  <conditionalFormatting sqref="B30">
    <cfRule type="cellIs" dxfId="865" priority="159" operator="equal">
      <formula>"GREEN"</formula>
    </cfRule>
  </conditionalFormatting>
  <conditionalFormatting sqref="B31">
    <cfRule type="cellIs" dxfId="864" priority="160" operator="equal">
      <formula>"AMBER"</formula>
    </cfRule>
  </conditionalFormatting>
  <conditionalFormatting sqref="B31">
    <cfRule type="cellIs" dxfId="863" priority="161" operator="equal">
      <formula>"RED"</formula>
    </cfRule>
  </conditionalFormatting>
  <conditionalFormatting sqref="B31">
    <cfRule type="cellIs" dxfId="862" priority="162" operator="equal">
      <formula>"GREEN"</formula>
    </cfRule>
  </conditionalFormatting>
  <conditionalFormatting sqref="B33">
    <cfRule type="cellIs" dxfId="861" priority="163" operator="equal">
      <formula>"AMBER"</formula>
    </cfRule>
  </conditionalFormatting>
  <conditionalFormatting sqref="B33">
    <cfRule type="cellIs" dxfId="860" priority="164" operator="equal">
      <formula>"RED"</formula>
    </cfRule>
  </conditionalFormatting>
  <conditionalFormatting sqref="B33">
    <cfRule type="cellIs" dxfId="859" priority="165" operator="equal">
      <formula>"GREEN"</formula>
    </cfRule>
  </conditionalFormatting>
  <conditionalFormatting sqref="B34">
    <cfRule type="cellIs" dxfId="858" priority="166" operator="equal">
      <formula>"AMBER"</formula>
    </cfRule>
  </conditionalFormatting>
  <conditionalFormatting sqref="B34">
    <cfRule type="cellIs" dxfId="857" priority="167" operator="equal">
      <formula>"RED"</formula>
    </cfRule>
  </conditionalFormatting>
  <conditionalFormatting sqref="B34">
    <cfRule type="cellIs" dxfId="856" priority="168" operator="equal">
      <formula>"GREEN"</formula>
    </cfRule>
  </conditionalFormatting>
  <conditionalFormatting sqref="C15">
    <cfRule type="cellIs" dxfId="855" priority="169" operator="equal">
      <formula>"AMBER"</formula>
    </cfRule>
  </conditionalFormatting>
  <conditionalFormatting sqref="C15">
    <cfRule type="cellIs" dxfId="854" priority="170" operator="equal">
      <formula>"RED"</formula>
    </cfRule>
  </conditionalFormatting>
  <conditionalFormatting sqref="C15">
    <cfRule type="cellIs" dxfId="853" priority="171" operator="equal">
      <formula>"GREEN"</formula>
    </cfRule>
  </conditionalFormatting>
  <conditionalFormatting sqref="C16">
    <cfRule type="cellIs" dxfId="852" priority="172" operator="equal">
      <formula>"AMBER"</formula>
    </cfRule>
  </conditionalFormatting>
  <conditionalFormatting sqref="C16">
    <cfRule type="cellIs" dxfId="851" priority="173" operator="equal">
      <formula>"RED"</formula>
    </cfRule>
  </conditionalFormatting>
  <conditionalFormatting sqref="C16">
    <cfRule type="cellIs" dxfId="850" priority="174" operator="equal">
      <formula>"GREEN"</formula>
    </cfRule>
  </conditionalFormatting>
  <conditionalFormatting sqref="C17">
    <cfRule type="cellIs" dxfId="849" priority="175" operator="equal">
      <formula>"AMBER"</formula>
    </cfRule>
  </conditionalFormatting>
  <conditionalFormatting sqref="C17">
    <cfRule type="cellIs" dxfId="848" priority="176" operator="equal">
      <formula>"RED"</formula>
    </cfRule>
  </conditionalFormatting>
  <conditionalFormatting sqref="C17">
    <cfRule type="cellIs" dxfId="847" priority="177" operator="equal">
      <formula>"GREEN"</formula>
    </cfRule>
  </conditionalFormatting>
  <conditionalFormatting sqref="C18">
    <cfRule type="cellIs" dxfId="846" priority="178" operator="equal">
      <formula>"AMBER"</formula>
    </cfRule>
  </conditionalFormatting>
  <conditionalFormatting sqref="C18">
    <cfRule type="cellIs" dxfId="845" priority="179" operator="equal">
      <formula>"RED"</formula>
    </cfRule>
  </conditionalFormatting>
  <conditionalFormatting sqref="C18">
    <cfRule type="cellIs" dxfId="844" priority="180" operator="equal">
      <formula>"GREEN"</formula>
    </cfRule>
  </conditionalFormatting>
  <conditionalFormatting sqref="C19">
    <cfRule type="cellIs" dxfId="843" priority="181" operator="equal">
      <formula>"AMBER"</formula>
    </cfRule>
  </conditionalFormatting>
  <conditionalFormatting sqref="C19">
    <cfRule type="cellIs" dxfId="842" priority="182" operator="equal">
      <formula>"RED"</formula>
    </cfRule>
  </conditionalFormatting>
  <conditionalFormatting sqref="C19">
    <cfRule type="cellIs" dxfId="841" priority="183" operator="equal">
      <formula>"GREEN"</formula>
    </cfRule>
  </conditionalFormatting>
  <conditionalFormatting sqref="C20">
    <cfRule type="cellIs" dxfId="840" priority="184" operator="equal">
      <formula>"AMBER"</formula>
    </cfRule>
  </conditionalFormatting>
  <conditionalFormatting sqref="C20">
    <cfRule type="cellIs" dxfId="839" priority="185" operator="equal">
      <formula>"RED"</formula>
    </cfRule>
  </conditionalFormatting>
  <conditionalFormatting sqref="C20">
    <cfRule type="cellIs" dxfId="838" priority="186" operator="equal">
      <formula>"GREEN"</formula>
    </cfRule>
  </conditionalFormatting>
  <conditionalFormatting sqref="C21">
    <cfRule type="cellIs" dxfId="837" priority="187" operator="equal">
      <formula>"AMBER"</formula>
    </cfRule>
  </conditionalFormatting>
  <conditionalFormatting sqref="C21">
    <cfRule type="cellIs" dxfId="836" priority="188" operator="equal">
      <formula>"RED"</formula>
    </cfRule>
  </conditionalFormatting>
  <conditionalFormatting sqref="C21">
    <cfRule type="cellIs" dxfId="835" priority="189" operator="equal">
      <formula>"GREEN"</formula>
    </cfRule>
  </conditionalFormatting>
  <conditionalFormatting sqref="C22">
    <cfRule type="cellIs" dxfId="834" priority="190" operator="equal">
      <formula>"AMBER"</formula>
    </cfRule>
  </conditionalFormatting>
  <conditionalFormatting sqref="C22">
    <cfRule type="cellIs" dxfId="833" priority="191" operator="equal">
      <formula>"RED"</formula>
    </cfRule>
  </conditionalFormatting>
  <conditionalFormatting sqref="C22">
    <cfRule type="cellIs" dxfId="832" priority="192" operator="equal">
      <formula>"GREEN"</formula>
    </cfRule>
  </conditionalFormatting>
  <conditionalFormatting sqref="C23">
    <cfRule type="cellIs" dxfId="831" priority="193" operator="equal">
      <formula>"AMBER"</formula>
    </cfRule>
  </conditionalFormatting>
  <conditionalFormatting sqref="C23">
    <cfRule type="cellIs" dxfId="830" priority="194" operator="equal">
      <formula>"RED"</formula>
    </cfRule>
  </conditionalFormatting>
  <conditionalFormatting sqref="C23">
    <cfRule type="cellIs" dxfId="829" priority="195" operator="equal">
      <formula>"GREEN"</formula>
    </cfRule>
  </conditionalFormatting>
  <conditionalFormatting sqref="C24">
    <cfRule type="cellIs" dxfId="828" priority="196" operator="equal">
      <formula>"AMBER"</formula>
    </cfRule>
  </conditionalFormatting>
  <conditionalFormatting sqref="C24">
    <cfRule type="cellIs" dxfId="827" priority="197" operator="equal">
      <formula>"RED"</formula>
    </cfRule>
  </conditionalFormatting>
  <conditionalFormatting sqref="C24">
    <cfRule type="cellIs" dxfId="826" priority="198" operator="equal">
      <formula>"GREEN"</formula>
    </cfRule>
  </conditionalFormatting>
  <conditionalFormatting sqref="C25">
    <cfRule type="cellIs" dxfId="825" priority="199" operator="equal">
      <formula>"AMBER"</formula>
    </cfRule>
  </conditionalFormatting>
  <conditionalFormatting sqref="C25">
    <cfRule type="cellIs" dxfId="824" priority="200" operator="equal">
      <formula>"RED"</formula>
    </cfRule>
  </conditionalFormatting>
  <conditionalFormatting sqref="C25">
    <cfRule type="cellIs" dxfId="823" priority="201" operator="equal">
      <formula>"GREEN"</formula>
    </cfRule>
  </conditionalFormatting>
  <conditionalFormatting sqref="C26">
    <cfRule type="cellIs" dxfId="822" priority="202" operator="equal">
      <formula>"AMBER"</formula>
    </cfRule>
  </conditionalFormatting>
  <conditionalFormatting sqref="C26">
    <cfRule type="cellIs" dxfId="821" priority="203" operator="equal">
      <formula>"RED"</formula>
    </cfRule>
  </conditionalFormatting>
  <conditionalFormatting sqref="C26">
    <cfRule type="cellIs" dxfId="820" priority="204" operator="equal">
      <formula>"GREEN"</formula>
    </cfRule>
  </conditionalFormatting>
  <conditionalFormatting sqref="C27">
    <cfRule type="cellIs" dxfId="819" priority="205" operator="equal">
      <formula>"AMBER"</formula>
    </cfRule>
  </conditionalFormatting>
  <conditionalFormatting sqref="C27">
    <cfRule type="cellIs" dxfId="818" priority="206" operator="equal">
      <formula>"RED"</formula>
    </cfRule>
  </conditionalFormatting>
  <conditionalFormatting sqref="C27">
    <cfRule type="cellIs" dxfId="817" priority="207" operator="equal">
      <formula>"GREEN"</formula>
    </cfRule>
  </conditionalFormatting>
  <conditionalFormatting sqref="C28">
    <cfRule type="cellIs" dxfId="816" priority="208" operator="equal">
      <formula>"AMBER"</formula>
    </cfRule>
  </conditionalFormatting>
  <conditionalFormatting sqref="C28">
    <cfRule type="cellIs" dxfId="815" priority="209" operator="equal">
      <formula>"RED"</formula>
    </cfRule>
  </conditionalFormatting>
  <conditionalFormatting sqref="C28">
    <cfRule type="cellIs" dxfId="814" priority="210" operator="equal">
      <formula>"GREEN"</formula>
    </cfRule>
  </conditionalFormatting>
  <conditionalFormatting sqref="C29">
    <cfRule type="cellIs" dxfId="813" priority="211" operator="equal">
      <formula>"AMBER"</formula>
    </cfRule>
  </conditionalFormatting>
  <conditionalFormatting sqref="C29">
    <cfRule type="cellIs" dxfId="812" priority="212" operator="equal">
      <formula>"RED"</formula>
    </cfRule>
  </conditionalFormatting>
  <conditionalFormatting sqref="C29">
    <cfRule type="cellIs" dxfId="811" priority="213" operator="equal">
      <formula>"GREEN"</formula>
    </cfRule>
  </conditionalFormatting>
  <conditionalFormatting sqref="C30">
    <cfRule type="cellIs" dxfId="810" priority="214" operator="equal">
      <formula>"AMBER"</formula>
    </cfRule>
  </conditionalFormatting>
  <conditionalFormatting sqref="C30">
    <cfRule type="cellIs" dxfId="809" priority="215" operator="equal">
      <formula>"RED"</formula>
    </cfRule>
  </conditionalFormatting>
  <conditionalFormatting sqref="C30">
    <cfRule type="cellIs" dxfId="808" priority="216" operator="equal">
      <formula>"GREEN"</formula>
    </cfRule>
  </conditionalFormatting>
  <conditionalFormatting sqref="C31">
    <cfRule type="cellIs" dxfId="807" priority="217" operator="equal">
      <formula>"AMBER"</formula>
    </cfRule>
  </conditionalFormatting>
  <conditionalFormatting sqref="C31">
    <cfRule type="cellIs" dxfId="806" priority="218" operator="equal">
      <formula>"RED"</formula>
    </cfRule>
  </conditionalFormatting>
  <conditionalFormatting sqref="C31">
    <cfRule type="cellIs" dxfId="805" priority="219" operator="equal">
      <formula>"GREEN"</formula>
    </cfRule>
  </conditionalFormatting>
  <conditionalFormatting sqref="C33">
    <cfRule type="cellIs" dxfId="804" priority="220" operator="equal">
      <formula>"AMBER"</formula>
    </cfRule>
  </conditionalFormatting>
  <conditionalFormatting sqref="C33">
    <cfRule type="cellIs" dxfId="803" priority="221" operator="equal">
      <formula>"RED"</formula>
    </cfRule>
  </conditionalFormatting>
  <conditionalFormatting sqref="C33">
    <cfRule type="cellIs" dxfId="802" priority="222" operator="equal">
      <formula>"GREEN"</formula>
    </cfRule>
  </conditionalFormatting>
  <conditionalFormatting sqref="C34">
    <cfRule type="cellIs" dxfId="801" priority="223" operator="equal">
      <formula>"AMBER"</formula>
    </cfRule>
  </conditionalFormatting>
  <conditionalFormatting sqref="C34">
    <cfRule type="cellIs" dxfId="800" priority="224" operator="equal">
      <formula>"RED"</formula>
    </cfRule>
  </conditionalFormatting>
  <conditionalFormatting sqref="C34">
    <cfRule type="cellIs" dxfId="799" priority="225" operator="equal">
      <formula>"GREEN"</formula>
    </cfRule>
  </conditionalFormatting>
  <conditionalFormatting sqref="D15">
    <cfRule type="cellIs" dxfId="798" priority="226" operator="equal">
      <formula>"AMBER"</formula>
    </cfRule>
  </conditionalFormatting>
  <conditionalFormatting sqref="D15">
    <cfRule type="cellIs" dxfId="797" priority="227" operator="equal">
      <formula>"RED"</formula>
    </cfRule>
  </conditionalFormatting>
  <conditionalFormatting sqref="D15">
    <cfRule type="cellIs" dxfId="796" priority="228" operator="equal">
      <formula>"GREEN"</formula>
    </cfRule>
  </conditionalFormatting>
  <conditionalFormatting sqref="D16">
    <cfRule type="cellIs" dxfId="795" priority="229" operator="equal">
      <formula>"AMBER"</formula>
    </cfRule>
  </conditionalFormatting>
  <conditionalFormatting sqref="D16">
    <cfRule type="cellIs" dxfId="794" priority="230" operator="equal">
      <formula>"RED"</formula>
    </cfRule>
  </conditionalFormatting>
  <conditionalFormatting sqref="D16">
    <cfRule type="cellIs" dxfId="793" priority="231" operator="equal">
      <formula>"GREEN"</formula>
    </cfRule>
  </conditionalFormatting>
  <conditionalFormatting sqref="D17">
    <cfRule type="cellIs" dxfId="792" priority="232" operator="equal">
      <formula>"AMBER"</formula>
    </cfRule>
  </conditionalFormatting>
  <conditionalFormatting sqref="D17">
    <cfRule type="cellIs" dxfId="791" priority="233" operator="equal">
      <formula>"RED"</formula>
    </cfRule>
  </conditionalFormatting>
  <conditionalFormatting sqref="D17">
    <cfRule type="cellIs" dxfId="790" priority="234" operator="equal">
      <formula>"GREEN"</formula>
    </cfRule>
  </conditionalFormatting>
  <conditionalFormatting sqref="D18">
    <cfRule type="cellIs" dxfId="789" priority="235" operator="equal">
      <formula>"AMBER"</formula>
    </cfRule>
  </conditionalFormatting>
  <conditionalFormatting sqref="D18">
    <cfRule type="cellIs" dxfId="788" priority="236" operator="equal">
      <formula>"RED"</formula>
    </cfRule>
  </conditionalFormatting>
  <conditionalFormatting sqref="D18">
    <cfRule type="cellIs" dxfId="787" priority="237" operator="equal">
      <formula>"GREEN"</formula>
    </cfRule>
  </conditionalFormatting>
  <conditionalFormatting sqref="D19">
    <cfRule type="cellIs" dxfId="786" priority="238" operator="equal">
      <formula>"AMBER"</formula>
    </cfRule>
  </conditionalFormatting>
  <conditionalFormatting sqref="D19">
    <cfRule type="cellIs" dxfId="785" priority="239" operator="equal">
      <formula>"RED"</formula>
    </cfRule>
  </conditionalFormatting>
  <conditionalFormatting sqref="D19">
    <cfRule type="cellIs" dxfId="784" priority="240" operator="equal">
      <formula>"GREEN"</formula>
    </cfRule>
  </conditionalFormatting>
  <conditionalFormatting sqref="D20">
    <cfRule type="cellIs" dxfId="783" priority="241" operator="equal">
      <formula>"AMBER"</formula>
    </cfRule>
  </conditionalFormatting>
  <conditionalFormatting sqref="D20">
    <cfRule type="cellIs" dxfId="782" priority="242" operator="equal">
      <formula>"RED"</formula>
    </cfRule>
  </conditionalFormatting>
  <conditionalFormatting sqref="D20">
    <cfRule type="cellIs" dxfId="781" priority="243" operator="equal">
      <formula>"GREEN"</formula>
    </cfRule>
  </conditionalFormatting>
  <conditionalFormatting sqref="D21">
    <cfRule type="cellIs" dxfId="780" priority="244" operator="equal">
      <formula>"AMBER"</formula>
    </cfRule>
  </conditionalFormatting>
  <conditionalFormatting sqref="D21">
    <cfRule type="cellIs" dxfId="779" priority="245" operator="equal">
      <formula>"RED"</formula>
    </cfRule>
  </conditionalFormatting>
  <conditionalFormatting sqref="D21">
    <cfRule type="cellIs" dxfId="778" priority="246" operator="equal">
      <formula>"GREEN"</formula>
    </cfRule>
  </conditionalFormatting>
  <conditionalFormatting sqref="D22">
    <cfRule type="cellIs" dxfId="777" priority="247" operator="equal">
      <formula>"AMBER"</formula>
    </cfRule>
  </conditionalFormatting>
  <conditionalFormatting sqref="D22">
    <cfRule type="cellIs" dxfId="776" priority="248" operator="equal">
      <formula>"RED"</formula>
    </cfRule>
  </conditionalFormatting>
  <conditionalFormatting sqref="D22">
    <cfRule type="cellIs" dxfId="775" priority="249" operator="equal">
      <formula>"GREEN"</formula>
    </cfRule>
  </conditionalFormatting>
  <conditionalFormatting sqref="D23">
    <cfRule type="cellIs" dxfId="774" priority="250" operator="equal">
      <formula>"AMBER"</formula>
    </cfRule>
  </conditionalFormatting>
  <conditionalFormatting sqref="D23">
    <cfRule type="cellIs" dxfId="773" priority="251" operator="equal">
      <formula>"RED"</formula>
    </cfRule>
  </conditionalFormatting>
  <conditionalFormatting sqref="D23">
    <cfRule type="cellIs" dxfId="772" priority="252" operator="equal">
      <formula>"GREEN"</formula>
    </cfRule>
  </conditionalFormatting>
  <conditionalFormatting sqref="D24">
    <cfRule type="cellIs" dxfId="771" priority="253" operator="equal">
      <formula>"AMBER"</formula>
    </cfRule>
  </conditionalFormatting>
  <conditionalFormatting sqref="D24">
    <cfRule type="cellIs" dxfId="770" priority="254" operator="equal">
      <formula>"RED"</formula>
    </cfRule>
  </conditionalFormatting>
  <conditionalFormatting sqref="D24">
    <cfRule type="cellIs" dxfId="769" priority="255" operator="equal">
      <formula>"GREEN"</formula>
    </cfRule>
  </conditionalFormatting>
  <conditionalFormatting sqref="D25">
    <cfRule type="cellIs" dxfId="768" priority="256" operator="equal">
      <formula>"AMBER"</formula>
    </cfRule>
  </conditionalFormatting>
  <conditionalFormatting sqref="D25">
    <cfRule type="cellIs" dxfId="767" priority="257" operator="equal">
      <formula>"RED"</formula>
    </cfRule>
  </conditionalFormatting>
  <conditionalFormatting sqref="D25">
    <cfRule type="cellIs" dxfId="766" priority="258" operator="equal">
      <formula>"GREEN"</formula>
    </cfRule>
  </conditionalFormatting>
  <conditionalFormatting sqref="D26">
    <cfRule type="cellIs" dxfId="765" priority="259" operator="equal">
      <formula>"AMBER"</formula>
    </cfRule>
  </conditionalFormatting>
  <conditionalFormatting sqref="D26">
    <cfRule type="cellIs" dxfId="764" priority="260" operator="equal">
      <formula>"RED"</formula>
    </cfRule>
  </conditionalFormatting>
  <conditionalFormatting sqref="D26">
    <cfRule type="cellIs" dxfId="763" priority="261" operator="equal">
      <formula>"GREEN"</formula>
    </cfRule>
  </conditionalFormatting>
  <conditionalFormatting sqref="D27">
    <cfRule type="cellIs" dxfId="762" priority="262" operator="equal">
      <formula>"AMBER"</formula>
    </cfRule>
  </conditionalFormatting>
  <conditionalFormatting sqref="D27">
    <cfRule type="cellIs" dxfId="761" priority="263" operator="equal">
      <formula>"RED"</formula>
    </cfRule>
  </conditionalFormatting>
  <conditionalFormatting sqref="D27">
    <cfRule type="cellIs" dxfId="760" priority="264" operator="equal">
      <formula>"GREEN"</formula>
    </cfRule>
  </conditionalFormatting>
  <conditionalFormatting sqref="D28">
    <cfRule type="cellIs" dxfId="759" priority="265" operator="equal">
      <formula>"AMBER"</formula>
    </cfRule>
  </conditionalFormatting>
  <conditionalFormatting sqref="D28">
    <cfRule type="cellIs" dxfId="758" priority="266" operator="equal">
      <formula>"RED"</formula>
    </cfRule>
  </conditionalFormatting>
  <conditionalFormatting sqref="D28">
    <cfRule type="cellIs" dxfId="757" priority="267" operator="equal">
      <formula>"GREEN"</formula>
    </cfRule>
  </conditionalFormatting>
  <conditionalFormatting sqref="D29">
    <cfRule type="cellIs" dxfId="756" priority="268" operator="equal">
      <formula>"AMBER"</formula>
    </cfRule>
  </conditionalFormatting>
  <conditionalFormatting sqref="D29">
    <cfRule type="cellIs" dxfId="755" priority="269" operator="equal">
      <formula>"RED"</formula>
    </cfRule>
  </conditionalFormatting>
  <conditionalFormatting sqref="D29">
    <cfRule type="cellIs" dxfId="754" priority="270" operator="equal">
      <formula>"GREEN"</formula>
    </cfRule>
  </conditionalFormatting>
  <conditionalFormatting sqref="D30">
    <cfRule type="cellIs" dxfId="753" priority="271" operator="equal">
      <formula>"AMBER"</formula>
    </cfRule>
  </conditionalFormatting>
  <conditionalFormatting sqref="D30">
    <cfRule type="cellIs" dxfId="752" priority="272" operator="equal">
      <formula>"RED"</formula>
    </cfRule>
  </conditionalFormatting>
  <conditionalFormatting sqref="D30">
    <cfRule type="cellIs" dxfId="751" priority="273" operator="equal">
      <formula>"GREEN"</formula>
    </cfRule>
  </conditionalFormatting>
  <conditionalFormatting sqref="D31">
    <cfRule type="cellIs" dxfId="750" priority="274" operator="equal">
      <formula>"AMBER"</formula>
    </cfRule>
  </conditionalFormatting>
  <conditionalFormatting sqref="D31">
    <cfRule type="cellIs" dxfId="749" priority="275" operator="equal">
      <formula>"RED"</formula>
    </cfRule>
  </conditionalFormatting>
  <conditionalFormatting sqref="D31">
    <cfRule type="cellIs" dxfId="748" priority="276" operator="equal">
      <formula>"GREEN"</formula>
    </cfRule>
  </conditionalFormatting>
  <conditionalFormatting sqref="D33">
    <cfRule type="cellIs" dxfId="747" priority="277" operator="equal">
      <formula>"AMBER"</formula>
    </cfRule>
  </conditionalFormatting>
  <conditionalFormatting sqref="D33">
    <cfRule type="cellIs" dxfId="746" priority="278" operator="equal">
      <formula>"RED"</formula>
    </cfRule>
  </conditionalFormatting>
  <conditionalFormatting sqref="D33">
    <cfRule type="cellIs" dxfId="745" priority="279" operator="equal">
      <formula>"GREEN"</formula>
    </cfRule>
  </conditionalFormatting>
  <conditionalFormatting sqref="D34">
    <cfRule type="cellIs" dxfId="744" priority="280" operator="equal">
      <formula>"AMBER"</formula>
    </cfRule>
  </conditionalFormatting>
  <conditionalFormatting sqref="D34">
    <cfRule type="cellIs" dxfId="743" priority="281" operator="equal">
      <formula>"RED"</formula>
    </cfRule>
  </conditionalFormatting>
  <conditionalFormatting sqref="D34">
    <cfRule type="cellIs" dxfId="742" priority="282" operator="equal">
      <formula>"GREEN"</formula>
    </cfRule>
  </conditionalFormatting>
  <conditionalFormatting sqref="E15">
    <cfRule type="cellIs" dxfId="741" priority="283" operator="equal">
      <formula>"AMBER"</formula>
    </cfRule>
  </conditionalFormatting>
  <conditionalFormatting sqref="E15">
    <cfRule type="cellIs" dxfId="740" priority="284" operator="equal">
      <formula>"RED"</formula>
    </cfRule>
  </conditionalFormatting>
  <conditionalFormatting sqref="E15">
    <cfRule type="cellIs" dxfId="739" priority="285" operator="equal">
      <formula>"GREEN"</formula>
    </cfRule>
  </conditionalFormatting>
  <conditionalFormatting sqref="E16">
    <cfRule type="cellIs" dxfId="738" priority="286" operator="equal">
      <formula>"AMBER"</formula>
    </cfRule>
  </conditionalFormatting>
  <conditionalFormatting sqref="E16">
    <cfRule type="cellIs" dxfId="737" priority="287" operator="equal">
      <formula>"RED"</formula>
    </cfRule>
  </conditionalFormatting>
  <conditionalFormatting sqref="E16">
    <cfRule type="cellIs" dxfId="736" priority="288" operator="equal">
      <formula>"GREEN"</formula>
    </cfRule>
  </conditionalFormatting>
  <conditionalFormatting sqref="E17">
    <cfRule type="cellIs" dxfId="735" priority="289" operator="equal">
      <formula>"AMBER"</formula>
    </cfRule>
  </conditionalFormatting>
  <conditionalFormatting sqref="E17">
    <cfRule type="cellIs" dxfId="734" priority="290" operator="equal">
      <formula>"RED"</formula>
    </cfRule>
  </conditionalFormatting>
  <conditionalFormatting sqref="E17">
    <cfRule type="cellIs" dxfId="733" priority="291" operator="equal">
      <formula>"GREEN"</formula>
    </cfRule>
  </conditionalFormatting>
  <conditionalFormatting sqref="E18">
    <cfRule type="cellIs" dxfId="732" priority="292" operator="equal">
      <formula>"AMBER"</formula>
    </cfRule>
  </conditionalFormatting>
  <conditionalFormatting sqref="E18">
    <cfRule type="cellIs" dxfId="731" priority="293" operator="equal">
      <formula>"RED"</formula>
    </cfRule>
  </conditionalFormatting>
  <conditionalFormatting sqref="E18">
    <cfRule type="cellIs" dxfId="730" priority="294" operator="equal">
      <formula>"GREEN"</formula>
    </cfRule>
  </conditionalFormatting>
  <conditionalFormatting sqref="E19">
    <cfRule type="cellIs" dxfId="729" priority="295" operator="equal">
      <formula>"AMBER"</formula>
    </cfRule>
  </conditionalFormatting>
  <conditionalFormatting sqref="E19">
    <cfRule type="cellIs" dxfId="728" priority="296" operator="equal">
      <formula>"RED"</formula>
    </cfRule>
  </conditionalFormatting>
  <conditionalFormatting sqref="E19">
    <cfRule type="cellIs" dxfId="727" priority="297" operator="equal">
      <formula>"GREEN"</formula>
    </cfRule>
  </conditionalFormatting>
  <conditionalFormatting sqref="E20">
    <cfRule type="cellIs" dxfId="726" priority="298" operator="equal">
      <formula>"AMBER"</formula>
    </cfRule>
  </conditionalFormatting>
  <conditionalFormatting sqref="E20">
    <cfRule type="cellIs" dxfId="725" priority="299" operator="equal">
      <formula>"RED"</formula>
    </cfRule>
  </conditionalFormatting>
  <conditionalFormatting sqref="E20">
    <cfRule type="cellIs" dxfId="724" priority="300" operator="equal">
      <formula>"GREEN"</formula>
    </cfRule>
  </conditionalFormatting>
  <conditionalFormatting sqref="E21">
    <cfRule type="cellIs" dxfId="723" priority="301" operator="equal">
      <formula>"AMBER"</formula>
    </cfRule>
  </conditionalFormatting>
  <conditionalFormatting sqref="E21">
    <cfRule type="cellIs" dxfId="722" priority="302" operator="equal">
      <formula>"RED"</formula>
    </cfRule>
  </conditionalFormatting>
  <conditionalFormatting sqref="E21">
    <cfRule type="cellIs" dxfId="721" priority="303" operator="equal">
      <formula>"GREEN"</formula>
    </cfRule>
  </conditionalFormatting>
  <conditionalFormatting sqref="E22">
    <cfRule type="cellIs" dxfId="720" priority="304" operator="equal">
      <formula>"AMBER"</formula>
    </cfRule>
  </conditionalFormatting>
  <conditionalFormatting sqref="E22">
    <cfRule type="cellIs" dxfId="719" priority="305" operator="equal">
      <formula>"RED"</formula>
    </cfRule>
  </conditionalFormatting>
  <conditionalFormatting sqref="E22">
    <cfRule type="cellIs" dxfId="718" priority="306" operator="equal">
      <formula>"GREEN"</formula>
    </cfRule>
  </conditionalFormatting>
  <conditionalFormatting sqref="E23">
    <cfRule type="cellIs" dxfId="717" priority="307" operator="equal">
      <formula>"AMBER"</formula>
    </cfRule>
  </conditionalFormatting>
  <conditionalFormatting sqref="E23">
    <cfRule type="cellIs" dxfId="716" priority="308" operator="equal">
      <formula>"RED"</formula>
    </cfRule>
  </conditionalFormatting>
  <conditionalFormatting sqref="E23">
    <cfRule type="cellIs" dxfId="715" priority="309" operator="equal">
      <formula>"GREEN"</formula>
    </cfRule>
  </conditionalFormatting>
  <conditionalFormatting sqref="E24">
    <cfRule type="cellIs" dxfId="714" priority="310" operator="equal">
      <formula>"AMBER"</formula>
    </cfRule>
  </conditionalFormatting>
  <conditionalFormatting sqref="E24">
    <cfRule type="cellIs" dxfId="713" priority="311" operator="equal">
      <formula>"RED"</formula>
    </cfRule>
  </conditionalFormatting>
  <conditionalFormatting sqref="E24">
    <cfRule type="cellIs" dxfId="712" priority="312" operator="equal">
      <formula>"GREEN"</formula>
    </cfRule>
  </conditionalFormatting>
  <conditionalFormatting sqref="E25">
    <cfRule type="cellIs" dxfId="711" priority="313" operator="equal">
      <formula>"AMBER"</formula>
    </cfRule>
  </conditionalFormatting>
  <conditionalFormatting sqref="E25">
    <cfRule type="cellIs" dxfId="710" priority="314" operator="equal">
      <formula>"RED"</formula>
    </cfRule>
  </conditionalFormatting>
  <conditionalFormatting sqref="E25">
    <cfRule type="cellIs" dxfId="709" priority="315" operator="equal">
      <formula>"GREEN"</formula>
    </cfRule>
  </conditionalFormatting>
  <conditionalFormatting sqref="E26">
    <cfRule type="cellIs" dxfId="708" priority="316" operator="equal">
      <formula>"AMBER"</formula>
    </cfRule>
  </conditionalFormatting>
  <conditionalFormatting sqref="E26">
    <cfRule type="cellIs" dxfId="707" priority="317" operator="equal">
      <formula>"RED"</formula>
    </cfRule>
  </conditionalFormatting>
  <conditionalFormatting sqref="E26">
    <cfRule type="cellIs" dxfId="706" priority="318" operator="equal">
      <formula>"GREEN"</formula>
    </cfRule>
  </conditionalFormatting>
  <conditionalFormatting sqref="E27">
    <cfRule type="cellIs" dxfId="705" priority="319" operator="equal">
      <formula>"AMBER"</formula>
    </cfRule>
  </conditionalFormatting>
  <conditionalFormatting sqref="E27">
    <cfRule type="cellIs" dxfId="704" priority="320" operator="equal">
      <formula>"RED"</formula>
    </cfRule>
  </conditionalFormatting>
  <conditionalFormatting sqref="E27">
    <cfRule type="cellIs" dxfId="703" priority="321" operator="equal">
      <formula>"GREEN"</formula>
    </cfRule>
  </conditionalFormatting>
  <conditionalFormatting sqref="E28">
    <cfRule type="cellIs" dxfId="702" priority="322" operator="equal">
      <formula>"AMBER"</formula>
    </cfRule>
  </conditionalFormatting>
  <conditionalFormatting sqref="E28">
    <cfRule type="cellIs" dxfId="701" priority="323" operator="equal">
      <formula>"RED"</formula>
    </cfRule>
  </conditionalFormatting>
  <conditionalFormatting sqref="E28">
    <cfRule type="cellIs" dxfId="700" priority="324" operator="equal">
      <formula>"GREEN"</formula>
    </cfRule>
  </conditionalFormatting>
  <conditionalFormatting sqref="E29">
    <cfRule type="cellIs" dxfId="699" priority="325" operator="equal">
      <formula>"AMBER"</formula>
    </cfRule>
  </conditionalFormatting>
  <conditionalFormatting sqref="E29">
    <cfRule type="cellIs" dxfId="698" priority="326" operator="equal">
      <formula>"RED"</formula>
    </cfRule>
  </conditionalFormatting>
  <conditionalFormatting sqref="E29">
    <cfRule type="cellIs" dxfId="697" priority="327" operator="equal">
      <formula>"GREEN"</formula>
    </cfRule>
  </conditionalFormatting>
  <conditionalFormatting sqref="E30">
    <cfRule type="cellIs" dxfId="696" priority="328" operator="equal">
      <formula>"AMBER"</formula>
    </cfRule>
  </conditionalFormatting>
  <conditionalFormatting sqref="E30">
    <cfRule type="cellIs" dxfId="695" priority="329" operator="equal">
      <formula>"RED"</formula>
    </cfRule>
  </conditionalFormatting>
  <conditionalFormatting sqref="E30">
    <cfRule type="cellIs" dxfId="694" priority="330" operator="equal">
      <formula>"GREEN"</formula>
    </cfRule>
  </conditionalFormatting>
  <conditionalFormatting sqref="E31">
    <cfRule type="cellIs" dxfId="693" priority="331" operator="equal">
      <formula>"AMBER"</formula>
    </cfRule>
  </conditionalFormatting>
  <conditionalFormatting sqref="E31">
    <cfRule type="cellIs" dxfId="692" priority="332" operator="equal">
      <formula>"RED"</formula>
    </cfRule>
  </conditionalFormatting>
  <conditionalFormatting sqref="E31">
    <cfRule type="cellIs" dxfId="691" priority="333" operator="equal">
      <formula>"GREEN"</formula>
    </cfRule>
  </conditionalFormatting>
  <conditionalFormatting sqref="E33">
    <cfRule type="cellIs" dxfId="690" priority="334" operator="equal">
      <formula>"AMBER"</formula>
    </cfRule>
  </conditionalFormatting>
  <conditionalFormatting sqref="E33">
    <cfRule type="cellIs" dxfId="689" priority="335" operator="equal">
      <formula>"RED"</formula>
    </cfRule>
  </conditionalFormatting>
  <conditionalFormatting sqref="E33">
    <cfRule type="cellIs" dxfId="688" priority="336" operator="equal">
      <formula>"GREEN"</formula>
    </cfRule>
  </conditionalFormatting>
  <conditionalFormatting sqref="E34">
    <cfRule type="cellIs" dxfId="687" priority="337" operator="equal">
      <formula>"AMBER"</formula>
    </cfRule>
  </conditionalFormatting>
  <conditionalFormatting sqref="E34">
    <cfRule type="cellIs" dxfId="686" priority="338" operator="equal">
      <formula>"RED"</formula>
    </cfRule>
  </conditionalFormatting>
  <conditionalFormatting sqref="E34">
    <cfRule type="cellIs" dxfId="685" priority="339" operator="equal">
      <formula>"GREEN"</formula>
    </cfRule>
  </conditionalFormatting>
  <conditionalFormatting sqref="F15">
    <cfRule type="cellIs" dxfId="684" priority="340" operator="equal">
      <formula>"AMBER"</formula>
    </cfRule>
  </conditionalFormatting>
  <conditionalFormatting sqref="F15">
    <cfRule type="cellIs" dxfId="683" priority="341" operator="equal">
      <formula>"RED"</formula>
    </cfRule>
  </conditionalFormatting>
  <conditionalFormatting sqref="F15">
    <cfRule type="cellIs" dxfId="682" priority="342" operator="equal">
      <formula>"GREEN"</formula>
    </cfRule>
  </conditionalFormatting>
  <conditionalFormatting sqref="F16">
    <cfRule type="cellIs" dxfId="681" priority="343" operator="equal">
      <formula>"AMBER"</formula>
    </cfRule>
  </conditionalFormatting>
  <conditionalFormatting sqref="F16">
    <cfRule type="cellIs" dxfId="680" priority="344" operator="equal">
      <formula>"RED"</formula>
    </cfRule>
  </conditionalFormatting>
  <conditionalFormatting sqref="F16">
    <cfRule type="cellIs" dxfId="679" priority="345" operator="equal">
      <formula>"GREEN"</formula>
    </cfRule>
  </conditionalFormatting>
  <conditionalFormatting sqref="F17">
    <cfRule type="cellIs" dxfId="678" priority="346" operator="equal">
      <formula>"AMBER"</formula>
    </cfRule>
  </conditionalFormatting>
  <conditionalFormatting sqref="F17">
    <cfRule type="cellIs" dxfId="677" priority="347" operator="equal">
      <formula>"RED"</formula>
    </cfRule>
  </conditionalFormatting>
  <conditionalFormatting sqref="F17">
    <cfRule type="cellIs" dxfId="676" priority="348" operator="equal">
      <formula>"GREEN"</formula>
    </cfRule>
  </conditionalFormatting>
  <conditionalFormatting sqref="F18">
    <cfRule type="cellIs" dxfId="675" priority="349" operator="equal">
      <formula>"AMBER"</formula>
    </cfRule>
  </conditionalFormatting>
  <conditionalFormatting sqref="F18">
    <cfRule type="cellIs" dxfId="674" priority="350" operator="equal">
      <formula>"RED"</formula>
    </cfRule>
  </conditionalFormatting>
  <conditionalFormatting sqref="F18">
    <cfRule type="cellIs" dxfId="673" priority="351" operator="equal">
      <formula>"GREEN"</formula>
    </cfRule>
  </conditionalFormatting>
  <conditionalFormatting sqref="F19">
    <cfRule type="cellIs" dxfId="672" priority="352" operator="equal">
      <formula>"AMBER"</formula>
    </cfRule>
  </conditionalFormatting>
  <conditionalFormatting sqref="F19">
    <cfRule type="cellIs" dxfId="671" priority="353" operator="equal">
      <formula>"RED"</formula>
    </cfRule>
  </conditionalFormatting>
  <conditionalFormatting sqref="F19">
    <cfRule type="cellIs" dxfId="670" priority="354" operator="equal">
      <formula>"GREEN"</formula>
    </cfRule>
  </conditionalFormatting>
  <conditionalFormatting sqref="F20">
    <cfRule type="cellIs" dxfId="669" priority="355" operator="equal">
      <formula>"AMBER"</formula>
    </cfRule>
  </conditionalFormatting>
  <conditionalFormatting sqref="F20">
    <cfRule type="cellIs" dxfId="668" priority="356" operator="equal">
      <formula>"RED"</formula>
    </cfRule>
  </conditionalFormatting>
  <conditionalFormatting sqref="F20">
    <cfRule type="cellIs" dxfId="667" priority="357" operator="equal">
      <formula>"GREEN"</formula>
    </cfRule>
  </conditionalFormatting>
  <conditionalFormatting sqref="F21">
    <cfRule type="cellIs" dxfId="666" priority="358" operator="equal">
      <formula>"AMBER"</formula>
    </cfRule>
  </conditionalFormatting>
  <conditionalFormatting sqref="F21">
    <cfRule type="cellIs" dxfId="665" priority="359" operator="equal">
      <formula>"RED"</formula>
    </cfRule>
  </conditionalFormatting>
  <conditionalFormatting sqref="F21">
    <cfRule type="cellIs" dxfId="664" priority="360" operator="equal">
      <formula>"GREEN"</formula>
    </cfRule>
  </conditionalFormatting>
  <conditionalFormatting sqref="F22">
    <cfRule type="cellIs" dxfId="663" priority="361" operator="equal">
      <formula>"AMBER"</formula>
    </cfRule>
  </conditionalFormatting>
  <conditionalFormatting sqref="F22">
    <cfRule type="cellIs" dxfId="662" priority="362" operator="equal">
      <formula>"RED"</formula>
    </cfRule>
  </conditionalFormatting>
  <conditionalFormatting sqref="F22">
    <cfRule type="cellIs" dxfId="661" priority="363" operator="equal">
      <formula>"GREEN"</formula>
    </cfRule>
  </conditionalFormatting>
  <conditionalFormatting sqref="F23">
    <cfRule type="cellIs" dxfId="660" priority="364" operator="equal">
      <formula>"AMBER"</formula>
    </cfRule>
  </conditionalFormatting>
  <conditionalFormatting sqref="F23">
    <cfRule type="cellIs" dxfId="659" priority="365" operator="equal">
      <formula>"RED"</formula>
    </cfRule>
  </conditionalFormatting>
  <conditionalFormatting sqref="F23">
    <cfRule type="cellIs" dxfId="658" priority="366" operator="equal">
      <formula>"GREEN"</formula>
    </cfRule>
  </conditionalFormatting>
  <conditionalFormatting sqref="F24">
    <cfRule type="cellIs" dxfId="657" priority="367" operator="equal">
      <formula>"AMBER"</formula>
    </cfRule>
  </conditionalFormatting>
  <conditionalFormatting sqref="F24">
    <cfRule type="cellIs" dxfId="656" priority="368" operator="equal">
      <formula>"RED"</formula>
    </cfRule>
  </conditionalFormatting>
  <conditionalFormatting sqref="F24">
    <cfRule type="cellIs" dxfId="655" priority="369" operator="equal">
      <formula>"GREEN"</formula>
    </cfRule>
  </conditionalFormatting>
  <conditionalFormatting sqref="F25">
    <cfRule type="cellIs" dxfId="654" priority="370" operator="equal">
      <formula>"AMBER"</formula>
    </cfRule>
  </conditionalFormatting>
  <conditionalFormatting sqref="F25">
    <cfRule type="cellIs" dxfId="653" priority="371" operator="equal">
      <formula>"RED"</formula>
    </cfRule>
  </conditionalFormatting>
  <conditionalFormatting sqref="F25">
    <cfRule type="cellIs" dxfId="652" priority="372" operator="equal">
      <formula>"GREEN"</formula>
    </cfRule>
  </conditionalFormatting>
  <conditionalFormatting sqref="F26">
    <cfRule type="cellIs" dxfId="651" priority="373" operator="equal">
      <formula>"AMBER"</formula>
    </cfRule>
  </conditionalFormatting>
  <conditionalFormatting sqref="F26">
    <cfRule type="cellIs" dxfId="650" priority="374" operator="equal">
      <formula>"RED"</formula>
    </cfRule>
  </conditionalFormatting>
  <conditionalFormatting sqref="F26">
    <cfRule type="cellIs" dxfId="649" priority="375" operator="equal">
      <formula>"GREEN"</formula>
    </cfRule>
  </conditionalFormatting>
  <conditionalFormatting sqref="F27">
    <cfRule type="cellIs" dxfId="648" priority="376" operator="equal">
      <formula>"AMBER"</formula>
    </cfRule>
  </conditionalFormatting>
  <conditionalFormatting sqref="F27">
    <cfRule type="cellIs" dxfId="647" priority="377" operator="equal">
      <formula>"RED"</formula>
    </cfRule>
  </conditionalFormatting>
  <conditionalFormatting sqref="F27">
    <cfRule type="cellIs" dxfId="646" priority="378" operator="equal">
      <formula>"GREEN"</formula>
    </cfRule>
  </conditionalFormatting>
  <conditionalFormatting sqref="F28">
    <cfRule type="cellIs" dxfId="645" priority="379" operator="equal">
      <formula>"AMBER"</formula>
    </cfRule>
  </conditionalFormatting>
  <conditionalFormatting sqref="F28">
    <cfRule type="cellIs" dxfId="644" priority="380" operator="equal">
      <formula>"RED"</formula>
    </cfRule>
  </conditionalFormatting>
  <conditionalFormatting sqref="F28">
    <cfRule type="cellIs" dxfId="643" priority="381" operator="equal">
      <formula>"GREEN"</formula>
    </cfRule>
  </conditionalFormatting>
  <conditionalFormatting sqref="F29">
    <cfRule type="cellIs" dxfId="642" priority="382" operator="equal">
      <formula>"AMBER"</formula>
    </cfRule>
  </conditionalFormatting>
  <conditionalFormatting sqref="F29">
    <cfRule type="cellIs" dxfId="641" priority="383" operator="equal">
      <formula>"RED"</formula>
    </cfRule>
  </conditionalFormatting>
  <conditionalFormatting sqref="F29">
    <cfRule type="cellIs" dxfId="640" priority="384" operator="equal">
      <formula>"GREEN"</formula>
    </cfRule>
  </conditionalFormatting>
  <conditionalFormatting sqref="F30">
    <cfRule type="cellIs" dxfId="639" priority="385" operator="equal">
      <formula>"AMBER"</formula>
    </cfRule>
  </conditionalFormatting>
  <conditionalFormatting sqref="F30">
    <cfRule type="cellIs" dxfId="638" priority="386" operator="equal">
      <formula>"RED"</formula>
    </cfRule>
  </conditionalFormatting>
  <conditionalFormatting sqref="F30">
    <cfRule type="cellIs" dxfId="637" priority="387" operator="equal">
      <formula>"GREEN"</formula>
    </cfRule>
  </conditionalFormatting>
  <conditionalFormatting sqref="F31">
    <cfRule type="cellIs" dxfId="636" priority="388" operator="equal">
      <formula>"AMBER"</formula>
    </cfRule>
  </conditionalFormatting>
  <conditionalFormatting sqref="F31">
    <cfRule type="cellIs" dxfId="635" priority="389" operator="equal">
      <formula>"RED"</formula>
    </cfRule>
  </conditionalFormatting>
  <conditionalFormatting sqref="F31">
    <cfRule type="cellIs" dxfId="634" priority="390" operator="equal">
      <formula>"GREEN"</formula>
    </cfRule>
  </conditionalFormatting>
  <conditionalFormatting sqref="F32">
    <cfRule type="cellIs" dxfId="633" priority="391" operator="equal">
      <formula>"AMBER"</formula>
    </cfRule>
  </conditionalFormatting>
  <conditionalFormatting sqref="F32">
    <cfRule type="cellIs" dxfId="632" priority="392" operator="equal">
      <formula>"RED"</formula>
    </cfRule>
  </conditionalFormatting>
  <conditionalFormatting sqref="F32">
    <cfRule type="cellIs" dxfId="631" priority="393" operator="equal">
      <formula>"GREEN"</formula>
    </cfRule>
  </conditionalFormatting>
  <conditionalFormatting sqref="F33">
    <cfRule type="cellIs" dxfId="630" priority="394" operator="equal">
      <formula>"AMBER"</formula>
    </cfRule>
  </conditionalFormatting>
  <conditionalFormatting sqref="F33">
    <cfRule type="cellIs" dxfId="629" priority="395" operator="equal">
      <formula>"RED"</formula>
    </cfRule>
  </conditionalFormatting>
  <conditionalFormatting sqref="F33">
    <cfRule type="cellIs" dxfId="628" priority="396" operator="equal">
      <formula>"GREEN"</formula>
    </cfRule>
  </conditionalFormatting>
  <conditionalFormatting sqref="F34">
    <cfRule type="cellIs" dxfId="627" priority="397" operator="equal">
      <formula>"AMBER"</formula>
    </cfRule>
  </conditionalFormatting>
  <conditionalFormatting sqref="F34">
    <cfRule type="cellIs" dxfId="626" priority="398" operator="equal">
      <formula>"RED"</formula>
    </cfRule>
  </conditionalFormatting>
  <conditionalFormatting sqref="F34">
    <cfRule type="cellIs" dxfId="625" priority="399" operator="equal">
      <formula>"GREEN"</formula>
    </cfRule>
  </conditionalFormatting>
  <conditionalFormatting sqref="G15">
    <cfRule type="cellIs" dxfId="624" priority="400" operator="equal">
      <formula>"AMBER"</formula>
    </cfRule>
  </conditionalFormatting>
  <conditionalFormatting sqref="G15">
    <cfRule type="cellIs" dxfId="623" priority="401" operator="equal">
      <formula>"RED"</formula>
    </cfRule>
  </conditionalFormatting>
  <conditionalFormatting sqref="G15">
    <cfRule type="cellIs" dxfId="622" priority="402" operator="equal">
      <formula>"GREEN"</formula>
    </cfRule>
  </conditionalFormatting>
  <conditionalFormatting sqref="G16">
    <cfRule type="cellIs" dxfId="621" priority="403" operator="equal">
      <formula>"AMBER"</formula>
    </cfRule>
  </conditionalFormatting>
  <conditionalFormatting sqref="G16">
    <cfRule type="cellIs" dxfId="620" priority="404" operator="equal">
      <formula>"RED"</formula>
    </cfRule>
  </conditionalFormatting>
  <conditionalFormatting sqref="G16">
    <cfRule type="cellIs" dxfId="619" priority="405" operator="equal">
      <formula>"GREEN"</formula>
    </cfRule>
  </conditionalFormatting>
  <conditionalFormatting sqref="G17">
    <cfRule type="cellIs" dxfId="618" priority="406" operator="equal">
      <formula>"AMBER"</formula>
    </cfRule>
  </conditionalFormatting>
  <conditionalFormatting sqref="G17">
    <cfRule type="cellIs" dxfId="617" priority="407" operator="equal">
      <formula>"RED"</formula>
    </cfRule>
  </conditionalFormatting>
  <conditionalFormatting sqref="G17">
    <cfRule type="cellIs" dxfId="616" priority="408" operator="equal">
      <formula>"GREEN"</formula>
    </cfRule>
  </conditionalFormatting>
  <conditionalFormatting sqref="G18">
    <cfRule type="cellIs" dxfId="615" priority="409" operator="equal">
      <formula>"AMBER"</formula>
    </cfRule>
  </conditionalFormatting>
  <conditionalFormatting sqref="G18">
    <cfRule type="cellIs" dxfId="614" priority="410" operator="equal">
      <formula>"RED"</formula>
    </cfRule>
  </conditionalFormatting>
  <conditionalFormatting sqref="G18">
    <cfRule type="cellIs" dxfId="613" priority="411" operator="equal">
      <formula>"GREEN"</formula>
    </cfRule>
  </conditionalFormatting>
  <conditionalFormatting sqref="G28">
    <cfRule type="cellIs" dxfId="612" priority="412" operator="equal">
      <formula>"AMBER"</formula>
    </cfRule>
  </conditionalFormatting>
  <conditionalFormatting sqref="G28">
    <cfRule type="cellIs" dxfId="611" priority="413" operator="equal">
      <formula>"RED"</formula>
    </cfRule>
  </conditionalFormatting>
  <conditionalFormatting sqref="G28">
    <cfRule type="cellIs" dxfId="610" priority="414" operator="equal">
      <formula>"GREEN"</formula>
    </cfRule>
  </conditionalFormatting>
  <conditionalFormatting sqref="G29">
    <cfRule type="cellIs" dxfId="609" priority="415" operator="equal">
      <formula>"AMBER"</formula>
    </cfRule>
  </conditionalFormatting>
  <conditionalFormatting sqref="G29">
    <cfRule type="cellIs" dxfId="608" priority="416" operator="equal">
      <formula>"RED"</formula>
    </cfRule>
  </conditionalFormatting>
  <conditionalFormatting sqref="G29">
    <cfRule type="cellIs" dxfId="607" priority="417" operator="equal">
      <formula>"GREEN"</formula>
    </cfRule>
  </conditionalFormatting>
  <conditionalFormatting sqref="G30">
    <cfRule type="cellIs" dxfId="606" priority="418" operator="equal">
      <formula>"AMBER"</formula>
    </cfRule>
  </conditionalFormatting>
  <conditionalFormatting sqref="G30">
    <cfRule type="cellIs" dxfId="605" priority="419" operator="equal">
      <formula>"RED"</formula>
    </cfRule>
  </conditionalFormatting>
  <conditionalFormatting sqref="G30">
    <cfRule type="cellIs" dxfId="604" priority="420" operator="equal">
      <formula>"GREEN"</formula>
    </cfRule>
  </conditionalFormatting>
  <conditionalFormatting sqref="G31">
    <cfRule type="cellIs" dxfId="603" priority="421" operator="equal">
      <formula>"AMBER"</formula>
    </cfRule>
  </conditionalFormatting>
  <conditionalFormatting sqref="G31">
    <cfRule type="cellIs" dxfId="602" priority="422" operator="equal">
      <formula>"RED"</formula>
    </cfRule>
  </conditionalFormatting>
  <conditionalFormatting sqref="G31">
    <cfRule type="cellIs" dxfId="601" priority="423" operator="equal">
      <formula>"GREEN"</formula>
    </cfRule>
  </conditionalFormatting>
  <conditionalFormatting sqref="G32">
    <cfRule type="cellIs" dxfId="600" priority="424" operator="equal">
      <formula>"AMBER"</formula>
    </cfRule>
  </conditionalFormatting>
  <conditionalFormatting sqref="G32">
    <cfRule type="cellIs" dxfId="599" priority="425" operator="equal">
      <formula>"RED"</formula>
    </cfRule>
  </conditionalFormatting>
  <conditionalFormatting sqref="G32">
    <cfRule type="cellIs" dxfId="598" priority="426" operator="equal">
      <formula>"GREEN"</formula>
    </cfRule>
  </conditionalFormatting>
  <conditionalFormatting sqref="G33">
    <cfRule type="cellIs" dxfId="597" priority="427" operator="equal">
      <formula>"AMBER"</formula>
    </cfRule>
  </conditionalFormatting>
  <conditionalFormatting sqref="G33">
    <cfRule type="cellIs" dxfId="596" priority="428" operator="equal">
      <formula>"RED"</formula>
    </cfRule>
  </conditionalFormatting>
  <conditionalFormatting sqref="G33">
    <cfRule type="cellIs" dxfId="595" priority="429" operator="equal">
      <formula>"GREEN"</formula>
    </cfRule>
  </conditionalFormatting>
  <conditionalFormatting sqref="G34">
    <cfRule type="cellIs" dxfId="594" priority="430" operator="equal">
      <formula>"AMBER"</formula>
    </cfRule>
  </conditionalFormatting>
  <conditionalFormatting sqref="G34">
    <cfRule type="cellIs" dxfId="593" priority="431" operator="equal">
      <formula>"RED"</formula>
    </cfRule>
  </conditionalFormatting>
  <conditionalFormatting sqref="G34">
    <cfRule type="cellIs" dxfId="592" priority="432" operator="equal">
      <formula>"GREEN"</formula>
    </cfRule>
  </conditionalFormatting>
  <conditionalFormatting sqref="H15">
    <cfRule type="cellIs" dxfId="591" priority="433" operator="equal">
      <formula>"AMBER"</formula>
    </cfRule>
  </conditionalFormatting>
  <conditionalFormatting sqref="H15">
    <cfRule type="cellIs" dxfId="590" priority="434" operator="equal">
      <formula>"RED"</formula>
    </cfRule>
  </conditionalFormatting>
  <conditionalFormatting sqref="H15">
    <cfRule type="cellIs" dxfId="589" priority="435" operator="equal">
      <formula>"GREEN"</formula>
    </cfRule>
  </conditionalFormatting>
  <conditionalFormatting sqref="H16">
    <cfRule type="cellIs" dxfId="588" priority="436" operator="equal">
      <formula>"AMBER"</formula>
    </cfRule>
  </conditionalFormatting>
  <conditionalFormatting sqref="H16">
    <cfRule type="cellIs" dxfId="587" priority="437" operator="equal">
      <formula>"RED"</formula>
    </cfRule>
  </conditionalFormatting>
  <conditionalFormatting sqref="H16">
    <cfRule type="cellIs" dxfId="586" priority="438" operator="equal">
      <formula>"GREEN"</formula>
    </cfRule>
  </conditionalFormatting>
  <conditionalFormatting sqref="H17">
    <cfRule type="cellIs" dxfId="585" priority="439" operator="equal">
      <formula>"AMBER"</formula>
    </cfRule>
  </conditionalFormatting>
  <conditionalFormatting sqref="H17">
    <cfRule type="cellIs" dxfId="584" priority="440" operator="equal">
      <formula>"RED"</formula>
    </cfRule>
  </conditionalFormatting>
  <conditionalFormatting sqref="H17">
    <cfRule type="cellIs" dxfId="583" priority="441" operator="equal">
      <formula>"GREEN"</formula>
    </cfRule>
  </conditionalFormatting>
  <conditionalFormatting sqref="H18">
    <cfRule type="cellIs" dxfId="582" priority="442" operator="equal">
      <formula>"AMBER"</formula>
    </cfRule>
  </conditionalFormatting>
  <conditionalFormatting sqref="H18">
    <cfRule type="cellIs" dxfId="581" priority="443" operator="equal">
      <formula>"RED"</formula>
    </cfRule>
  </conditionalFormatting>
  <conditionalFormatting sqref="H18">
    <cfRule type="cellIs" dxfId="580" priority="444" operator="equal">
      <formula>"GREEN"</formula>
    </cfRule>
  </conditionalFormatting>
  <conditionalFormatting sqref="H28">
    <cfRule type="cellIs" dxfId="579" priority="445" operator="equal">
      <formula>"AMBER"</formula>
    </cfRule>
  </conditionalFormatting>
  <conditionalFormatting sqref="H28">
    <cfRule type="cellIs" dxfId="578" priority="446" operator="equal">
      <formula>"RED"</formula>
    </cfRule>
  </conditionalFormatting>
  <conditionalFormatting sqref="H28">
    <cfRule type="cellIs" dxfId="577" priority="447" operator="equal">
      <formula>"GREEN"</formula>
    </cfRule>
  </conditionalFormatting>
  <conditionalFormatting sqref="H29">
    <cfRule type="cellIs" dxfId="576" priority="448" operator="equal">
      <formula>"AMBER"</formula>
    </cfRule>
  </conditionalFormatting>
  <conditionalFormatting sqref="H29">
    <cfRule type="cellIs" dxfId="575" priority="449" operator="equal">
      <formula>"RED"</formula>
    </cfRule>
  </conditionalFormatting>
  <conditionalFormatting sqref="H29">
    <cfRule type="cellIs" dxfId="574" priority="450" operator="equal">
      <formula>"GREEN"</formula>
    </cfRule>
  </conditionalFormatting>
  <conditionalFormatting sqref="H30">
    <cfRule type="cellIs" dxfId="573" priority="451" operator="equal">
      <formula>"AMBER"</formula>
    </cfRule>
  </conditionalFormatting>
  <conditionalFormatting sqref="H30">
    <cfRule type="cellIs" dxfId="572" priority="452" operator="equal">
      <formula>"RED"</formula>
    </cfRule>
  </conditionalFormatting>
  <conditionalFormatting sqref="H30">
    <cfRule type="cellIs" dxfId="571" priority="453" operator="equal">
      <formula>"GREEN"</formula>
    </cfRule>
  </conditionalFormatting>
  <conditionalFormatting sqref="H31">
    <cfRule type="cellIs" dxfId="570" priority="454" operator="equal">
      <formula>"AMBER"</formula>
    </cfRule>
  </conditionalFormatting>
  <conditionalFormatting sqref="H31">
    <cfRule type="cellIs" dxfId="569" priority="455" operator="equal">
      <formula>"RED"</formula>
    </cfRule>
  </conditionalFormatting>
  <conditionalFormatting sqref="H31">
    <cfRule type="cellIs" dxfId="568" priority="456" operator="equal">
      <formula>"GREEN"</formula>
    </cfRule>
  </conditionalFormatting>
  <conditionalFormatting sqref="H32">
    <cfRule type="cellIs" dxfId="567" priority="457" operator="equal">
      <formula>"AMBER"</formula>
    </cfRule>
  </conditionalFormatting>
  <conditionalFormatting sqref="H32">
    <cfRule type="cellIs" dxfId="566" priority="458" operator="equal">
      <formula>"RED"</formula>
    </cfRule>
  </conditionalFormatting>
  <conditionalFormatting sqref="H32">
    <cfRule type="cellIs" dxfId="565" priority="459" operator="equal">
      <formula>"GREEN"</formula>
    </cfRule>
  </conditionalFormatting>
  <conditionalFormatting sqref="H33">
    <cfRule type="cellIs" dxfId="564" priority="460" operator="equal">
      <formula>"AMBER"</formula>
    </cfRule>
  </conditionalFormatting>
  <conditionalFormatting sqref="H33">
    <cfRule type="cellIs" dxfId="563" priority="461" operator="equal">
      <formula>"RED"</formula>
    </cfRule>
  </conditionalFormatting>
  <conditionalFormatting sqref="H33">
    <cfRule type="cellIs" dxfId="562" priority="462" operator="equal">
      <formula>"GREEN"</formula>
    </cfRule>
  </conditionalFormatting>
  <conditionalFormatting sqref="H34">
    <cfRule type="cellIs" dxfId="561" priority="463" operator="equal">
      <formula>"AMBER"</formula>
    </cfRule>
  </conditionalFormatting>
  <conditionalFormatting sqref="H34">
    <cfRule type="cellIs" dxfId="560" priority="464" operator="equal">
      <formula>"RED"</formula>
    </cfRule>
  </conditionalFormatting>
  <conditionalFormatting sqref="H34">
    <cfRule type="cellIs" dxfId="559" priority="465" operator="equal">
      <formula>"GREEN"</formula>
    </cfRule>
  </conditionalFormatting>
  <conditionalFormatting sqref="I15">
    <cfRule type="cellIs" dxfId="558" priority="466" operator="equal">
      <formula>"AMBER"</formula>
    </cfRule>
  </conditionalFormatting>
  <conditionalFormatting sqref="I15">
    <cfRule type="cellIs" dxfId="557" priority="467" operator="equal">
      <formula>"RED"</formula>
    </cfRule>
  </conditionalFormatting>
  <conditionalFormatting sqref="I15">
    <cfRule type="cellIs" dxfId="556" priority="468" operator="equal">
      <formula>"GREEN"</formula>
    </cfRule>
  </conditionalFormatting>
  <conditionalFormatting sqref="I16">
    <cfRule type="cellIs" dxfId="555" priority="469" operator="equal">
      <formula>"AMBER"</formula>
    </cfRule>
  </conditionalFormatting>
  <conditionalFormatting sqref="I16">
    <cfRule type="cellIs" dxfId="554" priority="470" operator="equal">
      <formula>"RED"</formula>
    </cfRule>
  </conditionalFormatting>
  <conditionalFormatting sqref="I16">
    <cfRule type="cellIs" dxfId="553" priority="471" operator="equal">
      <formula>"GREEN"</formula>
    </cfRule>
  </conditionalFormatting>
  <conditionalFormatting sqref="I17">
    <cfRule type="cellIs" dxfId="552" priority="472" operator="equal">
      <formula>"AMBER"</formula>
    </cfRule>
  </conditionalFormatting>
  <conditionalFormatting sqref="I17">
    <cfRule type="cellIs" dxfId="551" priority="473" operator="equal">
      <formula>"RED"</formula>
    </cfRule>
  </conditionalFormatting>
  <conditionalFormatting sqref="I17">
    <cfRule type="cellIs" dxfId="550" priority="474" operator="equal">
      <formula>"GREEN"</formula>
    </cfRule>
  </conditionalFormatting>
  <conditionalFormatting sqref="I18">
    <cfRule type="cellIs" dxfId="549" priority="475" operator="equal">
      <formula>"AMBER"</formula>
    </cfRule>
  </conditionalFormatting>
  <conditionalFormatting sqref="I18">
    <cfRule type="cellIs" dxfId="548" priority="476" operator="equal">
      <formula>"RED"</formula>
    </cfRule>
  </conditionalFormatting>
  <conditionalFormatting sqref="I18">
    <cfRule type="cellIs" dxfId="547" priority="477" operator="equal">
      <formula>"GREEN"</formula>
    </cfRule>
  </conditionalFormatting>
  <conditionalFormatting sqref="I19">
    <cfRule type="cellIs" dxfId="546" priority="478" operator="equal">
      <formula>"AMBER"</formula>
    </cfRule>
  </conditionalFormatting>
  <conditionalFormatting sqref="I19">
    <cfRule type="cellIs" dxfId="545" priority="479" operator="equal">
      <formula>"RED"</formula>
    </cfRule>
  </conditionalFormatting>
  <conditionalFormatting sqref="I19">
    <cfRule type="cellIs" dxfId="544" priority="480" operator="equal">
      <formula>"GREEN"</formula>
    </cfRule>
  </conditionalFormatting>
  <conditionalFormatting sqref="I20">
    <cfRule type="cellIs" dxfId="543" priority="481" operator="equal">
      <formula>"AMBER"</formula>
    </cfRule>
  </conditionalFormatting>
  <conditionalFormatting sqref="I20">
    <cfRule type="cellIs" dxfId="542" priority="482" operator="equal">
      <formula>"RED"</formula>
    </cfRule>
  </conditionalFormatting>
  <conditionalFormatting sqref="I20">
    <cfRule type="cellIs" dxfId="541" priority="483" operator="equal">
      <formula>"GREEN"</formula>
    </cfRule>
  </conditionalFormatting>
  <conditionalFormatting sqref="I21">
    <cfRule type="cellIs" dxfId="540" priority="484" operator="equal">
      <formula>"AMBER"</formula>
    </cfRule>
  </conditionalFormatting>
  <conditionalFormatting sqref="I21">
    <cfRule type="cellIs" dxfId="539" priority="485" operator="equal">
      <formula>"RED"</formula>
    </cfRule>
  </conditionalFormatting>
  <conditionalFormatting sqref="I21">
    <cfRule type="cellIs" dxfId="538" priority="486" operator="equal">
      <formula>"GREEN"</formula>
    </cfRule>
  </conditionalFormatting>
  <conditionalFormatting sqref="I22">
    <cfRule type="cellIs" dxfId="537" priority="487" operator="equal">
      <formula>"AMBER"</formula>
    </cfRule>
  </conditionalFormatting>
  <conditionalFormatting sqref="I22">
    <cfRule type="cellIs" dxfId="536" priority="488" operator="equal">
      <formula>"RED"</formula>
    </cfRule>
  </conditionalFormatting>
  <conditionalFormatting sqref="I22">
    <cfRule type="cellIs" dxfId="535" priority="489" operator="equal">
      <formula>"GREEN"</formula>
    </cfRule>
  </conditionalFormatting>
  <conditionalFormatting sqref="I23">
    <cfRule type="cellIs" dxfId="534" priority="490" operator="equal">
      <formula>"AMBER"</formula>
    </cfRule>
  </conditionalFormatting>
  <conditionalFormatting sqref="I23">
    <cfRule type="cellIs" dxfId="533" priority="491" operator="equal">
      <formula>"RED"</formula>
    </cfRule>
  </conditionalFormatting>
  <conditionalFormatting sqref="I23">
    <cfRule type="cellIs" dxfId="532" priority="492" operator="equal">
      <formula>"GREEN"</formula>
    </cfRule>
  </conditionalFormatting>
  <conditionalFormatting sqref="I24">
    <cfRule type="cellIs" dxfId="531" priority="493" operator="equal">
      <formula>"AMBER"</formula>
    </cfRule>
  </conditionalFormatting>
  <conditionalFormatting sqref="I24">
    <cfRule type="cellIs" dxfId="530" priority="494" operator="equal">
      <formula>"RED"</formula>
    </cfRule>
  </conditionalFormatting>
  <conditionalFormatting sqref="I24">
    <cfRule type="cellIs" dxfId="529" priority="495" operator="equal">
      <formula>"GREEN"</formula>
    </cfRule>
  </conditionalFormatting>
  <conditionalFormatting sqref="I25">
    <cfRule type="cellIs" dxfId="528" priority="496" operator="equal">
      <formula>"AMBER"</formula>
    </cfRule>
  </conditionalFormatting>
  <conditionalFormatting sqref="I25">
    <cfRule type="cellIs" dxfId="527" priority="497" operator="equal">
      <formula>"RED"</formula>
    </cfRule>
  </conditionalFormatting>
  <conditionalFormatting sqref="I25">
    <cfRule type="cellIs" dxfId="526" priority="498" operator="equal">
      <formula>"GREEN"</formula>
    </cfRule>
  </conditionalFormatting>
  <conditionalFormatting sqref="I26">
    <cfRule type="cellIs" dxfId="525" priority="499" operator="equal">
      <formula>"AMBER"</formula>
    </cfRule>
  </conditionalFormatting>
  <conditionalFormatting sqref="I26">
    <cfRule type="cellIs" dxfId="524" priority="500" operator="equal">
      <formula>"RED"</formula>
    </cfRule>
  </conditionalFormatting>
  <conditionalFormatting sqref="I26">
    <cfRule type="cellIs" dxfId="523" priority="501" operator="equal">
      <formula>"GREEN"</formula>
    </cfRule>
  </conditionalFormatting>
  <conditionalFormatting sqref="I27">
    <cfRule type="cellIs" dxfId="522" priority="502" operator="equal">
      <formula>"AMBER"</formula>
    </cfRule>
  </conditionalFormatting>
  <conditionalFormatting sqref="I27">
    <cfRule type="cellIs" dxfId="521" priority="503" operator="equal">
      <formula>"RED"</formula>
    </cfRule>
  </conditionalFormatting>
  <conditionalFormatting sqref="I27">
    <cfRule type="cellIs" dxfId="520" priority="504" operator="equal">
      <formula>"GREEN"</formula>
    </cfRule>
  </conditionalFormatting>
  <conditionalFormatting sqref="I28">
    <cfRule type="cellIs" dxfId="519" priority="505" operator="equal">
      <formula>"AMBER"</formula>
    </cfRule>
  </conditionalFormatting>
  <conditionalFormatting sqref="I28">
    <cfRule type="cellIs" dxfId="518" priority="506" operator="equal">
      <formula>"RED"</formula>
    </cfRule>
  </conditionalFormatting>
  <conditionalFormatting sqref="I28">
    <cfRule type="cellIs" dxfId="517" priority="507" operator="equal">
      <formula>"GREEN"</formula>
    </cfRule>
  </conditionalFormatting>
  <conditionalFormatting sqref="I29">
    <cfRule type="cellIs" dxfId="516" priority="508" operator="equal">
      <formula>"AMBER"</formula>
    </cfRule>
  </conditionalFormatting>
  <conditionalFormatting sqref="I29">
    <cfRule type="cellIs" dxfId="515" priority="509" operator="equal">
      <formula>"RED"</formula>
    </cfRule>
  </conditionalFormatting>
  <conditionalFormatting sqref="I29">
    <cfRule type="cellIs" dxfId="514" priority="510" operator="equal">
      <formula>"GREEN"</formula>
    </cfRule>
  </conditionalFormatting>
  <conditionalFormatting sqref="I30">
    <cfRule type="cellIs" dxfId="513" priority="511" operator="equal">
      <formula>"AMBER"</formula>
    </cfRule>
  </conditionalFormatting>
  <conditionalFormatting sqref="I30">
    <cfRule type="cellIs" dxfId="512" priority="512" operator="equal">
      <formula>"RED"</formula>
    </cfRule>
  </conditionalFormatting>
  <conditionalFormatting sqref="I30">
    <cfRule type="cellIs" dxfId="511" priority="513" operator="equal">
      <formula>"GREEN"</formula>
    </cfRule>
  </conditionalFormatting>
  <conditionalFormatting sqref="I31">
    <cfRule type="cellIs" dxfId="510" priority="514" operator="equal">
      <formula>"AMBER"</formula>
    </cfRule>
  </conditionalFormatting>
  <conditionalFormatting sqref="I31">
    <cfRule type="cellIs" dxfId="509" priority="515" operator="equal">
      <formula>"RED"</formula>
    </cfRule>
  </conditionalFormatting>
  <conditionalFormatting sqref="I31">
    <cfRule type="cellIs" dxfId="508" priority="516" operator="equal">
      <formula>"GREEN"</formula>
    </cfRule>
  </conditionalFormatting>
  <conditionalFormatting sqref="I32">
    <cfRule type="cellIs" dxfId="507" priority="517" operator="equal">
      <formula>"AMBER"</formula>
    </cfRule>
  </conditionalFormatting>
  <conditionalFormatting sqref="I32">
    <cfRule type="cellIs" dxfId="506" priority="518" operator="equal">
      <formula>"RED"</formula>
    </cfRule>
  </conditionalFormatting>
  <conditionalFormatting sqref="I32">
    <cfRule type="cellIs" dxfId="505" priority="519" operator="equal">
      <formula>"GREEN"</formula>
    </cfRule>
  </conditionalFormatting>
  <conditionalFormatting sqref="I33">
    <cfRule type="cellIs" dxfId="504" priority="520" operator="equal">
      <formula>"AMBER"</formula>
    </cfRule>
  </conditionalFormatting>
  <conditionalFormatting sqref="I33">
    <cfRule type="cellIs" dxfId="503" priority="521" operator="equal">
      <formula>"RED"</formula>
    </cfRule>
  </conditionalFormatting>
  <conditionalFormatting sqref="I33">
    <cfRule type="cellIs" dxfId="502" priority="522" operator="equal">
      <formula>"GREEN"</formula>
    </cfRule>
  </conditionalFormatting>
  <conditionalFormatting sqref="I34">
    <cfRule type="cellIs" dxfId="501" priority="523" operator="equal">
      <formula>"AMBER"</formula>
    </cfRule>
  </conditionalFormatting>
  <conditionalFormatting sqref="I34">
    <cfRule type="cellIs" dxfId="500" priority="524" operator="equal">
      <formula>"RED"</formula>
    </cfRule>
  </conditionalFormatting>
  <conditionalFormatting sqref="I34">
    <cfRule type="cellIs" dxfId="499" priority="525" operator="equal">
      <formula>"GREEN"</formula>
    </cfRule>
  </conditionalFormatting>
  <conditionalFormatting sqref="J15">
    <cfRule type="cellIs" dxfId="498" priority="526" operator="equal">
      <formula>"AMBER"</formula>
    </cfRule>
  </conditionalFormatting>
  <conditionalFormatting sqref="J15">
    <cfRule type="cellIs" dxfId="497" priority="527" operator="equal">
      <formula>"RED"</formula>
    </cfRule>
  </conditionalFormatting>
  <conditionalFormatting sqref="J15">
    <cfRule type="cellIs" dxfId="496" priority="528" operator="equal">
      <formula>"GREEN"</formula>
    </cfRule>
  </conditionalFormatting>
  <conditionalFormatting sqref="J16">
    <cfRule type="cellIs" dxfId="495" priority="529" operator="equal">
      <formula>"AMBER"</formula>
    </cfRule>
  </conditionalFormatting>
  <conditionalFormatting sqref="J16">
    <cfRule type="cellIs" dxfId="494" priority="530" operator="equal">
      <formula>"RED"</formula>
    </cfRule>
  </conditionalFormatting>
  <conditionalFormatting sqref="J16">
    <cfRule type="cellIs" dxfId="493" priority="531" operator="equal">
      <formula>"GREEN"</formula>
    </cfRule>
  </conditionalFormatting>
  <conditionalFormatting sqref="J17">
    <cfRule type="cellIs" dxfId="492" priority="532" operator="equal">
      <formula>"AMBER"</formula>
    </cfRule>
  </conditionalFormatting>
  <conditionalFormatting sqref="J17">
    <cfRule type="cellIs" dxfId="491" priority="533" operator="equal">
      <formula>"RED"</formula>
    </cfRule>
  </conditionalFormatting>
  <conditionalFormatting sqref="J17">
    <cfRule type="cellIs" dxfId="490" priority="534" operator="equal">
      <formula>"GREEN"</formula>
    </cfRule>
  </conditionalFormatting>
  <conditionalFormatting sqref="J18">
    <cfRule type="cellIs" dxfId="489" priority="535" operator="equal">
      <formula>"AMBER"</formula>
    </cfRule>
  </conditionalFormatting>
  <conditionalFormatting sqref="J18">
    <cfRule type="cellIs" dxfId="488" priority="536" operator="equal">
      <formula>"RED"</formula>
    </cfRule>
  </conditionalFormatting>
  <conditionalFormatting sqref="J18">
    <cfRule type="cellIs" dxfId="487" priority="537" operator="equal">
      <formula>"GREEN"</formula>
    </cfRule>
  </conditionalFormatting>
  <conditionalFormatting sqref="J19">
    <cfRule type="cellIs" dxfId="486" priority="538" operator="equal">
      <formula>"AMBER"</formula>
    </cfRule>
  </conditionalFormatting>
  <conditionalFormatting sqref="J19">
    <cfRule type="cellIs" dxfId="485" priority="539" operator="equal">
      <formula>"RED"</formula>
    </cfRule>
  </conditionalFormatting>
  <conditionalFormatting sqref="J19">
    <cfRule type="cellIs" dxfId="484" priority="540" operator="equal">
      <formula>"GREEN"</formula>
    </cfRule>
  </conditionalFormatting>
  <conditionalFormatting sqref="J20">
    <cfRule type="cellIs" dxfId="483" priority="541" operator="equal">
      <formula>"AMBER"</formula>
    </cfRule>
  </conditionalFormatting>
  <conditionalFormatting sqref="J20">
    <cfRule type="cellIs" dxfId="482" priority="542" operator="equal">
      <formula>"RED"</formula>
    </cfRule>
  </conditionalFormatting>
  <conditionalFormatting sqref="J20">
    <cfRule type="cellIs" dxfId="481" priority="543" operator="equal">
      <formula>"GREEN"</formula>
    </cfRule>
  </conditionalFormatting>
  <conditionalFormatting sqref="J21">
    <cfRule type="cellIs" dxfId="480" priority="544" operator="equal">
      <formula>"AMBER"</formula>
    </cfRule>
  </conditionalFormatting>
  <conditionalFormatting sqref="J21">
    <cfRule type="cellIs" dxfId="479" priority="545" operator="equal">
      <formula>"RED"</formula>
    </cfRule>
  </conditionalFormatting>
  <conditionalFormatting sqref="J21">
    <cfRule type="cellIs" dxfId="478" priority="546" operator="equal">
      <formula>"GREEN"</formula>
    </cfRule>
  </conditionalFormatting>
  <conditionalFormatting sqref="J22">
    <cfRule type="cellIs" dxfId="477" priority="547" operator="equal">
      <formula>"AMBER"</formula>
    </cfRule>
  </conditionalFormatting>
  <conditionalFormatting sqref="J22">
    <cfRule type="cellIs" dxfId="476" priority="548" operator="equal">
      <formula>"RED"</formula>
    </cfRule>
  </conditionalFormatting>
  <conditionalFormatting sqref="J22">
    <cfRule type="cellIs" dxfId="475" priority="549" operator="equal">
      <formula>"GREEN"</formula>
    </cfRule>
  </conditionalFormatting>
  <conditionalFormatting sqref="J23">
    <cfRule type="cellIs" dxfId="474" priority="550" operator="equal">
      <formula>"AMBER"</formula>
    </cfRule>
  </conditionalFormatting>
  <conditionalFormatting sqref="J23">
    <cfRule type="cellIs" dxfId="473" priority="551" operator="equal">
      <formula>"RED"</formula>
    </cfRule>
  </conditionalFormatting>
  <conditionalFormatting sqref="J23">
    <cfRule type="cellIs" dxfId="472" priority="552" operator="equal">
      <formula>"GREEN"</formula>
    </cfRule>
  </conditionalFormatting>
  <conditionalFormatting sqref="J24">
    <cfRule type="cellIs" dxfId="471" priority="553" operator="equal">
      <formula>"AMBER"</formula>
    </cfRule>
  </conditionalFormatting>
  <conditionalFormatting sqref="J24">
    <cfRule type="cellIs" dxfId="470" priority="554" operator="equal">
      <formula>"RED"</formula>
    </cfRule>
  </conditionalFormatting>
  <conditionalFormatting sqref="J24">
    <cfRule type="cellIs" dxfId="469" priority="555" operator="equal">
      <formula>"GREEN"</formula>
    </cfRule>
  </conditionalFormatting>
  <conditionalFormatting sqref="J25">
    <cfRule type="cellIs" dxfId="468" priority="556" operator="equal">
      <formula>"AMBER"</formula>
    </cfRule>
  </conditionalFormatting>
  <conditionalFormatting sqref="J25">
    <cfRule type="cellIs" dxfId="467" priority="557" operator="equal">
      <formula>"RED"</formula>
    </cfRule>
  </conditionalFormatting>
  <conditionalFormatting sqref="J25">
    <cfRule type="cellIs" dxfId="466" priority="558" operator="equal">
      <formula>"GREEN"</formula>
    </cfRule>
  </conditionalFormatting>
  <conditionalFormatting sqref="J26">
    <cfRule type="cellIs" dxfId="465" priority="559" operator="equal">
      <formula>"AMBER"</formula>
    </cfRule>
  </conditionalFormatting>
  <conditionalFormatting sqref="J26">
    <cfRule type="cellIs" dxfId="464" priority="560" operator="equal">
      <formula>"RED"</formula>
    </cfRule>
  </conditionalFormatting>
  <conditionalFormatting sqref="J26">
    <cfRule type="cellIs" dxfId="463" priority="561" operator="equal">
      <formula>"GREEN"</formula>
    </cfRule>
  </conditionalFormatting>
  <conditionalFormatting sqref="J27">
    <cfRule type="cellIs" dxfId="462" priority="562" operator="equal">
      <formula>"AMBER"</formula>
    </cfRule>
  </conditionalFormatting>
  <conditionalFormatting sqref="J27">
    <cfRule type="cellIs" dxfId="461" priority="563" operator="equal">
      <formula>"RED"</formula>
    </cfRule>
  </conditionalFormatting>
  <conditionalFormatting sqref="J27">
    <cfRule type="cellIs" dxfId="460" priority="564" operator="equal">
      <formula>"GREEN"</formula>
    </cfRule>
  </conditionalFormatting>
  <conditionalFormatting sqref="J28">
    <cfRule type="cellIs" dxfId="459" priority="565" operator="equal">
      <formula>"AMBER"</formula>
    </cfRule>
  </conditionalFormatting>
  <conditionalFormatting sqref="J28">
    <cfRule type="cellIs" dxfId="458" priority="566" operator="equal">
      <formula>"RED"</formula>
    </cfRule>
  </conditionalFormatting>
  <conditionalFormatting sqref="J28">
    <cfRule type="cellIs" dxfId="457" priority="567" operator="equal">
      <formula>"GREEN"</formula>
    </cfRule>
  </conditionalFormatting>
  <conditionalFormatting sqref="J29">
    <cfRule type="cellIs" dxfId="456" priority="568" operator="equal">
      <formula>"AMBER"</formula>
    </cfRule>
  </conditionalFormatting>
  <conditionalFormatting sqref="J29">
    <cfRule type="cellIs" dxfId="455" priority="569" operator="equal">
      <formula>"RED"</formula>
    </cfRule>
  </conditionalFormatting>
  <conditionalFormatting sqref="J29">
    <cfRule type="cellIs" dxfId="454" priority="570" operator="equal">
      <formula>"GREEN"</formula>
    </cfRule>
  </conditionalFormatting>
  <conditionalFormatting sqref="J30">
    <cfRule type="cellIs" dxfId="453" priority="571" operator="equal">
      <formula>"AMBER"</formula>
    </cfRule>
  </conditionalFormatting>
  <conditionalFormatting sqref="J30">
    <cfRule type="cellIs" dxfId="452" priority="572" operator="equal">
      <formula>"RED"</formula>
    </cfRule>
  </conditionalFormatting>
  <conditionalFormatting sqref="J30">
    <cfRule type="cellIs" dxfId="451" priority="573" operator="equal">
      <formula>"GREEN"</formula>
    </cfRule>
  </conditionalFormatting>
  <conditionalFormatting sqref="J31">
    <cfRule type="cellIs" dxfId="450" priority="574" operator="equal">
      <formula>"AMBER"</formula>
    </cfRule>
  </conditionalFormatting>
  <conditionalFormatting sqref="J31">
    <cfRule type="cellIs" dxfId="449" priority="575" operator="equal">
      <formula>"RED"</formula>
    </cfRule>
  </conditionalFormatting>
  <conditionalFormatting sqref="J31">
    <cfRule type="cellIs" dxfId="448" priority="576" operator="equal">
      <formula>"GREEN"</formula>
    </cfRule>
  </conditionalFormatting>
  <conditionalFormatting sqref="J32">
    <cfRule type="cellIs" dxfId="447" priority="577" operator="equal">
      <formula>"AMBER"</formula>
    </cfRule>
  </conditionalFormatting>
  <conditionalFormatting sqref="J32">
    <cfRule type="cellIs" dxfId="446" priority="578" operator="equal">
      <formula>"RED"</formula>
    </cfRule>
  </conditionalFormatting>
  <conditionalFormatting sqref="J32">
    <cfRule type="cellIs" dxfId="445" priority="579" operator="equal">
      <formula>"GREEN"</formula>
    </cfRule>
  </conditionalFormatting>
  <conditionalFormatting sqref="J33">
    <cfRule type="cellIs" dxfId="444" priority="580" operator="equal">
      <formula>"AMBER"</formula>
    </cfRule>
  </conditionalFormatting>
  <conditionalFormatting sqref="J33">
    <cfRule type="cellIs" dxfId="443" priority="581" operator="equal">
      <formula>"RED"</formula>
    </cfRule>
  </conditionalFormatting>
  <conditionalFormatting sqref="J33">
    <cfRule type="cellIs" dxfId="442" priority="582" operator="equal">
      <formula>"GREEN"</formula>
    </cfRule>
  </conditionalFormatting>
  <conditionalFormatting sqref="J34">
    <cfRule type="cellIs" dxfId="441" priority="583" operator="equal">
      <formula>"AMBER"</formula>
    </cfRule>
  </conditionalFormatting>
  <conditionalFormatting sqref="J34">
    <cfRule type="cellIs" dxfId="440" priority="584" operator="equal">
      <formula>"RED"</formula>
    </cfRule>
  </conditionalFormatting>
  <conditionalFormatting sqref="J34">
    <cfRule type="cellIs" dxfId="439" priority="585" operator="equal">
      <formula>"GREEN"</formula>
    </cfRule>
  </conditionalFormatting>
  <conditionalFormatting sqref="K15">
    <cfRule type="cellIs" dxfId="438" priority="586" operator="equal">
      <formula>"AMBER"</formula>
    </cfRule>
  </conditionalFormatting>
  <conditionalFormatting sqref="K15">
    <cfRule type="cellIs" dxfId="437" priority="587" operator="equal">
      <formula>"RED"</formula>
    </cfRule>
  </conditionalFormatting>
  <conditionalFormatting sqref="K15">
    <cfRule type="cellIs" dxfId="436" priority="588" operator="equal">
      <formula>"GREEN"</formula>
    </cfRule>
  </conditionalFormatting>
  <conditionalFormatting sqref="K16">
    <cfRule type="cellIs" dxfId="435" priority="589" operator="equal">
      <formula>"AMBER"</formula>
    </cfRule>
  </conditionalFormatting>
  <conditionalFormatting sqref="K16">
    <cfRule type="cellIs" dxfId="434" priority="590" operator="equal">
      <formula>"RED"</formula>
    </cfRule>
  </conditionalFormatting>
  <conditionalFormatting sqref="K16">
    <cfRule type="cellIs" dxfId="433" priority="591" operator="equal">
      <formula>"GREEN"</formula>
    </cfRule>
  </conditionalFormatting>
  <conditionalFormatting sqref="K17">
    <cfRule type="cellIs" dxfId="432" priority="592" operator="equal">
      <formula>"AMBER"</formula>
    </cfRule>
  </conditionalFormatting>
  <conditionalFormatting sqref="K17">
    <cfRule type="cellIs" dxfId="431" priority="593" operator="equal">
      <formula>"RED"</formula>
    </cfRule>
  </conditionalFormatting>
  <conditionalFormatting sqref="K17">
    <cfRule type="cellIs" dxfId="430" priority="594" operator="equal">
      <formula>"GREEN"</formula>
    </cfRule>
  </conditionalFormatting>
  <conditionalFormatting sqref="K18">
    <cfRule type="cellIs" dxfId="429" priority="595" operator="equal">
      <formula>"AMBER"</formula>
    </cfRule>
  </conditionalFormatting>
  <conditionalFormatting sqref="K18">
    <cfRule type="cellIs" dxfId="428" priority="596" operator="equal">
      <formula>"RED"</formula>
    </cfRule>
  </conditionalFormatting>
  <conditionalFormatting sqref="K18">
    <cfRule type="cellIs" dxfId="427" priority="597" operator="equal">
      <formula>"GREEN"</formula>
    </cfRule>
  </conditionalFormatting>
  <conditionalFormatting sqref="K19">
    <cfRule type="cellIs" dxfId="426" priority="598" operator="equal">
      <formula>"AMBER"</formula>
    </cfRule>
  </conditionalFormatting>
  <conditionalFormatting sqref="K19">
    <cfRule type="cellIs" dxfId="425" priority="599" operator="equal">
      <formula>"RED"</formula>
    </cfRule>
  </conditionalFormatting>
  <conditionalFormatting sqref="K19">
    <cfRule type="cellIs" dxfId="424" priority="600" operator="equal">
      <formula>"GREEN"</formula>
    </cfRule>
  </conditionalFormatting>
  <conditionalFormatting sqref="K20">
    <cfRule type="cellIs" dxfId="423" priority="601" operator="equal">
      <formula>"AMBER"</formula>
    </cfRule>
  </conditionalFormatting>
  <conditionalFormatting sqref="K20">
    <cfRule type="cellIs" dxfId="422" priority="602" operator="equal">
      <formula>"RED"</formula>
    </cfRule>
  </conditionalFormatting>
  <conditionalFormatting sqref="K20">
    <cfRule type="cellIs" dxfId="421" priority="603" operator="equal">
      <formula>"GREEN"</formula>
    </cfRule>
  </conditionalFormatting>
  <conditionalFormatting sqref="K21">
    <cfRule type="cellIs" dxfId="420" priority="604" operator="equal">
      <formula>"AMBER"</formula>
    </cfRule>
  </conditionalFormatting>
  <conditionalFormatting sqref="K21">
    <cfRule type="cellIs" dxfId="419" priority="605" operator="equal">
      <formula>"RED"</formula>
    </cfRule>
  </conditionalFormatting>
  <conditionalFormatting sqref="K21">
    <cfRule type="cellIs" dxfId="418" priority="606" operator="equal">
      <formula>"GREEN"</formula>
    </cfRule>
  </conditionalFormatting>
  <conditionalFormatting sqref="K22">
    <cfRule type="cellIs" dxfId="417" priority="607" operator="equal">
      <formula>"AMBER"</formula>
    </cfRule>
  </conditionalFormatting>
  <conditionalFormatting sqref="K22">
    <cfRule type="cellIs" dxfId="416" priority="608" operator="equal">
      <formula>"RED"</formula>
    </cfRule>
  </conditionalFormatting>
  <conditionalFormatting sqref="K22">
    <cfRule type="cellIs" dxfId="415" priority="609" operator="equal">
      <formula>"GREEN"</formula>
    </cfRule>
  </conditionalFormatting>
  <conditionalFormatting sqref="K23">
    <cfRule type="cellIs" dxfId="414" priority="610" operator="equal">
      <formula>"AMBER"</formula>
    </cfRule>
  </conditionalFormatting>
  <conditionalFormatting sqref="K23">
    <cfRule type="cellIs" dxfId="413" priority="611" operator="equal">
      <formula>"RED"</formula>
    </cfRule>
  </conditionalFormatting>
  <conditionalFormatting sqref="K23">
    <cfRule type="cellIs" dxfId="412" priority="612" operator="equal">
      <formula>"GREEN"</formula>
    </cfRule>
  </conditionalFormatting>
  <conditionalFormatting sqref="K24">
    <cfRule type="cellIs" dxfId="411" priority="613" operator="equal">
      <formula>"AMBER"</formula>
    </cfRule>
  </conditionalFormatting>
  <conditionalFormatting sqref="K24">
    <cfRule type="cellIs" dxfId="410" priority="614" operator="equal">
      <formula>"RED"</formula>
    </cfRule>
  </conditionalFormatting>
  <conditionalFormatting sqref="K24">
    <cfRule type="cellIs" dxfId="409" priority="615" operator="equal">
      <formula>"GREEN"</formula>
    </cfRule>
  </conditionalFormatting>
  <conditionalFormatting sqref="K25">
    <cfRule type="cellIs" dxfId="408" priority="616" operator="equal">
      <formula>"AMBER"</formula>
    </cfRule>
  </conditionalFormatting>
  <conditionalFormatting sqref="K25">
    <cfRule type="cellIs" dxfId="407" priority="617" operator="equal">
      <formula>"RED"</formula>
    </cfRule>
  </conditionalFormatting>
  <conditionalFormatting sqref="K25">
    <cfRule type="cellIs" dxfId="406" priority="618" operator="equal">
      <formula>"GREEN"</formula>
    </cfRule>
  </conditionalFormatting>
  <conditionalFormatting sqref="K26">
    <cfRule type="cellIs" dxfId="405" priority="619" operator="equal">
      <formula>"AMBER"</formula>
    </cfRule>
  </conditionalFormatting>
  <conditionalFormatting sqref="K26">
    <cfRule type="cellIs" dxfId="404" priority="620" operator="equal">
      <formula>"RED"</formula>
    </cfRule>
  </conditionalFormatting>
  <conditionalFormatting sqref="K26">
    <cfRule type="cellIs" dxfId="403" priority="621" operator="equal">
      <formula>"GREEN"</formula>
    </cfRule>
  </conditionalFormatting>
  <conditionalFormatting sqref="K27">
    <cfRule type="cellIs" dxfId="402" priority="622" operator="equal">
      <formula>"AMBER"</formula>
    </cfRule>
  </conditionalFormatting>
  <conditionalFormatting sqref="K27">
    <cfRule type="cellIs" dxfId="401" priority="623" operator="equal">
      <formula>"RED"</formula>
    </cfRule>
  </conditionalFormatting>
  <conditionalFormatting sqref="K27">
    <cfRule type="cellIs" dxfId="400" priority="624" operator="equal">
      <formula>"GREEN"</formula>
    </cfRule>
  </conditionalFormatting>
  <conditionalFormatting sqref="K28">
    <cfRule type="cellIs" dxfId="399" priority="625" operator="equal">
      <formula>"AMBER"</formula>
    </cfRule>
  </conditionalFormatting>
  <conditionalFormatting sqref="K28">
    <cfRule type="cellIs" dxfId="398" priority="626" operator="equal">
      <formula>"RED"</formula>
    </cfRule>
  </conditionalFormatting>
  <conditionalFormatting sqref="K28">
    <cfRule type="cellIs" dxfId="397" priority="627" operator="equal">
      <formula>"GREEN"</formula>
    </cfRule>
  </conditionalFormatting>
  <conditionalFormatting sqref="K29">
    <cfRule type="cellIs" dxfId="396" priority="628" operator="equal">
      <formula>"AMBER"</formula>
    </cfRule>
  </conditionalFormatting>
  <conditionalFormatting sqref="K29">
    <cfRule type="cellIs" dxfId="395" priority="629" operator="equal">
      <formula>"RED"</formula>
    </cfRule>
  </conditionalFormatting>
  <conditionalFormatting sqref="K29">
    <cfRule type="cellIs" dxfId="394" priority="630" operator="equal">
      <formula>"GREEN"</formula>
    </cfRule>
  </conditionalFormatting>
  <conditionalFormatting sqref="K30">
    <cfRule type="cellIs" dxfId="393" priority="631" operator="equal">
      <formula>"AMBER"</formula>
    </cfRule>
  </conditionalFormatting>
  <conditionalFormatting sqref="K30">
    <cfRule type="cellIs" dxfId="392" priority="632" operator="equal">
      <formula>"RED"</formula>
    </cfRule>
  </conditionalFormatting>
  <conditionalFormatting sqref="K30">
    <cfRule type="cellIs" dxfId="391" priority="633" operator="equal">
      <formula>"GREEN"</formula>
    </cfRule>
  </conditionalFormatting>
  <conditionalFormatting sqref="K31">
    <cfRule type="cellIs" dxfId="390" priority="634" operator="equal">
      <formula>"AMBER"</formula>
    </cfRule>
  </conditionalFormatting>
  <conditionalFormatting sqref="K31">
    <cfRule type="cellIs" dxfId="389" priority="635" operator="equal">
      <formula>"RED"</formula>
    </cfRule>
  </conditionalFormatting>
  <conditionalFormatting sqref="K31">
    <cfRule type="cellIs" dxfId="388" priority="636" operator="equal">
      <formula>"GREEN"</formula>
    </cfRule>
  </conditionalFormatting>
  <conditionalFormatting sqref="K32">
    <cfRule type="cellIs" dxfId="387" priority="637" operator="equal">
      <formula>"AMBER"</formula>
    </cfRule>
  </conditionalFormatting>
  <conditionalFormatting sqref="K32">
    <cfRule type="cellIs" dxfId="386" priority="638" operator="equal">
      <formula>"RED"</formula>
    </cfRule>
  </conditionalFormatting>
  <conditionalFormatting sqref="K32">
    <cfRule type="cellIs" dxfId="385" priority="639" operator="equal">
      <formula>"GREEN"</formula>
    </cfRule>
  </conditionalFormatting>
  <conditionalFormatting sqref="K33">
    <cfRule type="cellIs" dxfId="384" priority="640" operator="equal">
      <formula>"AMBER"</formula>
    </cfRule>
  </conditionalFormatting>
  <conditionalFormatting sqref="K33">
    <cfRule type="cellIs" dxfId="383" priority="641" operator="equal">
      <formula>"RED"</formula>
    </cfRule>
  </conditionalFormatting>
  <conditionalFormatting sqref="K33">
    <cfRule type="cellIs" dxfId="382" priority="642" operator="equal">
      <formula>"GREEN"</formula>
    </cfRule>
  </conditionalFormatting>
  <conditionalFormatting sqref="K34">
    <cfRule type="cellIs" dxfId="381" priority="643" operator="equal">
      <formula>"AMBER"</formula>
    </cfRule>
  </conditionalFormatting>
  <conditionalFormatting sqref="K34">
    <cfRule type="cellIs" dxfId="380" priority="644" operator="equal">
      <formula>"RED"</formula>
    </cfRule>
  </conditionalFormatting>
  <conditionalFormatting sqref="K34">
    <cfRule type="cellIs" dxfId="379" priority="645" operator="equal">
      <formula>"GREEN"</formula>
    </cfRule>
  </conditionalFormatting>
  <conditionalFormatting sqref="L15">
    <cfRule type="cellIs" dxfId="378" priority="646" operator="equal">
      <formula>"AMBER"</formula>
    </cfRule>
  </conditionalFormatting>
  <conditionalFormatting sqref="L15">
    <cfRule type="cellIs" dxfId="377" priority="647" operator="equal">
      <formula>"RED"</formula>
    </cfRule>
  </conditionalFormatting>
  <conditionalFormatting sqref="L15">
    <cfRule type="cellIs" dxfId="376" priority="648" operator="equal">
      <formula>"GREEN"</formula>
    </cfRule>
  </conditionalFormatting>
  <conditionalFormatting sqref="L16">
    <cfRule type="cellIs" dxfId="375" priority="649" operator="equal">
      <formula>"AMBER"</formula>
    </cfRule>
  </conditionalFormatting>
  <conditionalFormatting sqref="L16">
    <cfRule type="cellIs" dxfId="374" priority="650" operator="equal">
      <formula>"RED"</formula>
    </cfRule>
  </conditionalFormatting>
  <conditionalFormatting sqref="L16">
    <cfRule type="cellIs" dxfId="373" priority="651" operator="equal">
      <formula>"GREEN"</formula>
    </cfRule>
  </conditionalFormatting>
  <conditionalFormatting sqref="L17">
    <cfRule type="cellIs" dxfId="372" priority="652" operator="equal">
      <formula>"AMBER"</formula>
    </cfRule>
  </conditionalFormatting>
  <conditionalFormatting sqref="L17">
    <cfRule type="cellIs" dxfId="371" priority="653" operator="equal">
      <formula>"RED"</formula>
    </cfRule>
  </conditionalFormatting>
  <conditionalFormatting sqref="L17">
    <cfRule type="cellIs" dxfId="370" priority="654" operator="equal">
      <formula>"GREEN"</formula>
    </cfRule>
  </conditionalFormatting>
  <conditionalFormatting sqref="L18">
    <cfRule type="cellIs" dxfId="369" priority="655" operator="equal">
      <formula>"AMBER"</formula>
    </cfRule>
  </conditionalFormatting>
  <conditionalFormatting sqref="L18">
    <cfRule type="cellIs" dxfId="368" priority="656" operator="equal">
      <formula>"RED"</formula>
    </cfRule>
  </conditionalFormatting>
  <conditionalFormatting sqref="L18">
    <cfRule type="cellIs" dxfId="367" priority="657" operator="equal">
      <formula>"GREEN"</formula>
    </cfRule>
  </conditionalFormatting>
  <conditionalFormatting sqref="L19">
    <cfRule type="cellIs" dxfId="366" priority="658" operator="equal">
      <formula>"AMBER"</formula>
    </cfRule>
  </conditionalFormatting>
  <conditionalFormatting sqref="L19">
    <cfRule type="cellIs" dxfId="365" priority="659" operator="equal">
      <formula>"RED"</formula>
    </cfRule>
  </conditionalFormatting>
  <conditionalFormatting sqref="L19">
    <cfRule type="cellIs" dxfId="364" priority="660" operator="equal">
      <formula>"GREEN"</formula>
    </cfRule>
  </conditionalFormatting>
  <conditionalFormatting sqref="L20">
    <cfRule type="cellIs" dxfId="363" priority="661" operator="equal">
      <formula>"AMBER"</formula>
    </cfRule>
  </conditionalFormatting>
  <conditionalFormatting sqref="L20">
    <cfRule type="cellIs" dxfId="362" priority="662" operator="equal">
      <formula>"RED"</formula>
    </cfRule>
  </conditionalFormatting>
  <conditionalFormatting sqref="L20">
    <cfRule type="cellIs" dxfId="361" priority="663" operator="equal">
      <formula>"GREEN"</formula>
    </cfRule>
  </conditionalFormatting>
  <conditionalFormatting sqref="L21">
    <cfRule type="cellIs" dxfId="360" priority="664" operator="equal">
      <formula>"AMBER"</formula>
    </cfRule>
  </conditionalFormatting>
  <conditionalFormatting sqref="L21">
    <cfRule type="cellIs" dxfId="359" priority="665" operator="equal">
      <formula>"RED"</formula>
    </cfRule>
  </conditionalFormatting>
  <conditionalFormatting sqref="L21">
    <cfRule type="cellIs" dxfId="358" priority="666" operator="equal">
      <formula>"GREEN"</formula>
    </cfRule>
  </conditionalFormatting>
  <conditionalFormatting sqref="L22">
    <cfRule type="cellIs" dxfId="357" priority="667" operator="equal">
      <formula>"AMBER"</formula>
    </cfRule>
  </conditionalFormatting>
  <conditionalFormatting sqref="L22">
    <cfRule type="cellIs" dxfId="356" priority="668" operator="equal">
      <formula>"RED"</formula>
    </cfRule>
  </conditionalFormatting>
  <conditionalFormatting sqref="L22">
    <cfRule type="cellIs" dxfId="355" priority="669" operator="equal">
      <formula>"GREEN"</formula>
    </cfRule>
  </conditionalFormatting>
  <conditionalFormatting sqref="L23">
    <cfRule type="cellIs" dxfId="354" priority="670" operator="equal">
      <formula>"AMBER"</formula>
    </cfRule>
  </conditionalFormatting>
  <conditionalFormatting sqref="L23">
    <cfRule type="cellIs" dxfId="353" priority="671" operator="equal">
      <formula>"RED"</formula>
    </cfRule>
  </conditionalFormatting>
  <conditionalFormatting sqref="L23">
    <cfRule type="cellIs" dxfId="352" priority="672" operator="equal">
      <formula>"GREEN"</formula>
    </cfRule>
  </conditionalFormatting>
  <conditionalFormatting sqref="L24">
    <cfRule type="cellIs" dxfId="351" priority="673" operator="equal">
      <formula>"AMBER"</formula>
    </cfRule>
  </conditionalFormatting>
  <conditionalFormatting sqref="L24">
    <cfRule type="cellIs" dxfId="350" priority="674" operator="equal">
      <formula>"RED"</formula>
    </cfRule>
  </conditionalFormatting>
  <conditionalFormatting sqref="L24">
    <cfRule type="cellIs" dxfId="349" priority="675" operator="equal">
      <formula>"GREEN"</formula>
    </cfRule>
  </conditionalFormatting>
  <conditionalFormatting sqref="L25">
    <cfRule type="cellIs" dxfId="348" priority="676" operator="equal">
      <formula>"AMBER"</formula>
    </cfRule>
  </conditionalFormatting>
  <conditionalFormatting sqref="L25">
    <cfRule type="cellIs" dxfId="347" priority="677" operator="equal">
      <formula>"RED"</formula>
    </cfRule>
  </conditionalFormatting>
  <conditionalFormatting sqref="L25">
    <cfRule type="cellIs" dxfId="346" priority="678" operator="equal">
      <formula>"GREEN"</formula>
    </cfRule>
  </conditionalFormatting>
  <conditionalFormatting sqref="L26">
    <cfRule type="cellIs" dxfId="345" priority="679" operator="equal">
      <formula>"AMBER"</formula>
    </cfRule>
  </conditionalFormatting>
  <conditionalFormatting sqref="L26">
    <cfRule type="cellIs" dxfId="344" priority="680" operator="equal">
      <formula>"RED"</formula>
    </cfRule>
  </conditionalFormatting>
  <conditionalFormatting sqref="L26">
    <cfRule type="cellIs" dxfId="343" priority="681" operator="equal">
      <formula>"GREEN"</formula>
    </cfRule>
  </conditionalFormatting>
  <conditionalFormatting sqref="L27">
    <cfRule type="cellIs" dxfId="342" priority="682" operator="equal">
      <formula>"AMBER"</formula>
    </cfRule>
  </conditionalFormatting>
  <conditionalFormatting sqref="L27">
    <cfRule type="cellIs" dxfId="341" priority="683" operator="equal">
      <formula>"RED"</formula>
    </cfRule>
  </conditionalFormatting>
  <conditionalFormatting sqref="L27">
    <cfRule type="cellIs" dxfId="340" priority="684" operator="equal">
      <formula>"GREEN"</formula>
    </cfRule>
  </conditionalFormatting>
  <conditionalFormatting sqref="L28">
    <cfRule type="cellIs" dxfId="339" priority="685" operator="equal">
      <formula>"AMBER"</formula>
    </cfRule>
  </conditionalFormatting>
  <conditionalFormatting sqref="L28">
    <cfRule type="cellIs" dxfId="338" priority="686" operator="equal">
      <formula>"RED"</formula>
    </cfRule>
  </conditionalFormatting>
  <conditionalFormatting sqref="L28">
    <cfRule type="cellIs" dxfId="337" priority="687" operator="equal">
      <formula>"GREEN"</formula>
    </cfRule>
  </conditionalFormatting>
  <conditionalFormatting sqref="L29">
    <cfRule type="cellIs" dxfId="336" priority="688" operator="equal">
      <formula>"AMBER"</formula>
    </cfRule>
  </conditionalFormatting>
  <conditionalFormatting sqref="L29">
    <cfRule type="cellIs" dxfId="335" priority="689" operator="equal">
      <formula>"RED"</formula>
    </cfRule>
  </conditionalFormatting>
  <conditionalFormatting sqref="L29">
    <cfRule type="cellIs" dxfId="334" priority="690" operator="equal">
      <formula>"GREEN"</formula>
    </cfRule>
  </conditionalFormatting>
  <conditionalFormatting sqref="L30">
    <cfRule type="cellIs" dxfId="333" priority="691" operator="equal">
      <formula>"AMBER"</formula>
    </cfRule>
  </conditionalFormatting>
  <conditionalFormatting sqref="L30">
    <cfRule type="cellIs" dxfId="332" priority="692" operator="equal">
      <formula>"RED"</formula>
    </cfRule>
  </conditionalFormatting>
  <conditionalFormatting sqref="L30">
    <cfRule type="cellIs" dxfId="331" priority="693" operator="equal">
      <formula>"GREEN"</formula>
    </cfRule>
  </conditionalFormatting>
  <conditionalFormatting sqref="L31">
    <cfRule type="cellIs" dxfId="330" priority="694" operator="equal">
      <formula>"AMBER"</formula>
    </cfRule>
  </conditionalFormatting>
  <conditionalFormatting sqref="L31">
    <cfRule type="cellIs" dxfId="329" priority="695" operator="equal">
      <formula>"RED"</formula>
    </cfRule>
  </conditionalFormatting>
  <conditionalFormatting sqref="L31">
    <cfRule type="cellIs" dxfId="328" priority="696" operator="equal">
      <formula>"GREEN"</formula>
    </cfRule>
  </conditionalFormatting>
  <conditionalFormatting sqref="L32">
    <cfRule type="cellIs" dxfId="327" priority="697" operator="equal">
      <formula>"AMBER"</formula>
    </cfRule>
  </conditionalFormatting>
  <conditionalFormatting sqref="L32">
    <cfRule type="cellIs" dxfId="326" priority="698" operator="equal">
      <formula>"RED"</formula>
    </cfRule>
  </conditionalFormatting>
  <conditionalFormatting sqref="L32">
    <cfRule type="cellIs" dxfId="325" priority="699" operator="equal">
      <formula>"GREEN"</formula>
    </cfRule>
  </conditionalFormatting>
  <conditionalFormatting sqref="L33">
    <cfRule type="cellIs" dxfId="324" priority="700" operator="equal">
      <formula>"AMBER"</formula>
    </cfRule>
  </conditionalFormatting>
  <conditionalFormatting sqref="L33">
    <cfRule type="cellIs" dxfId="323" priority="701" operator="equal">
      <formula>"RED"</formula>
    </cfRule>
  </conditionalFormatting>
  <conditionalFormatting sqref="L33">
    <cfRule type="cellIs" dxfId="322" priority="702" operator="equal">
      <formula>"GREEN"</formula>
    </cfRule>
  </conditionalFormatting>
  <conditionalFormatting sqref="L34">
    <cfRule type="cellIs" dxfId="321" priority="703" operator="equal">
      <formula>"AMBER"</formula>
    </cfRule>
  </conditionalFormatting>
  <conditionalFormatting sqref="L34">
    <cfRule type="cellIs" dxfId="320" priority="704" operator="equal">
      <formula>"RED"</formula>
    </cfRule>
  </conditionalFormatting>
  <conditionalFormatting sqref="L34">
    <cfRule type="cellIs" dxfId="319" priority="705" operator="equal">
      <formula>"GREEN"</formula>
    </cfRule>
  </conditionalFormatting>
  <conditionalFormatting sqref="M15">
    <cfRule type="cellIs" dxfId="318" priority="706" operator="equal">
      <formula>"AMBER"</formula>
    </cfRule>
  </conditionalFormatting>
  <conditionalFormatting sqref="M15">
    <cfRule type="cellIs" dxfId="317" priority="707" operator="equal">
      <formula>"RED"</formula>
    </cfRule>
  </conditionalFormatting>
  <conditionalFormatting sqref="M15">
    <cfRule type="cellIs" dxfId="316" priority="708" operator="equal">
      <formula>"GREEN"</formula>
    </cfRule>
  </conditionalFormatting>
  <conditionalFormatting sqref="M16">
    <cfRule type="cellIs" dxfId="315" priority="709" operator="equal">
      <formula>"AMBER"</formula>
    </cfRule>
  </conditionalFormatting>
  <conditionalFormatting sqref="M16">
    <cfRule type="cellIs" dxfId="314" priority="710" operator="equal">
      <formula>"RED"</formula>
    </cfRule>
  </conditionalFormatting>
  <conditionalFormatting sqref="M16">
    <cfRule type="cellIs" dxfId="313" priority="711" operator="equal">
      <formula>"GREEN"</formula>
    </cfRule>
  </conditionalFormatting>
  <conditionalFormatting sqref="M17">
    <cfRule type="cellIs" dxfId="312" priority="712" operator="equal">
      <formula>"AMBER"</formula>
    </cfRule>
  </conditionalFormatting>
  <conditionalFormatting sqref="M17">
    <cfRule type="cellIs" dxfId="311" priority="713" operator="equal">
      <formula>"RED"</formula>
    </cfRule>
  </conditionalFormatting>
  <conditionalFormatting sqref="M17">
    <cfRule type="cellIs" dxfId="310" priority="714" operator="equal">
      <formula>"GREEN"</formula>
    </cfRule>
  </conditionalFormatting>
  <conditionalFormatting sqref="M18">
    <cfRule type="cellIs" dxfId="309" priority="715" operator="equal">
      <formula>"AMBER"</formula>
    </cfRule>
  </conditionalFormatting>
  <conditionalFormatting sqref="M18">
    <cfRule type="cellIs" dxfId="308" priority="716" operator="equal">
      <formula>"RED"</formula>
    </cfRule>
  </conditionalFormatting>
  <conditionalFormatting sqref="M18">
    <cfRule type="cellIs" dxfId="307" priority="717" operator="equal">
      <formula>"GREEN"</formula>
    </cfRule>
  </conditionalFormatting>
  <conditionalFormatting sqref="M19">
    <cfRule type="cellIs" dxfId="306" priority="718" operator="equal">
      <formula>"AMBER"</formula>
    </cfRule>
  </conditionalFormatting>
  <conditionalFormatting sqref="M19">
    <cfRule type="cellIs" dxfId="305" priority="719" operator="equal">
      <formula>"RED"</formula>
    </cfRule>
  </conditionalFormatting>
  <conditionalFormatting sqref="M19">
    <cfRule type="cellIs" dxfId="304" priority="720" operator="equal">
      <formula>"GREEN"</formula>
    </cfRule>
  </conditionalFormatting>
  <conditionalFormatting sqref="M20">
    <cfRule type="cellIs" dxfId="303" priority="721" operator="equal">
      <formula>"AMBER"</formula>
    </cfRule>
  </conditionalFormatting>
  <conditionalFormatting sqref="M20">
    <cfRule type="cellIs" dxfId="302" priority="722" operator="equal">
      <formula>"RED"</formula>
    </cfRule>
  </conditionalFormatting>
  <conditionalFormatting sqref="M20">
    <cfRule type="cellIs" dxfId="301" priority="723" operator="equal">
      <formula>"GREEN"</formula>
    </cfRule>
  </conditionalFormatting>
  <conditionalFormatting sqref="M21">
    <cfRule type="cellIs" dxfId="300" priority="724" operator="equal">
      <formula>"AMBER"</formula>
    </cfRule>
  </conditionalFormatting>
  <conditionalFormatting sqref="M21">
    <cfRule type="cellIs" dxfId="299" priority="725" operator="equal">
      <formula>"RED"</formula>
    </cfRule>
  </conditionalFormatting>
  <conditionalFormatting sqref="M21">
    <cfRule type="cellIs" dxfId="298" priority="726" operator="equal">
      <formula>"GREEN"</formula>
    </cfRule>
  </conditionalFormatting>
  <conditionalFormatting sqref="M22">
    <cfRule type="cellIs" dxfId="297" priority="727" operator="equal">
      <formula>"AMBER"</formula>
    </cfRule>
  </conditionalFormatting>
  <conditionalFormatting sqref="M22">
    <cfRule type="cellIs" dxfId="296" priority="728" operator="equal">
      <formula>"RED"</formula>
    </cfRule>
  </conditionalFormatting>
  <conditionalFormatting sqref="M22">
    <cfRule type="cellIs" dxfId="295" priority="729" operator="equal">
      <formula>"GREEN"</formula>
    </cfRule>
  </conditionalFormatting>
  <conditionalFormatting sqref="M23">
    <cfRule type="cellIs" dxfId="294" priority="730" operator="equal">
      <formula>"AMBER"</formula>
    </cfRule>
  </conditionalFormatting>
  <conditionalFormatting sqref="M23">
    <cfRule type="cellIs" dxfId="293" priority="731" operator="equal">
      <formula>"RED"</formula>
    </cfRule>
  </conditionalFormatting>
  <conditionalFormatting sqref="M23">
    <cfRule type="cellIs" dxfId="292" priority="732" operator="equal">
      <formula>"GREEN"</formula>
    </cfRule>
  </conditionalFormatting>
  <conditionalFormatting sqref="M24">
    <cfRule type="cellIs" dxfId="291" priority="733" operator="equal">
      <formula>"AMBER"</formula>
    </cfRule>
  </conditionalFormatting>
  <conditionalFormatting sqref="M24">
    <cfRule type="cellIs" dxfId="290" priority="734" operator="equal">
      <formula>"RED"</formula>
    </cfRule>
  </conditionalFormatting>
  <conditionalFormatting sqref="M24">
    <cfRule type="cellIs" dxfId="289" priority="735" operator="equal">
      <formula>"GREEN"</formula>
    </cfRule>
  </conditionalFormatting>
  <conditionalFormatting sqref="M25">
    <cfRule type="cellIs" dxfId="288" priority="736" operator="equal">
      <formula>"AMBER"</formula>
    </cfRule>
  </conditionalFormatting>
  <conditionalFormatting sqref="M25">
    <cfRule type="cellIs" dxfId="287" priority="737" operator="equal">
      <formula>"RED"</formula>
    </cfRule>
  </conditionalFormatting>
  <conditionalFormatting sqref="M25">
    <cfRule type="cellIs" dxfId="286" priority="738" operator="equal">
      <formula>"GREEN"</formula>
    </cfRule>
  </conditionalFormatting>
  <conditionalFormatting sqref="M26">
    <cfRule type="cellIs" dxfId="285" priority="739" operator="equal">
      <formula>"AMBER"</formula>
    </cfRule>
  </conditionalFormatting>
  <conditionalFormatting sqref="M26">
    <cfRule type="cellIs" dxfId="284" priority="740" operator="equal">
      <formula>"RED"</formula>
    </cfRule>
  </conditionalFormatting>
  <conditionalFormatting sqref="M26">
    <cfRule type="cellIs" dxfId="283" priority="741" operator="equal">
      <formula>"GREEN"</formula>
    </cfRule>
  </conditionalFormatting>
  <conditionalFormatting sqref="M27">
    <cfRule type="cellIs" dxfId="282" priority="742" operator="equal">
      <formula>"AMBER"</formula>
    </cfRule>
  </conditionalFormatting>
  <conditionalFormatting sqref="M27">
    <cfRule type="cellIs" dxfId="281" priority="743" operator="equal">
      <formula>"RED"</formula>
    </cfRule>
  </conditionalFormatting>
  <conditionalFormatting sqref="M27">
    <cfRule type="cellIs" dxfId="280" priority="744" operator="equal">
      <formula>"GREEN"</formula>
    </cfRule>
  </conditionalFormatting>
  <conditionalFormatting sqref="M28">
    <cfRule type="cellIs" dxfId="279" priority="745" operator="equal">
      <formula>"AMBER"</formula>
    </cfRule>
  </conditionalFormatting>
  <conditionalFormatting sqref="M28">
    <cfRule type="cellIs" dxfId="278" priority="746" operator="equal">
      <formula>"RED"</formula>
    </cfRule>
  </conditionalFormatting>
  <conditionalFormatting sqref="M28">
    <cfRule type="cellIs" dxfId="277" priority="747" operator="equal">
      <formula>"GREEN"</formula>
    </cfRule>
  </conditionalFormatting>
  <conditionalFormatting sqref="M29">
    <cfRule type="cellIs" dxfId="276" priority="748" operator="equal">
      <formula>"AMBER"</formula>
    </cfRule>
  </conditionalFormatting>
  <conditionalFormatting sqref="M29">
    <cfRule type="cellIs" dxfId="275" priority="749" operator="equal">
      <formula>"RED"</formula>
    </cfRule>
  </conditionalFormatting>
  <conditionalFormatting sqref="M29">
    <cfRule type="cellIs" dxfId="274" priority="750" operator="equal">
      <formula>"GREEN"</formula>
    </cfRule>
  </conditionalFormatting>
  <conditionalFormatting sqref="M30">
    <cfRule type="cellIs" dxfId="273" priority="751" operator="equal">
      <formula>"AMBER"</formula>
    </cfRule>
  </conditionalFormatting>
  <conditionalFormatting sqref="M30">
    <cfRule type="cellIs" dxfId="272" priority="752" operator="equal">
      <formula>"RED"</formula>
    </cfRule>
  </conditionalFormatting>
  <conditionalFormatting sqref="M30">
    <cfRule type="cellIs" dxfId="271" priority="753" operator="equal">
      <formula>"GREEN"</formula>
    </cfRule>
  </conditionalFormatting>
  <conditionalFormatting sqref="M31">
    <cfRule type="cellIs" dxfId="270" priority="754" operator="equal">
      <formula>"AMBER"</formula>
    </cfRule>
  </conditionalFormatting>
  <conditionalFormatting sqref="M31">
    <cfRule type="cellIs" dxfId="269" priority="755" operator="equal">
      <formula>"RED"</formula>
    </cfRule>
  </conditionalFormatting>
  <conditionalFormatting sqref="M31">
    <cfRule type="cellIs" dxfId="268" priority="756" operator="equal">
      <formula>"GREEN"</formula>
    </cfRule>
  </conditionalFormatting>
  <conditionalFormatting sqref="M32">
    <cfRule type="cellIs" dxfId="267" priority="757" operator="equal">
      <formula>"AMBER"</formula>
    </cfRule>
  </conditionalFormatting>
  <conditionalFormatting sqref="M32">
    <cfRule type="cellIs" dxfId="266" priority="758" operator="equal">
      <formula>"RED"</formula>
    </cfRule>
  </conditionalFormatting>
  <conditionalFormatting sqref="M32">
    <cfRule type="cellIs" dxfId="265" priority="759" operator="equal">
      <formula>"GREEN"</formula>
    </cfRule>
  </conditionalFormatting>
  <conditionalFormatting sqref="M33">
    <cfRule type="cellIs" dxfId="264" priority="760" operator="equal">
      <formula>"AMBER"</formula>
    </cfRule>
  </conditionalFormatting>
  <conditionalFormatting sqref="M33">
    <cfRule type="cellIs" dxfId="263" priority="761" operator="equal">
      <formula>"RED"</formula>
    </cfRule>
  </conditionalFormatting>
  <conditionalFormatting sqref="M33">
    <cfRule type="cellIs" dxfId="262" priority="762" operator="equal">
      <formula>"GREEN"</formula>
    </cfRule>
  </conditionalFormatting>
  <conditionalFormatting sqref="M34">
    <cfRule type="cellIs" dxfId="261" priority="763" operator="equal">
      <formula>"AMBER"</formula>
    </cfRule>
  </conditionalFormatting>
  <conditionalFormatting sqref="M34">
    <cfRule type="cellIs" dxfId="260" priority="764" operator="equal">
      <formula>"RED"</formula>
    </cfRule>
  </conditionalFormatting>
  <conditionalFormatting sqref="M34">
    <cfRule type="cellIs" dxfId="259" priority="765" operator="equal">
      <formula>"GREEN"</formula>
    </cfRule>
  </conditionalFormatting>
  <conditionalFormatting sqref="N15">
    <cfRule type="cellIs" dxfId="258" priority="766" operator="equal">
      <formula>"AMBER"</formula>
    </cfRule>
  </conditionalFormatting>
  <conditionalFormatting sqref="N15">
    <cfRule type="cellIs" dxfId="257" priority="767" operator="equal">
      <formula>"RED"</formula>
    </cfRule>
  </conditionalFormatting>
  <conditionalFormatting sqref="N15">
    <cfRule type="cellIs" dxfId="256" priority="768" operator="equal">
      <formula>"GREEN"</formula>
    </cfRule>
  </conditionalFormatting>
  <conditionalFormatting sqref="N16">
    <cfRule type="cellIs" dxfId="255" priority="769" operator="equal">
      <formula>"AMBER"</formula>
    </cfRule>
  </conditionalFormatting>
  <conditionalFormatting sqref="N16">
    <cfRule type="cellIs" dxfId="254" priority="770" operator="equal">
      <formula>"RED"</formula>
    </cfRule>
  </conditionalFormatting>
  <conditionalFormatting sqref="N16">
    <cfRule type="cellIs" dxfId="253" priority="771" operator="equal">
      <formula>"GREEN"</formula>
    </cfRule>
  </conditionalFormatting>
  <conditionalFormatting sqref="N17">
    <cfRule type="cellIs" dxfId="252" priority="772" operator="equal">
      <formula>"AMBER"</formula>
    </cfRule>
  </conditionalFormatting>
  <conditionalFormatting sqref="N17">
    <cfRule type="cellIs" dxfId="251" priority="773" operator="equal">
      <formula>"RED"</formula>
    </cfRule>
  </conditionalFormatting>
  <conditionalFormatting sqref="N17">
    <cfRule type="cellIs" dxfId="250" priority="774" operator="equal">
      <formula>"GREEN"</formula>
    </cfRule>
  </conditionalFormatting>
  <conditionalFormatting sqref="N18">
    <cfRule type="cellIs" dxfId="249" priority="775" operator="equal">
      <formula>"AMBER"</formula>
    </cfRule>
  </conditionalFormatting>
  <conditionalFormatting sqref="N18">
    <cfRule type="cellIs" dxfId="248" priority="776" operator="equal">
      <formula>"RED"</formula>
    </cfRule>
  </conditionalFormatting>
  <conditionalFormatting sqref="N18">
    <cfRule type="cellIs" dxfId="247" priority="777" operator="equal">
      <formula>"GREEN"</formula>
    </cfRule>
  </conditionalFormatting>
  <conditionalFormatting sqref="N19">
    <cfRule type="cellIs" dxfId="246" priority="778" operator="equal">
      <formula>"AMBER"</formula>
    </cfRule>
  </conditionalFormatting>
  <conditionalFormatting sqref="N19">
    <cfRule type="cellIs" dxfId="245" priority="779" operator="equal">
      <formula>"RED"</formula>
    </cfRule>
  </conditionalFormatting>
  <conditionalFormatting sqref="N19">
    <cfRule type="cellIs" dxfId="244" priority="780" operator="equal">
      <formula>"GREEN"</formula>
    </cfRule>
  </conditionalFormatting>
  <conditionalFormatting sqref="N20">
    <cfRule type="cellIs" dxfId="243" priority="781" operator="equal">
      <formula>"AMBER"</formula>
    </cfRule>
  </conditionalFormatting>
  <conditionalFormatting sqref="N20">
    <cfRule type="cellIs" dxfId="242" priority="782" operator="equal">
      <formula>"RED"</formula>
    </cfRule>
  </conditionalFormatting>
  <conditionalFormatting sqref="N20">
    <cfRule type="cellIs" dxfId="241" priority="783" operator="equal">
      <formula>"GREEN"</formula>
    </cfRule>
  </conditionalFormatting>
  <conditionalFormatting sqref="N21">
    <cfRule type="cellIs" dxfId="240" priority="784" operator="equal">
      <formula>"AMBER"</formula>
    </cfRule>
  </conditionalFormatting>
  <conditionalFormatting sqref="N21">
    <cfRule type="cellIs" dxfId="239" priority="785" operator="equal">
      <formula>"RED"</formula>
    </cfRule>
  </conditionalFormatting>
  <conditionalFormatting sqref="N21">
    <cfRule type="cellIs" dxfId="238" priority="786" operator="equal">
      <formula>"GREEN"</formula>
    </cfRule>
  </conditionalFormatting>
  <conditionalFormatting sqref="N22">
    <cfRule type="cellIs" dxfId="237" priority="787" operator="equal">
      <formula>"AMBER"</formula>
    </cfRule>
  </conditionalFormatting>
  <conditionalFormatting sqref="N22">
    <cfRule type="cellIs" dxfId="236" priority="788" operator="equal">
      <formula>"RED"</formula>
    </cfRule>
  </conditionalFormatting>
  <conditionalFormatting sqref="N22">
    <cfRule type="cellIs" dxfId="235" priority="789" operator="equal">
      <formula>"GREEN"</formula>
    </cfRule>
  </conditionalFormatting>
  <conditionalFormatting sqref="N23">
    <cfRule type="cellIs" dxfId="234" priority="790" operator="equal">
      <formula>"AMBER"</formula>
    </cfRule>
  </conditionalFormatting>
  <conditionalFormatting sqref="N23">
    <cfRule type="cellIs" dxfId="233" priority="791" operator="equal">
      <formula>"RED"</formula>
    </cfRule>
  </conditionalFormatting>
  <conditionalFormatting sqref="N23">
    <cfRule type="cellIs" dxfId="232" priority="792" operator="equal">
      <formula>"GREEN"</formula>
    </cfRule>
  </conditionalFormatting>
  <conditionalFormatting sqref="N24">
    <cfRule type="cellIs" dxfId="231" priority="793" operator="equal">
      <formula>"AMBER"</formula>
    </cfRule>
  </conditionalFormatting>
  <conditionalFormatting sqref="N24">
    <cfRule type="cellIs" dxfId="230" priority="794" operator="equal">
      <formula>"RED"</formula>
    </cfRule>
  </conditionalFormatting>
  <conditionalFormatting sqref="N24">
    <cfRule type="cellIs" dxfId="229" priority="795" operator="equal">
      <formula>"GREEN"</formula>
    </cfRule>
  </conditionalFormatting>
  <conditionalFormatting sqref="N25">
    <cfRule type="cellIs" dxfId="228" priority="796" operator="equal">
      <formula>"AMBER"</formula>
    </cfRule>
  </conditionalFormatting>
  <conditionalFormatting sqref="N25">
    <cfRule type="cellIs" dxfId="227" priority="797" operator="equal">
      <formula>"RED"</formula>
    </cfRule>
  </conditionalFormatting>
  <conditionalFormatting sqref="N25">
    <cfRule type="cellIs" dxfId="226" priority="798" operator="equal">
      <formula>"GREEN"</formula>
    </cfRule>
  </conditionalFormatting>
  <conditionalFormatting sqref="N26">
    <cfRule type="cellIs" dxfId="225" priority="799" operator="equal">
      <formula>"AMBER"</formula>
    </cfRule>
  </conditionalFormatting>
  <conditionalFormatting sqref="N26">
    <cfRule type="cellIs" dxfId="224" priority="800" operator="equal">
      <formula>"RED"</formula>
    </cfRule>
  </conditionalFormatting>
  <conditionalFormatting sqref="N26">
    <cfRule type="cellIs" dxfId="223" priority="801" operator="equal">
      <formula>"GREEN"</formula>
    </cfRule>
  </conditionalFormatting>
  <conditionalFormatting sqref="N27">
    <cfRule type="cellIs" dxfId="222" priority="802" operator="equal">
      <formula>"AMBER"</formula>
    </cfRule>
  </conditionalFormatting>
  <conditionalFormatting sqref="N27">
    <cfRule type="cellIs" dxfId="221" priority="803" operator="equal">
      <formula>"RED"</formula>
    </cfRule>
  </conditionalFormatting>
  <conditionalFormatting sqref="N27">
    <cfRule type="cellIs" dxfId="220" priority="804" operator="equal">
      <formula>"GREEN"</formula>
    </cfRule>
  </conditionalFormatting>
  <conditionalFormatting sqref="N28">
    <cfRule type="cellIs" dxfId="219" priority="805" operator="equal">
      <formula>"AMBER"</formula>
    </cfRule>
  </conditionalFormatting>
  <conditionalFormatting sqref="N28">
    <cfRule type="cellIs" dxfId="218" priority="806" operator="equal">
      <formula>"RED"</formula>
    </cfRule>
  </conditionalFormatting>
  <conditionalFormatting sqref="N28">
    <cfRule type="cellIs" dxfId="217" priority="807" operator="equal">
      <formula>"GREEN"</formula>
    </cfRule>
  </conditionalFormatting>
  <conditionalFormatting sqref="N29">
    <cfRule type="cellIs" dxfId="216" priority="808" operator="equal">
      <formula>"AMBER"</formula>
    </cfRule>
  </conditionalFormatting>
  <conditionalFormatting sqref="N29">
    <cfRule type="cellIs" dxfId="215" priority="809" operator="equal">
      <formula>"RED"</formula>
    </cfRule>
  </conditionalFormatting>
  <conditionalFormatting sqref="N29">
    <cfRule type="cellIs" dxfId="214" priority="810" operator="equal">
      <formula>"GREEN"</formula>
    </cfRule>
  </conditionalFormatting>
  <conditionalFormatting sqref="N30">
    <cfRule type="cellIs" dxfId="213" priority="811" operator="equal">
      <formula>"AMBER"</formula>
    </cfRule>
  </conditionalFormatting>
  <conditionalFormatting sqref="N30">
    <cfRule type="cellIs" dxfId="212" priority="812" operator="equal">
      <formula>"RED"</formula>
    </cfRule>
  </conditionalFormatting>
  <conditionalFormatting sqref="N30">
    <cfRule type="cellIs" dxfId="211" priority="813" operator="equal">
      <formula>"GREEN"</formula>
    </cfRule>
  </conditionalFormatting>
  <conditionalFormatting sqref="N31">
    <cfRule type="cellIs" dxfId="210" priority="814" operator="equal">
      <formula>"AMBER"</formula>
    </cfRule>
  </conditionalFormatting>
  <conditionalFormatting sqref="N31">
    <cfRule type="cellIs" dxfId="209" priority="815" operator="equal">
      <formula>"RED"</formula>
    </cfRule>
  </conditionalFormatting>
  <conditionalFormatting sqref="N31">
    <cfRule type="cellIs" dxfId="208" priority="816" operator="equal">
      <formula>"GREEN"</formula>
    </cfRule>
  </conditionalFormatting>
  <conditionalFormatting sqref="N32">
    <cfRule type="cellIs" dxfId="207" priority="817" operator="equal">
      <formula>"AMBER"</formula>
    </cfRule>
  </conditionalFormatting>
  <conditionalFormatting sqref="N32">
    <cfRule type="cellIs" dxfId="206" priority="818" operator="equal">
      <formula>"RED"</formula>
    </cfRule>
  </conditionalFormatting>
  <conditionalFormatting sqref="N32">
    <cfRule type="cellIs" dxfId="205" priority="819" operator="equal">
      <formula>"GREEN"</formula>
    </cfRule>
  </conditionalFormatting>
  <conditionalFormatting sqref="N33">
    <cfRule type="cellIs" dxfId="204" priority="820" operator="equal">
      <formula>"AMBER"</formula>
    </cfRule>
  </conditionalFormatting>
  <conditionalFormatting sqref="N33">
    <cfRule type="cellIs" dxfId="203" priority="821" operator="equal">
      <formula>"RED"</formula>
    </cfRule>
  </conditionalFormatting>
  <conditionalFormatting sqref="N33">
    <cfRule type="cellIs" dxfId="202" priority="822" operator="equal">
      <formula>"GREEN"</formula>
    </cfRule>
  </conditionalFormatting>
  <conditionalFormatting sqref="N34">
    <cfRule type="cellIs" dxfId="201" priority="823" operator="equal">
      <formula>"AMBER"</formula>
    </cfRule>
  </conditionalFormatting>
  <conditionalFormatting sqref="N34">
    <cfRule type="cellIs" dxfId="200" priority="824" operator="equal">
      <formula>"RED"</formula>
    </cfRule>
  </conditionalFormatting>
  <conditionalFormatting sqref="N34">
    <cfRule type="cellIs" dxfId="199" priority="825" operator="equal">
      <formula>"GREEN"</formula>
    </cfRule>
  </conditionalFormatting>
  <conditionalFormatting sqref="C20">
    <cfRule type="cellIs" dxfId="198" priority="3" operator="equal">
      <formula>"AMBER"</formula>
    </cfRule>
  </conditionalFormatting>
  <conditionalFormatting sqref="C20">
    <cfRule type="cellIs" dxfId="197" priority="2" operator="equal">
      <formula>"RED"</formula>
    </cfRule>
  </conditionalFormatting>
  <conditionalFormatting sqref="C20">
    <cfRule type="cellIs" dxfId="196" priority="1" operator="equal">
      <formula>"GREEN"</formula>
    </cfRule>
  </conditionalFormatting>
  <dataValidations count="36">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19">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0">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1">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2">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3">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4">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5">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6">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7">
      <formula1>-1000</formula1>
      <formula2>1000</formula2>
    </dataValidation>
    <dataValidation type="whole" allowBlank="1" showInputMessage="1" showErrorMessage="1" promptTitle="Dollars impact" prompt="No. of whole dollars impact on the whole project. Use - (minus) if the project will cost less." sqref="E19">
      <formula1>-1000000</formula1>
      <formula2>1000000</formula2>
    </dataValidation>
    <dataValidation type="whole" allowBlank="1" showInputMessage="1" showErrorMessage="1" promptTitle="Dollars impact" prompt="No. of whole dollars impact on the whole project. Use - (minus) if the project will cost less." sqref="E20">
      <formula1>-1000000</formula1>
      <formula2>1000000</formula2>
    </dataValidation>
    <dataValidation type="whole" allowBlank="1" showInputMessage="1" showErrorMessage="1" promptTitle="Dollars impact" prompt="No. of whole dollars impact on the whole project. Use - (minus) if the project will cost less." sqref="E21">
      <formula1>-1000000</formula1>
      <formula2>1000000</formula2>
    </dataValidation>
    <dataValidation type="whole" allowBlank="1" showInputMessage="1" showErrorMessage="1" promptTitle="Dollars impact" prompt="No. of whole dollars impact on the whole project. Use - (minus) if the project will cost less." sqref="E22">
      <formula1>-1000000</formula1>
      <formula2>1000000</formula2>
    </dataValidation>
    <dataValidation type="whole" allowBlank="1" showInputMessage="1" showErrorMessage="1" promptTitle="Dollars impact" prompt="No. of whole dollars impact on the whole project. Use - (minus) if the project will cost less." sqref="E23">
      <formula1>-1000000</formula1>
      <formula2>1000000</formula2>
    </dataValidation>
    <dataValidation type="whole" allowBlank="1" showInputMessage="1" showErrorMessage="1" promptTitle="Dollars impact" prompt="No. of whole dollars impact on the whole project. Use - (minus) if the project will cost less." sqref="E24">
      <formula1>-1000000</formula1>
      <formula2>1000000</formula2>
    </dataValidation>
    <dataValidation type="whole" allowBlank="1" showInputMessage="1" showErrorMessage="1" promptTitle="Dollars impact" prompt="No. of whole dollars impact on the whole project. Use - (minus) if the project will cost less." sqref="E25">
      <formula1>-1000000</formula1>
      <formula2>1000000</formula2>
    </dataValidation>
    <dataValidation type="whole" allowBlank="1" showInputMessage="1" showErrorMessage="1" promptTitle="Dollars impact" prompt="No. of whole dollars impact on the whole project. Use - (minus) if the project will cost less." sqref="E26">
      <formula1>-1000000</formula1>
      <formula2>1000000</formula2>
    </dataValidation>
    <dataValidation type="whole" allowBlank="1" showInputMessage="1" showErrorMessage="1" promptTitle="Dollars impact" prompt="No. of whole dollars impact on the whole project. Use - (minus) if the project will cost less." sqref="E27">
      <formula1>-1000000</formula1>
      <formula2>1000000</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 type="date" allowBlank="1" showInputMessage="1" showErrorMessage="1" sqref="F27">
      <formula1>EarliestDate</formula1>
      <formula2>LatestDate</formula2>
    </dataValidation>
    <dataValidation type="date" allowBlank="1" showInputMessage="1" showErrorMessage="1" sqref="I19">
      <formula1>EarliestDate</formula1>
      <formula2>LatestDate</formula2>
    </dataValidation>
    <dataValidation type="date" allowBlank="1" showInputMessage="1" showErrorMessage="1" sqref="I20">
      <formula1>EarliestDate</formula1>
      <formula2>LatestDate</formula2>
    </dataValidation>
    <dataValidation type="date" allowBlank="1" showInputMessage="1" showErrorMessage="1" sqref="I21">
      <formula1>EarliestDate</formula1>
      <formula2>LatestDate</formula2>
    </dataValidation>
    <dataValidation type="date" allowBlank="1" showInputMessage="1" showErrorMessage="1" sqref="I22">
      <formula1>EarliestDate</formula1>
      <formula2>LatestDate</formula2>
    </dataValidation>
    <dataValidation type="date" allowBlank="1" showInputMessage="1" showErrorMessage="1" sqref="I23">
      <formula1>EarliestDate</formula1>
      <formula2>LatestDate</formula2>
    </dataValidation>
    <dataValidation type="date" allowBlank="1" showInputMessage="1" showErrorMessage="1" sqref="I24">
      <formula1>EarliestDate</formula1>
      <formula2>LatestDate</formula2>
    </dataValidation>
    <dataValidation type="date" allowBlank="1" showInputMessage="1" showErrorMessage="1" sqref="I25">
      <formula1>EarliestDate</formula1>
      <formula2>LatestDate</formula2>
    </dataValidation>
    <dataValidation type="date" allowBlank="1" showInputMessage="1" showErrorMessage="1" sqref="I26">
      <formula1>EarliestDate</formula1>
      <formula2>LatestDate</formula2>
    </dataValidation>
    <dataValidation type="date" allowBlank="1" showInputMessage="1" showErrorMessage="1" sqref="I27">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scale="77" orientation="landscape" r:id="rId1"/>
</worksheet>
</file>

<file path=xl/worksheets/sheet6.xml><?xml version="1.0" encoding="utf-8"?>
<worksheet xmlns="http://schemas.openxmlformats.org/spreadsheetml/2006/main" xmlns:r="http://schemas.openxmlformats.org/officeDocument/2006/relationships">
  <sheetPr>
    <pageSetUpPr fitToPage="1"/>
  </sheetPr>
  <dimension ref="A1:O60"/>
  <sheetViews>
    <sheetView showGridLines="0" topLeftCell="A22" workbookViewId="0">
      <selection activeCell="F24" sqref="F24"/>
    </sheetView>
  </sheetViews>
  <sheetFormatPr defaultColWidth="10.85546875" defaultRowHeight="12.75"/>
  <cols>
    <col min="1" max="1" width="14" style="65" customWidth="1"/>
    <col min="2" max="2" width="30.42578125" style="65" customWidth="1"/>
    <col min="3" max="3" width="32.85546875" style="65" customWidth="1"/>
    <col min="4" max="4" width="11.85546875" style="65" customWidth="1"/>
    <col min="5" max="5" width="15.28515625" style="65" customWidth="1"/>
    <col min="6" max="6" width="31.42578125" style="65" customWidth="1"/>
    <col min="7" max="7" width="15.28515625" style="65" hidden="1" customWidth="1"/>
    <col min="8" max="8" width="10.85546875" style="65"/>
  </cols>
  <sheetData>
    <row r="1" spans="1:15">
      <c r="A1" s="60" t="s">
        <v>0</v>
      </c>
      <c r="B1" s="199" t="str">
        <f>OVERALLLIGHT</f>
        <v>AMBER</v>
      </c>
    </row>
    <row r="2" spans="1:15">
      <c r="A2" s="61" t="s">
        <v>1</v>
      </c>
      <c r="B2" s="200" t="str">
        <f>MILESTONELIGHT</f>
        <v>RED</v>
      </c>
    </row>
    <row r="3" spans="1:15">
      <c r="A3" s="61" t="s">
        <v>2</v>
      </c>
      <c r="B3" s="200" t="str">
        <f>ISSUELIGHT</f>
        <v>GREEN</v>
      </c>
    </row>
    <row r="4" spans="1:15">
      <c r="A4" s="61" t="s">
        <v>3</v>
      </c>
      <c r="B4" s="200" t="str">
        <f>RISKLIGHT</f>
        <v>GREEN</v>
      </c>
    </row>
    <row r="5" spans="1:15">
      <c r="A5" s="61" t="s">
        <v>4</v>
      </c>
      <c r="B5" s="200" t="str">
        <f>CHANGELIGHT</f>
        <v>GREEN</v>
      </c>
    </row>
    <row r="6" spans="1:15">
      <c r="A6" s="61" t="s">
        <v>5</v>
      </c>
      <c r="B6" s="201" t="str">
        <f>DEPENDENCYLIGHT</f>
        <v/>
      </c>
    </row>
    <row r="7" spans="1:15">
      <c r="A7" s="61" t="s">
        <v>6</v>
      </c>
      <c r="B7" s="201" t="str">
        <f>MEASURELIGHT</f>
        <v/>
      </c>
    </row>
    <row r="8" spans="1:15" ht="15">
      <c r="A8" s="61" t="s">
        <v>7</v>
      </c>
      <c r="B8" s="200" t="str">
        <f>COMMUNICATIONLIGHT</f>
        <v>GREEN</v>
      </c>
      <c r="D8" s="102"/>
    </row>
    <row r="9" spans="1:15" ht="15">
      <c r="A9" s="61" t="s">
        <v>8</v>
      </c>
      <c r="B9" s="202" t="str">
        <f>FINANCELIGHT</f>
        <v>GREEN</v>
      </c>
      <c r="D9" s="102"/>
    </row>
    <row r="10" spans="1:15">
      <c r="A10" s="72"/>
      <c r="B10" s="203"/>
      <c r="O10" s="71"/>
    </row>
    <row r="11" spans="1:15" ht="15.95" customHeight="1">
      <c r="A11" s="72"/>
      <c r="B11" s="204" t="str">
        <f>ProjNo</f>
        <v>RT029</v>
      </c>
      <c r="C11" s="205" t="str">
        <f>ProjName</f>
        <v>Cloud Based Bioinformatics Tools</v>
      </c>
      <c r="O11" s="71"/>
    </row>
    <row r="12" spans="1:15" ht="15.95" customHeight="1">
      <c r="A12" s="72"/>
      <c r="B12" s="206" t="s">
        <v>42</v>
      </c>
      <c r="C12" s="207">
        <f>ReportFrom</f>
        <v>41244</v>
      </c>
      <c r="D12" s="208"/>
      <c r="O12" s="71"/>
    </row>
    <row r="13" spans="1:15" ht="15.95" customHeight="1">
      <c r="A13" s="72"/>
      <c r="B13" s="209" t="s">
        <v>43</v>
      </c>
      <c r="C13" s="210">
        <f>LastDateReport</f>
        <v>41334</v>
      </c>
      <c r="D13" s="208"/>
      <c r="O13" s="71"/>
    </row>
    <row r="14" spans="1:15" ht="6" customHeight="1">
      <c r="A14" s="72"/>
      <c r="B14" s="211"/>
      <c r="C14" s="212"/>
      <c r="D14" s="208"/>
      <c r="O14" s="71"/>
    </row>
    <row r="15" spans="1:15" ht="18.95" customHeight="1">
      <c r="B15" s="94" t="s">
        <v>151</v>
      </c>
      <c r="C15" s="94"/>
      <c r="D15" s="94"/>
      <c r="E15" s="94"/>
      <c r="F15" s="94"/>
    </row>
    <row r="16" spans="1:15" ht="15.95" customHeight="1">
      <c r="B16" s="509" t="s">
        <v>152</v>
      </c>
      <c r="C16" s="509"/>
      <c r="D16" s="509"/>
      <c r="E16" s="509"/>
      <c r="F16" s="91"/>
    </row>
    <row r="17" spans="1:7" ht="15.95" customHeight="1">
      <c r="B17" s="510"/>
      <c r="C17" s="510"/>
      <c r="D17" s="510"/>
      <c r="E17" s="510"/>
      <c r="F17" s="213"/>
    </row>
    <row r="18" spans="1:7" ht="44.1" customHeight="1">
      <c r="B18" s="227" t="s">
        <v>153</v>
      </c>
      <c r="C18" s="227" t="s">
        <v>154</v>
      </c>
      <c r="D18" s="227" t="s">
        <v>155</v>
      </c>
      <c r="E18" s="227" t="s">
        <v>156</v>
      </c>
      <c r="F18" s="227" t="s">
        <v>33</v>
      </c>
      <c r="G18" s="214" t="s">
        <v>157</v>
      </c>
    </row>
    <row r="19" spans="1:7" ht="42" customHeight="1">
      <c r="A19" s="109" t="s">
        <v>48</v>
      </c>
      <c r="B19" s="281" t="s">
        <v>158</v>
      </c>
      <c r="C19" s="281" t="s">
        <v>159</v>
      </c>
      <c r="D19" s="282">
        <v>41000</v>
      </c>
      <c r="E19" s="281" t="s">
        <v>160</v>
      </c>
      <c r="F19" s="370" t="s">
        <v>373</v>
      </c>
      <c r="G19" s="96"/>
    </row>
    <row r="20" spans="1:7" ht="44.1" customHeight="1">
      <c r="B20" s="281" t="s">
        <v>161</v>
      </c>
      <c r="C20" s="281" t="s">
        <v>162</v>
      </c>
      <c r="D20" s="282">
        <v>41122</v>
      </c>
      <c r="E20" s="281" t="s">
        <v>163</v>
      </c>
      <c r="F20" s="366"/>
      <c r="G20" s="96"/>
    </row>
    <row r="21" spans="1:7" ht="44.1" customHeight="1">
      <c r="B21" s="281" t="s">
        <v>164</v>
      </c>
      <c r="C21" s="281" t="s">
        <v>165</v>
      </c>
      <c r="D21" s="282"/>
      <c r="E21" s="281" t="s">
        <v>166</v>
      </c>
      <c r="F21" s="366" t="s">
        <v>167</v>
      </c>
      <c r="G21" s="96"/>
    </row>
    <row r="22" spans="1:7" ht="44.1" customHeight="1">
      <c r="B22" s="281" t="s">
        <v>168</v>
      </c>
      <c r="C22" s="281" t="s">
        <v>169</v>
      </c>
      <c r="D22" s="282">
        <v>41122</v>
      </c>
      <c r="E22" s="281" t="s">
        <v>163</v>
      </c>
      <c r="F22" s="366" t="s">
        <v>170</v>
      </c>
      <c r="G22" s="96"/>
    </row>
    <row r="23" spans="1:7" ht="42" customHeight="1">
      <c r="B23" s="281" t="s">
        <v>171</v>
      </c>
      <c r="C23" s="281" t="s">
        <v>172</v>
      </c>
      <c r="D23" s="282">
        <v>41091</v>
      </c>
      <c r="E23" s="281" t="s">
        <v>163</v>
      </c>
      <c r="F23" s="366" t="s">
        <v>377</v>
      </c>
      <c r="G23" s="96"/>
    </row>
    <row r="24" spans="1:7" ht="44.1" customHeight="1">
      <c r="B24" s="281"/>
      <c r="C24" s="281"/>
      <c r="D24" s="282"/>
      <c r="E24" s="281"/>
      <c r="F24" s="281"/>
      <c r="G24" s="96" t="str">
        <f>IF(B24&gt;0,"New Dependency","")</f>
        <v/>
      </c>
    </row>
    <row r="25" spans="1:7" ht="44.1" customHeight="1">
      <c r="B25" s="281"/>
      <c r="C25" s="281"/>
      <c r="D25" s="282"/>
      <c r="E25" s="281"/>
      <c r="F25" s="281"/>
      <c r="G25" s="96" t="str">
        <f>IF(B25&gt;0,"New Dependency","")</f>
        <v/>
      </c>
    </row>
    <row r="26" spans="1:7" ht="44.1" customHeight="1">
      <c r="B26" s="281"/>
      <c r="C26" s="281"/>
      <c r="D26" s="282"/>
      <c r="E26" s="281"/>
      <c r="F26" s="281"/>
      <c r="G26" s="96" t="str">
        <f>IF(B26&gt;0,"New Dependency","")</f>
        <v/>
      </c>
    </row>
    <row r="27" spans="1:7" ht="44.1" customHeight="1">
      <c r="B27" s="281"/>
      <c r="C27" s="281"/>
      <c r="D27" s="282"/>
      <c r="E27" s="281"/>
      <c r="F27" s="281"/>
      <c r="G27" s="96" t="str">
        <f>IF(B27&gt;0,"New Dependency","")</f>
        <v/>
      </c>
    </row>
    <row r="28" spans="1:7" ht="44.1" customHeight="1">
      <c r="B28" s="281"/>
      <c r="C28" s="281"/>
      <c r="D28" s="281"/>
      <c r="E28" s="281"/>
      <c r="F28" s="281"/>
      <c r="G28" s="96" t="str">
        <f>IF(B28&gt;0,"New Dependency","")</f>
        <v/>
      </c>
    </row>
    <row r="29" spans="1:7">
      <c r="B29" s="100"/>
      <c r="C29" s="100"/>
      <c r="D29" s="100"/>
      <c r="E29" s="100"/>
      <c r="F29" s="100"/>
    </row>
    <row r="30" spans="1:7" ht="14.1" customHeight="1">
      <c r="B30" s="507" t="s">
        <v>28</v>
      </c>
      <c r="C30" s="507"/>
      <c r="D30" s="507"/>
      <c r="E30" s="507"/>
    </row>
    <row r="42" spans="3:3">
      <c r="C42" s="72"/>
    </row>
    <row r="43" spans="3:3">
      <c r="C43" s="215"/>
    </row>
    <row r="44" spans="3:3">
      <c r="C44" s="72"/>
    </row>
    <row r="45" spans="3:3">
      <c r="C45" s="72"/>
    </row>
    <row r="46" spans="3:3">
      <c r="C46" s="72"/>
    </row>
    <row r="47" spans="3:3">
      <c r="C47" s="72"/>
    </row>
    <row r="48" spans="3:3">
      <c r="C48" s="72"/>
    </row>
    <row r="49" spans="2:3">
      <c r="C49" s="72"/>
    </row>
    <row r="50" spans="2:3">
      <c r="C50" s="72"/>
    </row>
    <row r="52" spans="2:3">
      <c r="B52" s="72"/>
    </row>
    <row r="53" spans="2:3">
      <c r="B53" s="72"/>
    </row>
    <row r="54" spans="2:3">
      <c r="B54" s="72"/>
    </row>
    <row r="55" spans="2:3">
      <c r="B55" s="72"/>
    </row>
    <row r="56" spans="2:3">
      <c r="B56" s="72"/>
    </row>
    <row r="57" spans="2:3">
      <c r="B57" s="72"/>
    </row>
    <row r="58" spans="2:3">
      <c r="B58" s="72"/>
    </row>
    <row r="59" spans="2:3">
      <c r="B59" s="72"/>
    </row>
    <row r="60" spans="2:3">
      <c r="B60" s="72"/>
    </row>
  </sheetData>
  <sheetProtection sheet="1" formatColumns="0" selectLockedCells="1"/>
  <mergeCells count="3">
    <mergeCell ref="B16:E16"/>
    <mergeCell ref="B17:E17"/>
    <mergeCell ref="B30:E30"/>
  </mergeCells>
  <conditionalFormatting sqref="B1">
    <cfRule type="cellIs" dxfId="195" priority="1" operator="equal">
      <formula>"AMBER"</formula>
    </cfRule>
  </conditionalFormatting>
  <conditionalFormatting sqref="B1">
    <cfRule type="cellIs" dxfId="194" priority="2" operator="equal">
      <formula>"RED"</formula>
    </cfRule>
  </conditionalFormatting>
  <conditionalFormatting sqref="B1">
    <cfRule type="cellIs" dxfId="193" priority="3" operator="equal">
      <formula>"GREEN"</formula>
    </cfRule>
  </conditionalFormatting>
  <conditionalFormatting sqref="B2">
    <cfRule type="cellIs" dxfId="192" priority="4" operator="equal">
      <formula>"AMBER"</formula>
    </cfRule>
  </conditionalFormatting>
  <conditionalFormatting sqref="B2">
    <cfRule type="cellIs" dxfId="191" priority="5" operator="equal">
      <formula>"RED"</formula>
    </cfRule>
  </conditionalFormatting>
  <conditionalFormatting sqref="B2">
    <cfRule type="cellIs" dxfId="190" priority="6" operator="equal">
      <formula>"GREEN"</formula>
    </cfRule>
  </conditionalFormatting>
  <conditionalFormatting sqref="B3">
    <cfRule type="cellIs" dxfId="189" priority="7" operator="equal">
      <formula>"AMBER"</formula>
    </cfRule>
  </conditionalFormatting>
  <conditionalFormatting sqref="B3">
    <cfRule type="cellIs" dxfId="188" priority="8" operator="equal">
      <formula>"RED"</formula>
    </cfRule>
  </conditionalFormatting>
  <conditionalFormatting sqref="B3">
    <cfRule type="cellIs" dxfId="187" priority="9" operator="equal">
      <formula>"GREEN"</formula>
    </cfRule>
  </conditionalFormatting>
  <conditionalFormatting sqref="B4">
    <cfRule type="cellIs" dxfId="186" priority="10" operator="equal">
      <formula>"AMBER"</formula>
    </cfRule>
  </conditionalFormatting>
  <conditionalFormatting sqref="B4">
    <cfRule type="cellIs" dxfId="185" priority="11" operator="equal">
      <formula>"RED"</formula>
    </cfRule>
  </conditionalFormatting>
  <conditionalFormatting sqref="B4">
    <cfRule type="cellIs" dxfId="184" priority="12" operator="equal">
      <formula>"GREEN"</formula>
    </cfRule>
  </conditionalFormatting>
  <conditionalFormatting sqref="B5">
    <cfRule type="cellIs" dxfId="183" priority="13" operator="equal">
      <formula>"AMBER"</formula>
    </cfRule>
  </conditionalFormatting>
  <conditionalFormatting sqref="B5">
    <cfRule type="cellIs" dxfId="182" priority="14" operator="equal">
      <formula>"RED"</formula>
    </cfRule>
  </conditionalFormatting>
  <conditionalFormatting sqref="B5">
    <cfRule type="cellIs" dxfId="181" priority="15" operator="equal">
      <formula>"GREEN"</formula>
    </cfRule>
  </conditionalFormatting>
  <conditionalFormatting sqref="B6">
    <cfRule type="cellIs" dxfId="180" priority="16" operator="equal">
      <formula>"AMBER"</formula>
    </cfRule>
  </conditionalFormatting>
  <conditionalFormatting sqref="B6">
    <cfRule type="cellIs" dxfId="179" priority="17" operator="equal">
      <formula>"RED"</formula>
    </cfRule>
  </conditionalFormatting>
  <conditionalFormatting sqref="B6">
    <cfRule type="cellIs" dxfId="178" priority="18" operator="equal">
      <formula>"GREEN"</formula>
    </cfRule>
  </conditionalFormatting>
  <conditionalFormatting sqref="B7">
    <cfRule type="cellIs" dxfId="177" priority="19" operator="equal">
      <formula>"AMBER"</formula>
    </cfRule>
  </conditionalFormatting>
  <conditionalFormatting sqref="B7">
    <cfRule type="cellIs" dxfId="176" priority="20" operator="equal">
      <formula>"RED"</formula>
    </cfRule>
  </conditionalFormatting>
  <conditionalFormatting sqref="B7">
    <cfRule type="cellIs" dxfId="175" priority="21" operator="equal">
      <formula>"GREEN"</formula>
    </cfRule>
  </conditionalFormatting>
  <conditionalFormatting sqref="B8">
    <cfRule type="cellIs" dxfId="174" priority="22" operator="equal">
      <formula>"AMBER"</formula>
    </cfRule>
  </conditionalFormatting>
  <conditionalFormatting sqref="B8">
    <cfRule type="cellIs" dxfId="173" priority="23" operator="equal">
      <formula>"RED"</formula>
    </cfRule>
  </conditionalFormatting>
  <conditionalFormatting sqref="B8">
    <cfRule type="cellIs" dxfId="172" priority="24" operator="equal">
      <formula>"GREEN"</formula>
    </cfRule>
  </conditionalFormatting>
  <conditionalFormatting sqref="B9">
    <cfRule type="cellIs" dxfId="171" priority="25" operator="equal">
      <formula>"AMBER"</formula>
    </cfRule>
  </conditionalFormatting>
  <conditionalFormatting sqref="B9">
    <cfRule type="cellIs" dxfId="170" priority="26" operator="equal">
      <formula>"RED"</formula>
    </cfRule>
  </conditionalFormatting>
  <conditionalFormatting sqref="B9">
    <cfRule type="cellIs" dxfId="169" priority="27" operator="equal">
      <formula>"GREEN"</formula>
    </cfRule>
  </conditionalFormatting>
  <dataValidations count="10">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D27">
      <formula1>EarliestDate</formula1>
      <formula2>LatestDate</formula2>
    </dataValidation>
    <dataValidation type="date" allowBlank="1" showInputMessage="1" showErrorMessage="1" sqref="D28">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0" location="Legend!A1" display="See Legend"/>
  </hyperlinks>
  <pageMargins left="0.75" right="0.75" top="1" bottom="1" header="0.5" footer="0.5"/>
  <pageSetup paperSize="9" scale="75" orientation="landscape" r:id="rId1"/>
  <legacyDrawing r:id="rId2"/>
</worksheet>
</file>

<file path=xl/worksheets/sheet7.xml><?xml version="1.0" encoding="utf-8"?>
<worksheet xmlns="http://schemas.openxmlformats.org/spreadsheetml/2006/main" xmlns:r="http://schemas.openxmlformats.org/officeDocument/2006/relationships">
  <sheetPr>
    <pageSetUpPr fitToPage="1"/>
  </sheetPr>
  <dimension ref="A1:R50"/>
  <sheetViews>
    <sheetView showGridLines="0" topLeftCell="A13" zoomScale="75" zoomScaleNormal="75" workbookViewId="0">
      <selection activeCell="R23" sqref="R23"/>
    </sheetView>
  </sheetViews>
  <sheetFormatPr defaultColWidth="11.42578125" defaultRowHeight="12.75"/>
  <cols>
    <col min="1" max="1" width="14" style="4" customWidth="1"/>
    <col min="2" max="2" width="11.7109375" customWidth="1"/>
    <col min="3" max="3" width="39.140625" style="4" customWidth="1"/>
    <col min="4" max="4" width="15.42578125" style="5" customWidth="1"/>
    <col min="5" max="6" width="16.28515625" style="5" customWidth="1"/>
    <col min="7" max="7" width="10.28515625" style="5" customWidth="1"/>
    <col min="8" max="8" width="10.28515625" customWidth="1"/>
    <col min="9" max="9" width="10.28515625" style="5" customWidth="1"/>
    <col min="10" max="10" width="10.28515625" customWidth="1"/>
    <col min="11" max="11" width="10.28515625" style="5" customWidth="1"/>
    <col min="12" max="12" width="10.28515625" customWidth="1"/>
  </cols>
  <sheetData>
    <row r="1" spans="1:18" s="4" customFormat="1">
      <c r="A1" s="60" t="s">
        <v>0</v>
      </c>
      <c r="B1" s="38" t="str">
        <f>OVERALLLIGHT</f>
        <v>AMBER</v>
      </c>
      <c r="D1" s="5"/>
      <c r="E1" s="5"/>
      <c r="F1" s="5"/>
      <c r="G1" s="5"/>
      <c r="I1" s="5"/>
      <c r="K1" s="5"/>
    </row>
    <row r="2" spans="1:18" s="4" customFormat="1">
      <c r="A2" s="61" t="s">
        <v>1</v>
      </c>
      <c r="B2" s="39" t="str">
        <f>MILESTONELIGHT</f>
        <v>RED</v>
      </c>
      <c r="D2" s="5"/>
      <c r="E2" s="5"/>
      <c r="F2" s="5"/>
      <c r="G2" s="5"/>
      <c r="I2" s="5"/>
      <c r="K2" s="5"/>
    </row>
    <row r="3" spans="1:18" s="4" customFormat="1">
      <c r="A3" s="61" t="s">
        <v>2</v>
      </c>
      <c r="B3" s="39" t="str">
        <f>ISSUELIGHT</f>
        <v>GREEN</v>
      </c>
      <c r="D3" s="5"/>
      <c r="E3" s="5"/>
      <c r="F3" s="5"/>
      <c r="G3" s="5"/>
      <c r="I3" s="5"/>
      <c r="K3" s="5"/>
    </row>
    <row r="4" spans="1:18" s="4" customFormat="1">
      <c r="A4" s="61" t="s">
        <v>3</v>
      </c>
      <c r="B4" s="39" t="str">
        <f>RISKLIGHT</f>
        <v>GREEN</v>
      </c>
      <c r="D4" s="5"/>
      <c r="E4" s="5"/>
      <c r="F4" s="5"/>
      <c r="G4" s="5"/>
      <c r="I4" s="5"/>
      <c r="K4" s="5"/>
    </row>
    <row r="5" spans="1:18" s="4" customFormat="1">
      <c r="A5" s="61" t="s">
        <v>4</v>
      </c>
      <c r="B5" s="39" t="str">
        <f>CHANGELIGHT</f>
        <v>GREEN</v>
      </c>
      <c r="D5" s="5"/>
      <c r="E5" s="5"/>
      <c r="F5" s="5"/>
      <c r="G5" s="5"/>
      <c r="I5" s="5"/>
      <c r="K5" s="5"/>
    </row>
    <row r="6" spans="1:18" s="4" customFormat="1">
      <c r="A6" s="61" t="s">
        <v>5</v>
      </c>
      <c r="B6" s="40" t="str">
        <f>DEPENDENCYLIGHT</f>
        <v/>
      </c>
      <c r="D6" s="5"/>
      <c r="E6" s="5"/>
      <c r="F6" s="5"/>
      <c r="G6" s="5"/>
      <c r="I6" s="5"/>
      <c r="K6" s="5"/>
    </row>
    <row r="7" spans="1:18" s="4" customFormat="1">
      <c r="A7" s="61" t="s">
        <v>6</v>
      </c>
      <c r="B7" s="40" t="str">
        <f>MEASURELIGHT</f>
        <v/>
      </c>
      <c r="D7" s="5"/>
      <c r="E7" s="5"/>
      <c r="F7" s="5"/>
      <c r="G7" s="5"/>
      <c r="I7" s="5"/>
      <c r="K7" s="5"/>
    </row>
    <row r="8" spans="1:18" s="4" customFormat="1" ht="15">
      <c r="A8" s="61" t="s">
        <v>7</v>
      </c>
      <c r="B8" s="39" t="str">
        <f>COMMUNICATIONLIGHT</f>
        <v>GREEN</v>
      </c>
      <c r="D8" s="5"/>
      <c r="E8" s="5"/>
      <c r="F8" s="5"/>
      <c r="G8" s="5"/>
      <c r="H8" s="16"/>
      <c r="I8" s="16"/>
      <c r="K8" s="5"/>
    </row>
    <row r="9" spans="1:18" s="4" customFormat="1" ht="15">
      <c r="A9" s="61" t="s">
        <v>8</v>
      </c>
      <c r="B9" s="41" t="str">
        <f>FINANCELIGHT</f>
        <v>GREEN</v>
      </c>
      <c r="D9" s="5"/>
      <c r="E9" s="5"/>
      <c r="F9" s="5"/>
      <c r="G9" s="5"/>
      <c r="H9" s="16"/>
      <c r="I9" s="16"/>
      <c r="K9" s="5"/>
    </row>
    <row r="10" spans="1:18" s="5" customFormat="1">
      <c r="A10" s="61"/>
      <c r="B10" s="132"/>
      <c r="R10" s="10"/>
    </row>
    <row r="11" spans="1:18" s="5" customFormat="1" ht="27.95" customHeight="1">
      <c r="A11" s="21" t="s">
        <v>48</v>
      </c>
      <c r="B11" s="130" t="str">
        <f>ProjNo</f>
        <v>RT029</v>
      </c>
      <c r="C11" s="131" t="str">
        <f>ProjName</f>
        <v>Cloud Based Bioinformatics Tools</v>
      </c>
      <c r="D11" s="126"/>
      <c r="E11" s="126"/>
      <c r="F11" s="126"/>
      <c r="G11" s="126"/>
      <c r="R11" s="10"/>
    </row>
    <row r="12" spans="1:18" s="5" customFormat="1" ht="15.95" customHeight="1">
      <c r="A12" s="61"/>
      <c r="B12" s="128" t="s">
        <v>42</v>
      </c>
      <c r="C12" s="133">
        <f>ReportFrom</f>
        <v>41244</v>
      </c>
      <c r="D12" s="133"/>
      <c r="E12" s="133"/>
      <c r="F12" s="133"/>
      <c r="G12" s="133"/>
      <c r="H12" s="125"/>
      <c r="I12" s="125"/>
      <c r="R12" s="10"/>
    </row>
    <row r="13" spans="1:18" s="5" customFormat="1" ht="15.95" customHeight="1">
      <c r="A13" s="61"/>
      <c r="B13" s="129" t="s">
        <v>43</v>
      </c>
      <c r="C13" s="134">
        <f>LastDateReport</f>
        <v>41334</v>
      </c>
      <c r="D13" s="133"/>
      <c r="E13" s="133"/>
      <c r="F13" s="133"/>
      <c r="G13" s="133"/>
      <c r="H13" s="125"/>
      <c r="I13" s="125"/>
      <c r="R13" s="10"/>
    </row>
    <row r="14" spans="1:18" s="5" customFormat="1" ht="6" customHeight="1">
      <c r="A14" s="61"/>
      <c r="B14" s="126"/>
      <c r="C14" s="127"/>
      <c r="D14" s="127"/>
      <c r="E14" s="127"/>
      <c r="F14" s="127"/>
      <c r="G14" s="127"/>
      <c r="H14" s="125"/>
      <c r="I14" s="125"/>
      <c r="R14" s="10"/>
    </row>
    <row r="15" spans="1:18" ht="18.95" customHeight="1">
      <c r="B15" s="12" t="s">
        <v>173</v>
      </c>
      <c r="C15" s="12"/>
      <c r="D15" s="12"/>
      <c r="E15" s="12"/>
      <c r="F15" s="12"/>
      <c r="G15" s="12"/>
      <c r="H15" s="30"/>
      <c r="I15" s="30"/>
    </row>
    <row r="16" spans="1:18" ht="15.95" customHeight="1">
      <c r="B16" s="509" t="s">
        <v>174</v>
      </c>
      <c r="C16" s="509"/>
      <c r="D16" s="509"/>
      <c r="E16" s="509"/>
      <c r="F16" s="509"/>
      <c r="G16" s="509"/>
      <c r="H16" s="509"/>
      <c r="I16" s="124"/>
    </row>
    <row r="17" spans="2:18" s="4" customFormat="1" ht="15" customHeight="1">
      <c r="B17" s="137"/>
      <c r="C17" s="137"/>
      <c r="D17" s="137"/>
      <c r="E17" s="137"/>
      <c r="F17" s="137"/>
      <c r="G17" s="137"/>
      <c r="H17" s="138"/>
      <c r="I17" s="138"/>
      <c r="K17" s="5"/>
    </row>
    <row r="18" spans="2:18" s="5" customFormat="1" ht="33.950000000000003" customHeight="1">
      <c r="B18" s="137"/>
      <c r="C18" s="137"/>
      <c r="D18" s="137"/>
      <c r="E18" s="137"/>
      <c r="F18" s="137"/>
      <c r="G18" s="513" t="s">
        <v>175</v>
      </c>
      <c r="H18" s="514"/>
      <c r="I18" s="513" t="s">
        <v>176</v>
      </c>
      <c r="J18" s="514"/>
      <c r="K18" s="513" t="s">
        <v>177</v>
      </c>
      <c r="L18" s="514"/>
      <c r="M18" s="511" t="s">
        <v>178</v>
      </c>
      <c r="N18" s="512"/>
      <c r="O18" s="511" t="s">
        <v>179</v>
      </c>
      <c r="P18" s="512"/>
      <c r="Q18" s="511" t="s">
        <v>180</v>
      </c>
      <c r="R18" s="512"/>
    </row>
    <row r="19" spans="2:18" ht="32.1" customHeight="1">
      <c r="B19" s="139" t="s">
        <v>181</v>
      </c>
      <c r="C19" s="140" t="s">
        <v>182</v>
      </c>
      <c r="D19" s="140" t="s">
        <v>183</v>
      </c>
      <c r="E19" s="142" t="s">
        <v>184</v>
      </c>
      <c r="F19" s="217" t="s">
        <v>185</v>
      </c>
      <c r="G19" s="216" t="s">
        <v>186</v>
      </c>
      <c r="H19" s="144" t="s">
        <v>187</v>
      </c>
      <c r="I19" s="143" t="s">
        <v>186</v>
      </c>
      <c r="J19" s="144" t="s">
        <v>187</v>
      </c>
      <c r="K19" s="143" t="s">
        <v>186</v>
      </c>
      <c r="L19" s="144" t="s">
        <v>187</v>
      </c>
      <c r="M19" s="143" t="s">
        <v>186</v>
      </c>
      <c r="N19" s="144" t="s">
        <v>187</v>
      </c>
      <c r="O19" s="143" t="s">
        <v>186</v>
      </c>
      <c r="P19" s="144" t="s">
        <v>187</v>
      </c>
      <c r="Q19" s="143" t="s">
        <v>186</v>
      </c>
      <c r="R19" s="144" t="s">
        <v>187</v>
      </c>
    </row>
    <row r="20" spans="2:18" s="4" customFormat="1" ht="27.95" customHeight="1">
      <c r="B20" s="283">
        <v>1</v>
      </c>
      <c r="C20" s="283" t="s">
        <v>65</v>
      </c>
      <c r="D20" s="284">
        <v>41044</v>
      </c>
      <c r="E20" s="285">
        <v>41044</v>
      </c>
      <c r="F20" s="286" t="s">
        <v>188</v>
      </c>
      <c r="G20" s="287">
        <v>5</v>
      </c>
      <c r="H20" s="146">
        <v>15</v>
      </c>
      <c r="I20" s="145" t="s">
        <v>189</v>
      </c>
      <c r="J20" s="148" t="s">
        <v>189</v>
      </c>
      <c r="K20" s="145"/>
      <c r="L20" s="147"/>
      <c r="M20" s="145"/>
      <c r="N20" s="146"/>
      <c r="O20" s="145"/>
      <c r="P20" s="147">
        <v>1</v>
      </c>
      <c r="Q20" s="145">
        <v>25000</v>
      </c>
      <c r="R20" s="369">
        <v>32500</v>
      </c>
    </row>
    <row r="21" spans="2:18" ht="27.95" customHeight="1">
      <c r="B21" s="283">
        <v>2</v>
      </c>
      <c r="C21" s="288" t="s">
        <v>69</v>
      </c>
      <c r="D21" s="284">
        <v>41075</v>
      </c>
      <c r="E21" s="285">
        <v>41136</v>
      </c>
      <c r="F21" s="286" t="s">
        <v>190</v>
      </c>
      <c r="G21" s="287"/>
      <c r="H21" s="146">
        <v>0</v>
      </c>
      <c r="I21" s="145"/>
      <c r="J21" s="369" t="s">
        <v>189</v>
      </c>
      <c r="K21" s="145"/>
      <c r="L21" s="147"/>
      <c r="M21" s="145"/>
      <c r="N21" s="146"/>
      <c r="O21" s="145"/>
      <c r="P21" s="147"/>
      <c r="Q21" s="145"/>
      <c r="R21" s="369"/>
    </row>
    <row r="22" spans="2:18" ht="27.95" customHeight="1">
      <c r="B22" s="283">
        <v>3</v>
      </c>
      <c r="C22" s="283" t="s">
        <v>75</v>
      </c>
      <c r="D22" s="284">
        <v>41136</v>
      </c>
      <c r="E22" s="285">
        <v>41167</v>
      </c>
      <c r="F22" s="286" t="s">
        <v>191</v>
      </c>
      <c r="G22" s="287"/>
      <c r="H22" s="148">
        <v>0</v>
      </c>
      <c r="I22" s="145"/>
      <c r="J22" s="369" t="s">
        <v>189</v>
      </c>
      <c r="K22" s="145"/>
      <c r="L22" s="147"/>
      <c r="M22" s="145"/>
      <c r="N22" s="148"/>
      <c r="O22" s="145"/>
      <c r="P22" s="147"/>
      <c r="Q22" s="145"/>
      <c r="R22" s="369"/>
    </row>
    <row r="23" spans="2:18" ht="27.95" customHeight="1">
      <c r="B23" s="283">
        <v>4</v>
      </c>
      <c r="C23" s="283" t="s">
        <v>78</v>
      </c>
      <c r="D23" s="284">
        <v>41136</v>
      </c>
      <c r="E23" s="285">
        <v>41167</v>
      </c>
      <c r="F23" s="286" t="s">
        <v>192</v>
      </c>
      <c r="G23" s="287"/>
      <c r="H23" s="147">
        <v>9</v>
      </c>
      <c r="I23" s="145"/>
      <c r="J23" s="369" t="s">
        <v>189</v>
      </c>
      <c r="K23" s="145"/>
      <c r="L23" s="147"/>
      <c r="M23" s="145"/>
      <c r="N23" s="369">
        <v>6</v>
      </c>
      <c r="O23" s="145"/>
      <c r="P23" s="147">
        <v>2</v>
      </c>
      <c r="Q23" s="145"/>
      <c r="R23" s="369"/>
    </row>
    <row r="24" spans="2:18" ht="27.95" customHeight="1">
      <c r="B24" s="283">
        <v>5</v>
      </c>
      <c r="C24" s="283" t="s">
        <v>82</v>
      </c>
      <c r="D24" s="284">
        <v>41182</v>
      </c>
      <c r="E24" s="285">
        <v>41212</v>
      </c>
      <c r="F24" s="286" t="s">
        <v>193</v>
      </c>
      <c r="G24" s="287"/>
      <c r="H24" s="147"/>
      <c r="I24" s="145"/>
      <c r="J24" s="147"/>
      <c r="K24" s="145"/>
      <c r="L24" s="147"/>
      <c r="M24" s="145"/>
      <c r="N24" s="147"/>
      <c r="O24" s="145"/>
      <c r="P24" s="147"/>
      <c r="Q24" s="145"/>
      <c r="R24" s="147"/>
    </row>
    <row r="25" spans="2:18" ht="27.95" customHeight="1">
      <c r="B25" s="283">
        <v>6</v>
      </c>
      <c r="C25" s="283" t="s">
        <v>84</v>
      </c>
      <c r="D25" s="284">
        <v>41197</v>
      </c>
      <c r="E25" s="285">
        <v>41228</v>
      </c>
      <c r="F25" s="286" t="s">
        <v>194</v>
      </c>
      <c r="G25" s="287"/>
      <c r="H25" s="147"/>
      <c r="I25" s="145"/>
      <c r="J25" s="147"/>
      <c r="K25" s="145"/>
      <c r="L25" s="147"/>
      <c r="M25" s="145"/>
      <c r="N25" s="147"/>
      <c r="O25" s="145"/>
      <c r="P25" s="147"/>
      <c r="Q25" s="145"/>
      <c r="R25" s="147"/>
    </row>
    <row r="26" spans="2:18" ht="27.95" customHeight="1">
      <c r="B26" s="283">
        <v>7</v>
      </c>
      <c r="C26" s="283" t="s">
        <v>90</v>
      </c>
      <c r="D26" s="284">
        <v>41258</v>
      </c>
      <c r="E26" s="285">
        <v>41304</v>
      </c>
      <c r="F26" s="286" t="s">
        <v>195</v>
      </c>
      <c r="G26" s="287"/>
      <c r="H26" s="148"/>
      <c r="I26" s="145"/>
      <c r="J26" s="148"/>
      <c r="K26" s="145"/>
      <c r="L26" s="147"/>
      <c r="M26" s="145"/>
      <c r="N26" s="147"/>
      <c r="O26" s="145"/>
      <c r="P26" s="147"/>
      <c r="Q26" s="145"/>
      <c r="R26" s="147"/>
    </row>
    <row r="27" spans="2:18" ht="27.95" customHeight="1">
      <c r="B27" s="283">
        <v>8</v>
      </c>
      <c r="C27" s="283" t="s">
        <v>92</v>
      </c>
      <c r="D27" s="284">
        <v>41258</v>
      </c>
      <c r="E27" s="285">
        <v>41304</v>
      </c>
      <c r="F27" s="286" t="s">
        <v>196</v>
      </c>
      <c r="G27" s="287"/>
      <c r="H27" s="147"/>
      <c r="I27" s="145"/>
      <c r="J27" s="369" t="s">
        <v>189</v>
      </c>
      <c r="K27" s="145"/>
      <c r="L27" s="147"/>
      <c r="M27" s="145"/>
      <c r="N27" s="147"/>
      <c r="O27" s="145"/>
      <c r="P27" s="147"/>
      <c r="Q27" s="145"/>
      <c r="R27" s="147"/>
    </row>
    <row r="28" spans="2:18" ht="27.95" customHeight="1">
      <c r="B28" s="283">
        <v>9</v>
      </c>
      <c r="C28" s="283" t="s">
        <v>94</v>
      </c>
      <c r="D28" s="284">
        <v>41333</v>
      </c>
      <c r="E28" s="285">
        <v>41363</v>
      </c>
      <c r="F28" s="286" t="s">
        <v>197</v>
      </c>
      <c r="G28" s="287"/>
      <c r="H28" s="147"/>
      <c r="I28" s="145"/>
      <c r="J28" s="147"/>
      <c r="K28" s="145"/>
      <c r="L28" s="147"/>
      <c r="M28" s="145"/>
      <c r="N28" s="147"/>
      <c r="O28" s="145"/>
      <c r="P28" s="147"/>
      <c r="Q28" s="145"/>
      <c r="R28" s="147"/>
    </row>
    <row r="29" spans="2:18" ht="27.95" customHeight="1">
      <c r="B29" s="283"/>
      <c r="C29" s="283"/>
      <c r="D29" s="284"/>
      <c r="E29" s="285"/>
      <c r="F29" s="286"/>
      <c r="G29" s="287"/>
      <c r="H29" s="147"/>
      <c r="I29" s="145"/>
      <c r="J29" s="147"/>
      <c r="K29" s="145"/>
      <c r="L29" s="147"/>
      <c r="M29" s="145"/>
      <c r="N29" s="147"/>
      <c r="O29" s="145"/>
      <c r="P29" s="147"/>
      <c r="Q29" s="145"/>
      <c r="R29" s="147"/>
    </row>
    <row r="30" spans="2:18" ht="27.95" customHeight="1">
      <c r="B30" s="283"/>
      <c r="C30" s="283"/>
      <c r="D30" s="284"/>
      <c r="E30" s="285"/>
      <c r="F30" s="286"/>
      <c r="G30" s="287"/>
      <c r="H30" s="147"/>
      <c r="I30" s="145"/>
      <c r="J30" s="147"/>
      <c r="K30" s="145"/>
      <c r="L30" s="147"/>
      <c r="M30" s="145"/>
      <c r="N30" s="147"/>
      <c r="O30" s="145"/>
      <c r="P30" s="147"/>
      <c r="Q30" s="145"/>
      <c r="R30" s="147"/>
    </row>
    <row r="31" spans="2:18" ht="27.95" customHeight="1">
      <c r="B31" s="283"/>
      <c r="C31" s="283"/>
      <c r="D31" s="284"/>
      <c r="E31" s="285"/>
      <c r="F31" s="286"/>
      <c r="G31" s="287"/>
      <c r="H31" s="147"/>
      <c r="I31" s="145"/>
      <c r="J31" s="147"/>
      <c r="K31" s="145"/>
      <c r="L31" s="147"/>
      <c r="M31" s="145"/>
      <c r="N31" s="147"/>
      <c r="O31" s="145"/>
      <c r="P31" s="147"/>
      <c r="Q31" s="145"/>
      <c r="R31" s="147"/>
    </row>
    <row r="32" spans="2:18" ht="27.95" customHeight="1">
      <c r="B32" s="283"/>
      <c r="C32" s="283"/>
      <c r="D32" s="284"/>
      <c r="E32" s="285"/>
      <c r="F32" s="286"/>
      <c r="G32" s="287"/>
      <c r="H32" s="147"/>
      <c r="I32" s="145"/>
      <c r="J32" s="147"/>
      <c r="K32" s="145"/>
      <c r="L32" s="147"/>
      <c r="M32" s="145"/>
      <c r="N32" s="147"/>
      <c r="O32" s="145"/>
      <c r="P32" s="147"/>
      <c r="Q32" s="145"/>
      <c r="R32" s="147"/>
    </row>
    <row r="33" spans="2:18" ht="27.95" customHeight="1">
      <c r="B33" s="283"/>
      <c r="C33" s="283"/>
      <c r="D33" s="284"/>
      <c r="E33" s="285"/>
      <c r="F33" s="286"/>
      <c r="G33" s="289"/>
      <c r="H33" s="150"/>
      <c r="I33" s="149"/>
      <c r="J33" s="150"/>
      <c r="K33" s="149"/>
      <c r="L33" s="150"/>
      <c r="M33" s="149"/>
      <c r="N33" s="150"/>
      <c r="O33" s="149"/>
      <c r="P33" s="150"/>
      <c r="Q33" s="149"/>
      <c r="R33" s="150"/>
    </row>
    <row r="34" spans="2:18" ht="15" customHeight="1"/>
    <row r="35" spans="2:18" ht="45.95" customHeight="1">
      <c r="C35" s="158" t="s">
        <v>198</v>
      </c>
      <c r="D35" s="159"/>
    </row>
    <row r="36" spans="2:18">
      <c r="B36" s="17"/>
    </row>
    <row r="37" spans="2:18">
      <c r="B37" s="18" t="s">
        <v>199</v>
      </c>
    </row>
    <row r="38" spans="2:18" ht="14.1" customHeight="1">
      <c r="B38" s="507" t="s">
        <v>28</v>
      </c>
      <c r="C38" s="507"/>
      <c r="D38" s="507"/>
      <c r="E38" s="507"/>
    </row>
    <row r="39" spans="2:18">
      <c r="B39" s="17"/>
    </row>
    <row r="40" spans="2:18">
      <c r="B40" s="17"/>
      <c r="C40" s="365" t="s">
        <v>200</v>
      </c>
    </row>
    <row r="41" spans="2:18">
      <c r="C41" s="365" t="s">
        <v>201</v>
      </c>
    </row>
    <row r="42" spans="2:18">
      <c r="C42" s="365" t="s">
        <v>202</v>
      </c>
    </row>
    <row r="43" spans="2:18">
      <c r="C43" s="365" t="s">
        <v>203</v>
      </c>
    </row>
    <row r="44" spans="2:18">
      <c r="C44" s="365" t="s">
        <v>204</v>
      </c>
      <c r="O44" s="4"/>
      <c r="P44" s="5"/>
      <c r="Q44" s="4"/>
      <c r="R44" s="4"/>
    </row>
    <row r="45" spans="2:18" ht="15" customHeight="1">
      <c r="C45" s="365" t="s">
        <v>205</v>
      </c>
      <c r="P45" s="5"/>
    </row>
    <row r="46" spans="2:18" ht="15" customHeight="1">
      <c r="Q46" s="32" t="str">
        <f>IF(P46&gt;0,"DATA ENTERED","")</f>
        <v/>
      </c>
    </row>
    <row r="50" spans="18:18">
      <c r="R50" s="66"/>
    </row>
  </sheetData>
  <sheetProtection sheet="1" formatColumns="0" selectLockedCells="1"/>
  <mergeCells count="8">
    <mergeCell ref="B38:E38"/>
    <mergeCell ref="B16:H16"/>
    <mergeCell ref="O18:P18"/>
    <mergeCell ref="Q18:R18"/>
    <mergeCell ref="G18:H18"/>
    <mergeCell ref="I18:J18"/>
    <mergeCell ref="K18:L18"/>
    <mergeCell ref="M18:N18"/>
  </mergeCells>
  <conditionalFormatting sqref="B1">
    <cfRule type="cellIs" dxfId="168" priority="1" operator="equal">
      <formula>"AMBER"</formula>
    </cfRule>
  </conditionalFormatting>
  <conditionalFormatting sqref="B1">
    <cfRule type="cellIs" dxfId="167" priority="2" operator="equal">
      <formula>"RED"</formula>
    </cfRule>
  </conditionalFormatting>
  <conditionalFormatting sqref="B1">
    <cfRule type="cellIs" dxfId="166" priority="3" operator="equal">
      <formula>"GREEN"</formula>
    </cfRule>
  </conditionalFormatting>
  <conditionalFormatting sqref="B2">
    <cfRule type="cellIs" dxfId="165" priority="4" operator="equal">
      <formula>"AMBER"</formula>
    </cfRule>
  </conditionalFormatting>
  <conditionalFormatting sqref="B2">
    <cfRule type="cellIs" dxfId="164" priority="5" operator="equal">
      <formula>"RED"</formula>
    </cfRule>
  </conditionalFormatting>
  <conditionalFormatting sqref="B2">
    <cfRule type="cellIs" dxfId="163" priority="6" operator="equal">
      <formula>"GREEN"</formula>
    </cfRule>
  </conditionalFormatting>
  <conditionalFormatting sqref="B3">
    <cfRule type="cellIs" dxfId="162" priority="7" operator="equal">
      <formula>"AMBER"</formula>
    </cfRule>
  </conditionalFormatting>
  <conditionalFormatting sqref="B3">
    <cfRule type="cellIs" dxfId="161" priority="8" operator="equal">
      <formula>"RED"</formula>
    </cfRule>
  </conditionalFormatting>
  <conditionalFormatting sqref="B3">
    <cfRule type="cellIs" dxfId="160" priority="9" operator="equal">
      <formula>"GREEN"</formula>
    </cfRule>
  </conditionalFormatting>
  <conditionalFormatting sqref="B4">
    <cfRule type="cellIs" dxfId="159" priority="10" operator="equal">
      <formula>"AMBER"</formula>
    </cfRule>
  </conditionalFormatting>
  <conditionalFormatting sqref="B4">
    <cfRule type="cellIs" dxfId="158" priority="11" operator="equal">
      <formula>"RED"</formula>
    </cfRule>
  </conditionalFormatting>
  <conditionalFormatting sqref="B4">
    <cfRule type="cellIs" dxfId="157" priority="12" operator="equal">
      <formula>"GREEN"</formula>
    </cfRule>
  </conditionalFormatting>
  <conditionalFormatting sqref="B5">
    <cfRule type="cellIs" dxfId="156" priority="13" operator="equal">
      <formula>"AMBER"</formula>
    </cfRule>
  </conditionalFormatting>
  <conditionalFormatting sqref="B5">
    <cfRule type="cellIs" dxfId="155" priority="14" operator="equal">
      <formula>"RED"</formula>
    </cfRule>
  </conditionalFormatting>
  <conditionalFormatting sqref="B5">
    <cfRule type="cellIs" dxfId="154" priority="15" operator="equal">
      <formula>"GREEN"</formula>
    </cfRule>
  </conditionalFormatting>
  <conditionalFormatting sqref="B6">
    <cfRule type="cellIs" dxfId="153" priority="16" operator="equal">
      <formula>"AMBER"</formula>
    </cfRule>
  </conditionalFormatting>
  <conditionalFormatting sqref="B6">
    <cfRule type="cellIs" dxfId="152" priority="17" operator="equal">
      <formula>"RED"</formula>
    </cfRule>
  </conditionalFormatting>
  <conditionalFormatting sqref="B6">
    <cfRule type="cellIs" dxfId="151" priority="18" operator="equal">
      <formula>"GREEN"</formula>
    </cfRule>
  </conditionalFormatting>
  <conditionalFormatting sqref="B7">
    <cfRule type="cellIs" dxfId="150" priority="19" operator="equal">
      <formula>"AMBER"</formula>
    </cfRule>
  </conditionalFormatting>
  <conditionalFormatting sqref="B7">
    <cfRule type="cellIs" dxfId="149" priority="20" operator="equal">
      <formula>"RED"</formula>
    </cfRule>
  </conditionalFormatting>
  <conditionalFormatting sqref="B7">
    <cfRule type="cellIs" dxfId="148" priority="21" operator="equal">
      <formula>"GREEN"</formula>
    </cfRule>
  </conditionalFormatting>
  <conditionalFormatting sqref="B8">
    <cfRule type="cellIs" dxfId="147" priority="22" operator="equal">
      <formula>"AMBER"</formula>
    </cfRule>
  </conditionalFormatting>
  <conditionalFormatting sqref="B8">
    <cfRule type="cellIs" dxfId="146" priority="23" operator="equal">
      <formula>"RED"</formula>
    </cfRule>
  </conditionalFormatting>
  <conditionalFormatting sqref="B8">
    <cfRule type="cellIs" dxfId="145" priority="24" operator="equal">
      <formula>"GREEN"</formula>
    </cfRule>
  </conditionalFormatting>
  <conditionalFormatting sqref="B9">
    <cfRule type="cellIs" dxfId="144" priority="25" operator="equal">
      <formula>"AMBER"</formula>
    </cfRule>
  </conditionalFormatting>
  <conditionalFormatting sqref="B9">
    <cfRule type="cellIs" dxfId="143" priority="26" operator="equal">
      <formula>"RED"</formula>
    </cfRule>
  </conditionalFormatting>
  <conditionalFormatting sqref="B9">
    <cfRule type="cellIs" dxfId="142" priority="27" operator="equal">
      <formula>"GREEN"</formula>
    </cfRule>
  </conditionalFormatting>
  <dataValidations count="1">
    <dataValidation type="whole" allowBlank="1" showInputMessage="1" showErrorMessage="1" errorTitle="Whole numbers only" error="Enter integer values of the number of service levels (from your agreement) in exception. This will only be required from production assets." promptTitle="Input whole numbers" prompt="Leave blank unless an item is in production and at least one service level is not being met as agreed in the contract." sqref="D35">
      <formula1>0</formula1>
      <formula2>50</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8" location="Legend!A1" display="See Legend"/>
  </hyperlinks>
  <pageMargins left="0.75" right="0.75" top="1" bottom="1" header="0.5" footer="0.5"/>
  <pageSetup paperSize="9" scale="57" orientation="landscape" r:id="rId1"/>
</worksheet>
</file>

<file path=xl/worksheets/sheet8.xml><?xml version="1.0" encoding="utf-8"?>
<worksheet xmlns="http://schemas.openxmlformats.org/spreadsheetml/2006/main" xmlns:r="http://schemas.openxmlformats.org/officeDocument/2006/relationships">
  <sheetPr>
    <tabColor rgb="FFCCFFCC"/>
    <pageSetUpPr fitToPage="1"/>
  </sheetPr>
  <dimension ref="A1:O55"/>
  <sheetViews>
    <sheetView showGridLines="0" topLeftCell="A15" workbookViewId="0">
      <selection activeCell="E24" sqref="E24"/>
    </sheetView>
  </sheetViews>
  <sheetFormatPr defaultColWidth="11.42578125" defaultRowHeight="12.75"/>
  <cols>
    <col min="1" max="1" width="14" style="4" customWidth="1"/>
    <col min="2" max="2" width="61.28515625" customWidth="1"/>
    <col min="3" max="3" width="27.140625" customWidth="1"/>
    <col min="4" max="4" width="12.28515625" style="5" customWidth="1"/>
    <col min="5" max="5" width="43.42578125" customWidth="1"/>
    <col min="6" max="6" width="6.7109375" style="65" customWidth="1"/>
    <col min="7" max="7" width="16.7109375" hidden="1" customWidth="1"/>
    <col min="8" max="8" width="10.85546875" hidden="1" customWidth="1"/>
  </cols>
  <sheetData>
    <row r="1" spans="1:15" s="4" customFormat="1">
      <c r="A1" s="60" t="s">
        <v>0</v>
      </c>
      <c r="B1" s="38" t="str">
        <f>OVERALLLIGHT</f>
        <v>AMBER</v>
      </c>
      <c r="D1" s="5"/>
      <c r="F1" s="65"/>
    </row>
    <row r="2" spans="1:15" s="4" customFormat="1">
      <c r="A2" s="61" t="s">
        <v>1</v>
      </c>
      <c r="B2" s="39" t="str">
        <f>MILESTONELIGHT</f>
        <v>RED</v>
      </c>
      <c r="D2" s="5"/>
      <c r="F2" s="65"/>
    </row>
    <row r="3" spans="1:15" s="4" customFormat="1">
      <c r="A3" s="61" t="s">
        <v>2</v>
      </c>
      <c r="B3" s="39" t="str">
        <f>ISSUELIGHT</f>
        <v>GREEN</v>
      </c>
      <c r="D3" s="5"/>
      <c r="F3" s="65"/>
    </row>
    <row r="4" spans="1:15" s="4" customFormat="1">
      <c r="A4" s="61" t="s">
        <v>3</v>
      </c>
      <c r="B4" s="39" t="str">
        <f>RISKLIGHT</f>
        <v>GREEN</v>
      </c>
      <c r="D4" s="5"/>
      <c r="F4" s="65"/>
    </row>
    <row r="5" spans="1:15" s="4" customFormat="1">
      <c r="A5" s="61" t="s">
        <v>4</v>
      </c>
      <c r="B5" s="39" t="str">
        <f>CHANGELIGHT</f>
        <v>GREEN</v>
      </c>
      <c r="D5" s="5"/>
      <c r="F5" s="65"/>
    </row>
    <row r="6" spans="1:15" s="4" customFormat="1">
      <c r="A6" s="61" t="s">
        <v>5</v>
      </c>
      <c r="B6" s="40" t="str">
        <f>DEPENDENCYLIGHT</f>
        <v/>
      </c>
      <c r="D6" s="5"/>
      <c r="F6" s="65"/>
    </row>
    <row r="7" spans="1:15" s="4" customFormat="1">
      <c r="A7" s="61" t="s">
        <v>6</v>
      </c>
      <c r="B7" s="40" t="str">
        <f>MEASURELIGHT</f>
        <v/>
      </c>
      <c r="D7" s="5"/>
      <c r="F7" s="65"/>
    </row>
    <row r="8" spans="1:15" s="4" customFormat="1" ht="15">
      <c r="A8" s="61" t="s">
        <v>7</v>
      </c>
      <c r="B8" s="39" t="str">
        <f>COMMUNICATIONLIGHT</f>
        <v>GREEN</v>
      </c>
      <c r="D8" s="5"/>
      <c r="E8" s="16"/>
      <c r="F8" s="102"/>
    </row>
    <row r="9" spans="1:15" s="4" customFormat="1" ht="15">
      <c r="A9" s="61" t="s">
        <v>8</v>
      </c>
      <c r="B9" s="41" t="str">
        <f>FINANCELIGHT</f>
        <v>GREEN</v>
      </c>
      <c r="D9" s="5"/>
      <c r="E9" s="16"/>
      <c r="F9" s="102"/>
    </row>
    <row r="10" spans="1:15" s="5" customFormat="1">
      <c r="A10" s="72"/>
      <c r="B10" s="132"/>
      <c r="O10" s="10"/>
    </row>
    <row r="11" spans="1:15" s="5" customFormat="1" ht="15.95" customHeight="1">
      <c r="A11" s="72"/>
      <c r="B11" s="130" t="str">
        <f>ProjNo</f>
        <v>RT029</v>
      </c>
      <c r="C11" s="131" t="str">
        <f>ProjName</f>
        <v>Cloud Based Bioinformatics Tools</v>
      </c>
      <c r="D11" s="126"/>
      <c r="O11" s="10"/>
    </row>
    <row r="12" spans="1:15" s="5" customFormat="1" ht="15.95" customHeight="1">
      <c r="A12" s="72"/>
      <c r="B12" s="128" t="s">
        <v>42</v>
      </c>
      <c r="C12" s="133">
        <f>ReportFrom</f>
        <v>41244</v>
      </c>
      <c r="D12" s="133"/>
      <c r="E12" s="125"/>
      <c r="O12" s="10"/>
    </row>
    <row r="13" spans="1:15" s="5" customFormat="1" ht="15.95" customHeight="1">
      <c r="A13" s="72"/>
      <c r="B13" s="129" t="s">
        <v>43</v>
      </c>
      <c r="C13" s="134">
        <f>LastDateReport</f>
        <v>41334</v>
      </c>
      <c r="D13" s="133"/>
      <c r="E13" s="125"/>
      <c r="O13" s="10"/>
    </row>
    <row r="14" spans="1:15" s="5" customFormat="1" ht="6" customHeight="1">
      <c r="A14" s="72"/>
      <c r="B14" s="126"/>
      <c r="C14" s="127"/>
      <c r="D14" s="127"/>
      <c r="E14" s="125"/>
      <c r="O14" s="10"/>
    </row>
    <row r="15" spans="1:15" ht="18.95" customHeight="1">
      <c r="A15" s="65"/>
      <c r="B15" s="12" t="s">
        <v>206</v>
      </c>
      <c r="C15" s="12"/>
      <c r="D15" s="12"/>
      <c r="E15" s="12" t="str">
        <f>COMMUNICATIONLIGHT</f>
        <v>GREEN</v>
      </c>
      <c r="F15" s="94"/>
    </row>
    <row r="16" spans="1:15" s="5" customFormat="1" ht="20.100000000000001" customHeight="1">
      <c r="A16" s="65"/>
      <c r="B16" s="12"/>
      <c r="C16" s="12"/>
      <c r="D16" s="12"/>
      <c r="E16" s="12"/>
      <c r="F16" s="94"/>
    </row>
    <row r="17" spans="1:7" ht="15">
      <c r="A17" s="65"/>
      <c r="B17" s="53" t="s">
        <v>207</v>
      </c>
      <c r="C17" s="54" t="s">
        <v>208</v>
      </c>
      <c r="D17" s="218" t="s">
        <v>209</v>
      </c>
      <c r="E17" s="55" t="s">
        <v>210</v>
      </c>
      <c r="F17" s="103"/>
      <c r="G17" s="56" t="s">
        <v>211</v>
      </c>
    </row>
    <row r="18" spans="1:7" ht="27.95" customHeight="1">
      <c r="A18" s="109" t="s">
        <v>48</v>
      </c>
      <c r="B18" s="290" t="s">
        <v>212</v>
      </c>
      <c r="C18" s="296" t="s">
        <v>213</v>
      </c>
      <c r="D18" s="275" t="s">
        <v>216</v>
      </c>
      <c r="E18" s="298"/>
      <c r="F18" s="101"/>
      <c r="G18" s="57" t="str">
        <f t="shared" ref="G18:G27" si="0">IF(B18&gt;0,"THIS PERIOD 1","")</f>
        <v>THIS PERIOD 1</v>
      </c>
    </row>
    <row r="19" spans="1:7" ht="27.95" customHeight="1">
      <c r="A19" s="65"/>
      <c r="B19" s="290" t="s">
        <v>215</v>
      </c>
      <c r="C19" s="296" t="s">
        <v>213</v>
      </c>
      <c r="D19" s="368" t="s">
        <v>216</v>
      </c>
      <c r="E19" s="298"/>
      <c r="F19" s="101"/>
      <c r="G19" s="57" t="str">
        <f t="shared" si="0"/>
        <v>THIS PERIOD 1</v>
      </c>
    </row>
    <row r="20" spans="1:7" s="5" customFormat="1" ht="27.95" customHeight="1">
      <c r="A20" s="65"/>
      <c r="B20" s="308" t="s">
        <v>380</v>
      </c>
      <c r="C20" s="296" t="s">
        <v>284</v>
      </c>
      <c r="D20" s="275" t="s">
        <v>216</v>
      </c>
      <c r="E20" s="298"/>
      <c r="F20" s="101"/>
      <c r="G20" s="57" t="str">
        <f t="shared" si="0"/>
        <v>THIS PERIOD 1</v>
      </c>
    </row>
    <row r="21" spans="1:7" s="5" customFormat="1" ht="27.95" customHeight="1">
      <c r="B21" s="308"/>
      <c r="C21" s="296"/>
      <c r="D21" s="275"/>
      <c r="E21" s="298"/>
      <c r="F21" s="101"/>
      <c r="G21" s="57" t="str">
        <f t="shared" si="0"/>
        <v/>
      </c>
    </row>
    <row r="22" spans="1:7" s="5" customFormat="1" ht="27.95" customHeight="1">
      <c r="B22" s="308" t="s">
        <v>392</v>
      </c>
      <c r="C22" s="296" t="s">
        <v>284</v>
      </c>
      <c r="D22" s="275" t="s">
        <v>216</v>
      </c>
      <c r="E22" s="554" t="s">
        <v>393</v>
      </c>
      <c r="F22" s="101"/>
      <c r="G22" s="57" t="str">
        <f t="shared" si="0"/>
        <v>THIS PERIOD 1</v>
      </c>
    </row>
    <row r="23" spans="1:7" s="5" customFormat="1" ht="27.95" customHeight="1">
      <c r="B23" s="290"/>
      <c r="C23" s="296"/>
      <c r="D23" s="275" t="s">
        <v>216</v>
      </c>
      <c r="E23" s="298"/>
      <c r="F23" s="101"/>
      <c r="G23" s="57" t="str">
        <f t="shared" si="0"/>
        <v/>
      </c>
    </row>
    <row r="24" spans="1:7" ht="27.95" customHeight="1">
      <c r="B24" s="290"/>
      <c r="C24" s="296"/>
      <c r="D24" s="275" t="s">
        <v>216</v>
      </c>
      <c r="E24" s="298"/>
      <c r="F24" s="101"/>
      <c r="G24" s="57" t="str">
        <f t="shared" si="0"/>
        <v/>
      </c>
    </row>
    <row r="25" spans="1:7" ht="27.95" customHeight="1">
      <c r="B25" s="290"/>
      <c r="C25" s="296"/>
      <c r="D25" s="275" t="s">
        <v>216</v>
      </c>
      <c r="E25" s="298"/>
      <c r="F25" s="101"/>
      <c r="G25" s="57" t="str">
        <f t="shared" si="0"/>
        <v/>
      </c>
    </row>
    <row r="26" spans="1:7" ht="27.95" customHeight="1">
      <c r="B26" s="291"/>
      <c r="C26" s="297"/>
      <c r="D26" s="275" t="s">
        <v>216</v>
      </c>
      <c r="E26" s="299"/>
      <c r="F26" s="70"/>
      <c r="G26" s="57" t="str">
        <f t="shared" si="0"/>
        <v/>
      </c>
    </row>
    <row r="27" spans="1:7" s="4" customFormat="1" ht="27.95" customHeight="1">
      <c r="B27" s="291"/>
      <c r="C27" s="297"/>
      <c r="D27" s="275" t="s">
        <v>216</v>
      </c>
      <c r="E27" s="299"/>
      <c r="F27" s="70"/>
      <c r="G27" s="57" t="str">
        <f t="shared" si="0"/>
        <v/>
      </c>
    </row>
    <row r="28" spans="1:7" ht="27" customHeight="1">
      <c r="B28" s="121" t="s">
        <v>217</v>
      </c>
      <c r="C28" s="25" t="s">
        <v>208</v>
      </c>
      <c r="D28" s="219"/>
      <c r="E28" s="122" t="s">
        <v>210</v>
      </c>
      <c r="F28" s="103"/>
      <c r="G28" s="58"/>
    </row>
    <row r="29" spans="1:7" ht="27.95" customHeight="1">
      <c r="B29" s="292" t="s">
        <v>394</v>
      </c>
      <c r="C29" s="371" t="s">
        <v>284</v>
      </c>
      <c r="D29" s="220"/>
      <c r="E29" s="300"/>
      <c r="F29" s="101"/>
      <c r="G29" s="57" t="str">
        <f t="shared" ref="G29:G38" si="1">IF(B29&gt;0,"PLANNED 1","")</f>
        <v>PLANNED 1</v>
      </c>
    </row>
    <row r="30" spans="1:7" s="5" customFormat="1" ht="27.95" customHeight="1">
      <c r="B30" s="292" t="s">
        <v>395</v>
      </c>
      <c r="C30" s="293" t="s">
        <v>273</v>
      </c>
      <c r="D30" s="221"/>
      <c r="E30" s="300"/>
      <c r="F30" s="101"/>
      <c r="G30" s="57" t="str">
        <f t="shared" si="1"/>
        <v>PLANNED 1</v>
      </c>
    </row>
    <row r="31" spans="1:7" s="5" customFormat="1" ht="27.95" customHeight="1">
      <c r="B31" s="292"/>
      <c r="C31" s="293"/>
      <c r="D31" s="221"/>
      <c r="E31" s="300"/>
      <c r="F31" s="101"/>
      <c r="G31" s="57" t="str">
        <f t="shared" si="1"/>
        <v/>
      </c>
    </row>
    <row r="32" spans="1:7" s="5" customFormat="1" ht="27.95" customHeight="1">
      <c r="B32" s="292"/>
      <c r="C32" s="293"/>
      <c r="D32" s="221"/>
      <c r="E32" s="300"/>
      <c r="F32" s="101"/>
      <c r="G32" s="57" t="str">
        <f t="shared" si="1"/>
        <v/>
      </c>
    </row>
    <row r="33" spans="2:8" s="5" customFormat="1" ht="27.95" customHeight="1">
      <c r="B33" s="292"/>
      <c r="C33" s="293"/>
      <c r="D33" s="221"/>
      <c r="E33" s="300"/>
      <c r="F33" s="101"/>
      <c r="G33" s="57" t="str">
        <f t="shared" si="1"/>
        <v/>
      </c>
    </row>
    <row r="34" spans="2:8" s="5" customFormat="1" ht="27.95" customHeight="1">
      <c r="B34" s="292"/>
      <c r="C34" s="293"/>
      <c r="D34" s="221"/>
      <c r="E34" s="300"/>
      <c r="F34" s="101"/>
      <c r="G34" s="57" t="str">
        <f t="shared" si="1"/>
        <v/>
      </c>
    </row>
    <row r="35" spans="2:8" s="5" customFormat="1" ht="27.95" customHeight="1">
      <c r="B35" s="292"/>
      <c r="C35" s="293"/>
      <c r="D35" s="221"/>
      <c r="E35" s="300"/>
      <c r="F35" s="101"/>
      <c r="G35" s="57" t="str">
        <f t="shared" si="1"/>
        <v/>
      </c>
    </row>
    <row r="36" spans="2:8" s="5" customFormat="1" ht="27.95" customHeight="1">
      <c r="B36" s="292"/>
      <c r="C36" s="293"/>
      <c r="D36" s="221"/>
      <c r="E36" s="300"/>
      <c r="F36" s="101"/>
      <c r="G36" s="57" t="str">
        <f t="shared" si="1"/>
        <v/>
      </c>
    </row>
    <row r="37" spans="2:8" ht="27.95" customHeight="1">
      <c r="B37" s="292"/>
      <c r="C37" s="293"/>
      <c r="D37" s="221"/>
      <c r="E37" s="300"/>
      <c r="F37" s="101"/>
      <c r="G37" s="57" t="str">
        <f t="shared" si="1"/>
        <v/>
      </c>
    </row>
    <row r="38" spans="2:8" ht="27.95" customHeight="1">
      <c r="B38" s="294"/>
      <c r="C38" s="295"/>
      <c r="D38" s="222"/>
      <c r="E38" s="301"/>
      <c r="F38" s="101"/>
      <c r="G38" s="57" t="str">
        <f t="shared" si="1"/>
        <v/>
      </c>
    </row>
    <row r="41" spans="2:8" ht="14.1" customHeight="1">
      <c r="B41" s="507" t="s">
        <v>28</v>
      </c>
      <c r="C41" s="507"/>
      <c r="D41" s="507"/>
      <c r="E41" s="507"/>
      <c r="G41">
        <f>COUNTIF(G18:G27,"THIS PERIOD 1")</f>
        <v>4</v>
      </c>
    </row>
    <row r="42" spans="2:8" ht="15" customHeight="1">
      <c r="G42">
        <f>COUNTIF(G29:G38,"PLANNED 1")</f>
        <v>2</v>
      </c>
    </row>
    <row r="43" spans="2:8" ht="15" customHeight="1">
      <c r="H43" s="32" t="str">
        <f>IF(G41&lt;1,"RED",IF(G42&lt;1,"AMBER","GREEN"))</f>
        <v>GREEN</v>
      </c>
    </row>
    <row r="51" spans="2:2">
      <c r="B51" s="17"/>
    </row>
    <row r="52" spans="2:2">
      <c r="B52" s="18"/>
    </row>
    <row r="53" spans="2:2">
      <c r="B53" s="17"/>
    </row>
    <row r="54" spans="2:2">
      <c r="B54" s="17"/>
    </row>
    <row r="55" spans="2:2">
      <c r="B55" s="17"/>
    </row>
  </sheetData>
  <sheetProtection sheet="1" formatColumns="0" selectLockedCells="1"/>
  <mergeCells count="1">
    <mergeCell ref="B41:E41"/>
  </mergeCells>
  <conditionalFormatting sqref="B1">
    <cfRule type="cellIs" dxfId="141" priority="1" operator="equal">
      <formula>"AMBER"</formula>
    </cfRule>
  </conditionalFormatting>
  <conditionalFormatting sqref="B1">
    <cfRule type="cellIs" dxfId="140" priority="2" operator="equal">
      <formula>"RED"</formula>
    </cfRule>
  </conditionalFormatting>
  <conditionalFormatting sqref="B1">
    <cfRule type="cellIs" dxfId="139" priority="3" operator="equal">
      <formula>"GREEN"</formula>
    </cfRule>
  </conditionalFormatting>
  <conditionalFormatting sqref="B2">
    <cfRule type="cellIs" dxfId="138" priority="4" operator="equal">
      <formula>"AMBER"</formula>
    </cfRule>
  </conditionalFormatting>
  <conditionalFormatting sqref="B2">
    <cfRule type="cellIs" dxfId="137" priority="5" operator="equal">
      <formula>"RED"</formula>
    </cfRule>
  </conditionalFormatting>
  <conditionalFormatting sqref="B2">
    <cfRule type="cellIs" dxfId="136" priority="6" operator="equal">
      <formula>"GREEN"</formula>
    </cfRule>
  </conditionalFormatting>
  <conditionalFormatting sqref="B3">
    <cfRule type="cellIs" dxfId="135" priority="7" operator="equal">
      <formula>"AMBER"</formula>
    </cfRule>
  </conditionalFormatting>
  <conditionalFormatting sqref="B3">
    <cfRule type="cellIs" dxfId="134" priority="8" operator="equal">
      <formula>"RED"</formula>
    </cfRule>
  </conditionalFormatting>
  <conditionalFormatting sqref="B3">
    <cfRule type="cellIs" dxfId="133" priority="9" operator="equal">
      <formula>"GREEN"</formula>
    </cfRule>
  </conditionalFormatting>
  <conditionalFormatting sqref="B4">
    <cfRule type="cellIs" dxfId="132" priority="10" operator="equal">
      <formula>"AMBER"</formula>
    </cfRule>
  </conditionalFormatting>
  <conditionalFormatting sqref="B4">
    <cfRule type="cellIs" dxfId="131" priority="11" operator="equal">
      <formula>"RED"</formula>
    </cfRule>
  </conditionalFormatting>
  <conditionalFormatting sqref="B4">
    <cfRule type="cellIs" dxfId="130" priority="12" operator="equal">
      <formula>"GREEN"</formula>
    </cfRule>
  </conditionalFormatting>
  <conditionalFormatting sqref="B5">
    <cfRule type="cellIs" dxfId="129" priority="13" operator="equal">
      <formula>"AMBER"</formula>
    </cfRule>
  </conditionalFormatting>
  <conditionalFormatting sqref="B5">
    <cfRule type="cellIs" dxfId="128" priority="14" operator="equal">
      <formula>"RED"</formula>
    </cfRule>
  </conditionalFormatting>
  <conditionalFormatting sqref="B5">
    <cfRule type="cellIs" dxfId="127" priority="15" operator="equal">
      <formula>"GREEN"</formula>
    </cfRule>
  </conditionalFormatting>
  <conditionalFormatting sqref="B6">
    <cfRule type="cellIs" dxfId="126" priority="16" operator="equal">
      <formula>"AMBER"</formula>
    </cfRule>
  </conditionalFormatting>
  <conditionalFormatting sqref="B6">
    <cfRule type="cellIs" dxfId="125" priority="17" operator="equal">
      <formula>"RED"</formula>
    </cfRule>
  </conditionalFormatting>
  <conditionalFormatting sqref="B6">
    <cfRule type="cellIs" dxfId="124" priority="18" operator="equal">
      <formula>"GREEN"</formula>
    </cfRule>
  </conditionalFormatting>
  <conditionalFormatting sqref="B7">
    <cfRule type="cellIs" dxfId="123" priority="19" operator="equal">
      <formula>"AMBER"</formula>
    </cfRule>
  </conditionalFormatting>
  <conditionalFormatting sqref="B7">
    <cfRule type="cellIs" dxfId="122" priority="20" operator="equal">
      <formula>"RED"</formula>
    </cfRule>
  </conditionalFormatting>
  <conditionalFormatting sqref="B7">
    <cfRule type="cellIs" dxfId="121" priority="21" operator="equal">
      <formula>"GREEN"</formula>
    </cfRule>
  </conditionalFormatting>
  <conditionalFormatting sqref="B8">
    <cfRule type="cellIs" dxfId="120" priority="22" operator="equal">
      <formula>"AMBER"</formula>
    </cfRule>
  </conditionalFormatting>
  <conditionalFormatting sqref="B8">
    <cfRule type="cellIs" dxfId="119" priority="23" operator="equal">
      <formula>"RED"</formula>
    </cfRule>
  </conditionalFormatting>
  <conditionalFormatting sqref="B8">
    <cfRule type="cellIs" dxfId="118" priority="24" operator="equal">
      <formula>"GREEN"</formula>
    </cfRule>
  </conditionalFormatting>
  <conditionalFormatting sqref="B9">
    <cfRule type="cellIs" dxfId="117" priority="25" operator="equal">
      <formula>"AMBER"</formula>
    </cfRule>
  </conditionalFormatting>
  <conditionalFormatting sqref="B9">
    <cfRule type="cellIs" dxfId="116" priority="26" operator="equal">
      <formula>"RED"</formula>
    </cfRule>
  </conditionalFormatting>
  <conditionalFormatting sqref="B9">
    <cfRule type="cellIs" dxfId="115" priority="27" operator="equal">
      <formula>"GREEN"</formula>
    </cfRule>
  </conditionalFormatting>
  <conditionalFormatting sqref="E15">
    <cfRule type="cellIs" dxfId="114" priority="28" operator="equal">
      <formula>"AMBER"</formula>
    </cfRule>
  </conditionalFormatting>
  <conditionalFormatting sqref="E15">
    <cfRule type="cellIs" dxfId="113" priority="29" operator="equal">
      <formula>"RED"</formula>
    </cfRule>
  </conditionalFormatting>
  <conditionalFormatting sqref="E15">
    <cfRule type="cellIs" dxfId="112" priority="30" operator="equal">
      <formula>"GREEN"</formula>
    </cfRule>
  </conditionalFormatting>
  <conditionalFormatting sqref="D18">
    <cfRule type="cellIs" dxfId="111" priority="31" operator="notEqual">
      <formula>"Yes"</formula>
    </cfRule>
  </conditionalFormatting>
  <conditionalFormatting sqref="D19">
    <cfRule type="cellIs" dxfId="110" priority="32" operator="notEqual">
      <formula>"Yes"</formula>
    </cfRule>
  </conditionalFormatting>
  <conditionalFormatting sqref="D20">
    <cfRule type="cellIs" dxfId="109" priority="33" operator="notEqual">
      <formula>"Yes"</formula>
    </cfRule>
  </conditionalFormatting>
  <conditionalFormatting sqref="D21">
    <cfRule type="cellIs" dxfId="108" priority="34" operator="notEqual">
      <formula>"Yes"</formula>
    </cfRule>
  </conditionalFormatting>
  <conditionalFormatting sqref="D22">
    <cfRule type="cellIs" dxfId="107" priority="35" operator="notEqual">
      <formula>"Yes"</formula>
    </cfRule>
  </conditionalFormatting>
  <conditionalFormatting sqref="D23">
    <cfRule type="cellIs" dxfId="106" priority="36" operator="notEqual">
      <formula>"Yes"</formula>
    </cfRule>
  </conditionalFormatting>
  <conditionalFormatting sqref="D24">
    <cfRule type="cellIs" dxfId="105" priority="37" operator="notEqual">
      <formula>"Yes"</formula>
    </cfRule>
  </conditionalFormatting>
  <conditionalFormatting sqref="D25">
    <cfRule type="cellIs" dxfId="104" priority="38" operator="notEqual">
      <formula>"Yes"</formula>
    </cfRule>
  </conditionalFormatting>
  <conditionalFormatting sqref="D26">
    <cfRule type="cellIs" dxfId="103" priority="39" operator="notEqual">
      <formula>"Yes"</formula>
    </cfRule>
  </conditionalFormatting>
  <conditionalFormatting sqref="D27">
    <cfRule type="cellIs" dxfId="102" priority="40" operator="notEqual">
      <formula>"Yes"</formula>
    </cfRule>
  </conditionalFormatting>
  <dataValidations count="44">
    <dataValidation type="list" allowBlank="1" showInputMessage="1" showErrorMessage="1" sqref="C29">
      <formula1>CommsType</formula1>
    </dataValidation>
    <dataValidation type="list" allowBlank="1" showInputMessage="1" showErrorMessage="1" sqref="C30">
      <formula1>CommsType</formula1>
    </dataValidation>
    <dataValidation type="list" allowBlank="1" showInputMessage="1" showErrorMessage="1" sqref="C31">
      <formula1>CommsType</formula1>
    </dataValidation>
    <dataValidation type="list" allowBlank="1" showInputMessage="1" showErrorMessage="1" sqref="C32">
      <formula1>CommsType</formula1>
    </dataValidation>
    <dataValidation type="list" allowBlank="1" showInputMessage="1" showErrorMessage="1" sqref="C33">
      <formula1>CommsType</formula1>
    </dataValidation>
    <dataValidation type="list" allowBlank="1" showInputMessage="1" showErrorMessage="1" sqref="C34">
      <formula1>CommsType</formula1>
    </dataValidation>
    <dataValidation type="list" allowBlank="1" showInputMessage="1" showErrorMessage="1" sqref="C35">
      <formula1>CommsType</formula1>
    </dataValidation>
    <dataValidation type="list" allowBlank="1" showInputMessage="1" showErrorMessage="1" sqref="C36">
      <formula1>CommsType</formula1>
    </dataValidation>
    <dataValidation type="list" allowBlank="1" showInputMessage="1" showErrorMessage="1" sqref="C37">
      <formula1>CommsType</formula1>
    </dataValidation>
    <dataValidation type="list" allowBlank="1" showInputMessage="1" showErrorMessage="1" sqref="C38">
      <formula1>CommsType</formula1>
    </dataValidation>
    <dataValidation type="list" allowBlank="1" showInputMessage="1" showErrorMessage="1" sqref="C39">
      <formula1>CommsType</formula1>
    </dataValidation>
    <dataValidation type="list" allowBlank="1" showInputMessage="1" showErrorMessage="1" sqref="C40">
      <formula1>CommsType</formula1>
    </dataValidation>
    <dataValidation type="list" allowBlank="1" showInputMessage="1" showErrorMessage="1" sqref="D29">
      <formula1>CommsType</formula1>
    </dataValidation>
    <dataValidation type="list" allowBlank="1" showInputMessage="1" showErrorMessage="1" sqref="D30">
      <formula1>CommsType</formula1>
    </dataValidation>
    <dataValidation type="list" allowBlank="1" showInputMessage="1" showErrorMessage="1" sqref="D31">
      <formula1>CommsType</formula1>
    </dataValidation>
    <dataValidation type="list" allowBlank="1" showInputMessage="1" showErrorMessage="1" sqref="D32">
      <formula1>CommsType</formula1>
    </dataValidation>
    <dataValidation type="list" allowBlank="1" showInputMessage="1" showErrorMessage="1" sqref="D33">
      <formula1>CommsType</formula1>
    </dataValidation>
    <dataValidation type="list" allowBlank="1" showInputMessage="1" showErrorMessage="1" sqref="D34">
      <formula1>CommsType</formula1>
    </dataValidation>
    <dataValidation type="list" allowBlank="1" showInputMessage="1" showErrorMessage="1" sqref="D35">
      <formula1>CommsType</formula1>
    </dataValidation>
    <dataValidation type="list" allowBlank="1" showInputMessage="1" showErrorMessage="1" sqref="D36">
      <formula1>CommsType</formula1>
    </dataValidation>
    <dataValidation type="list" allowBlank="1" showInputMessage="1" showErrorMessage="1" sqref="D37">
      <formula1>CommsType</formula1>
    </dataValidation>
    <dataValidation type="list" allowBlank="1" showInputMessage="1" showErrorMessage="1" sqref="D38">
      <formula1>CommsType</formula1>
    </dataValidation>
    <dataValidation type="list" allowBlank="1" showInputMessage="1" showErrorMessage="1" sqref="D39">
      <formula1>CommsType</formula1>
    </dataValidation>
    <dataValidation type="list" allowBlank="1" showInputMessage="1" showErrorMessage="1" sqref="D40">
      <formula1>CommsType</formula1>
    </dataValidation>
    <dataValidation type="list" allowBlank="1" showInputMessage="1" showErrorMessage="1" sqref="C18">
      <formula1>CommsType</formula1>
    </dataValidation>
    <dataValidation type="list" allowBlank="1" showInputMessage="1" showErrorMessage="1" sqref="C19">
      <formula1>CommsType</formula1>
    </dataValidation>
    <dataValidation type="list" allowBlank="1" showInputMessage="1" showErrorMessage="1" sqref="C20">
      <formula1>CommsType</formula1>
    </dataValidation>
    <dataValidation type="list" allowBlank="1" showInputMessage="1" showErrorMessage="1" sqref="C21">
      <formula1>CommsType</formula1>
    </dataValidation>
    <dataValidation type="list" allowBlank="1" showInputMessage="1" showErrorMessage="1" sqref="C22">
      <formula1>CommsType</formula1>
    </dataValidation>
    <dataValidation type="list" allowBlank="1" showInputMessage="1" showErrorMessage="1" sqref="C23">
      <formula1>CommsType</formula1>
    </dataValidation>
    <dataValidation type="list" allowBlank="1" showInputMessage="1" showErrorMessage="1" sqref="C24">
      <formula1>CommsType</formula1>
    </dataValidation>
    <dataValidation type="list" allowBlank="1" showInputMessage="1" showErrorMessage="1" sqref="C25">
      <formula1>CommsType</formula1>
    </dataValidation>
    <dataValidation type="list" allowBlank="1" showInputMessage="1" showErrorMessage="1" sqref="C26">
      <formula1>CommsType</formula1>
    </dataValidation>
    <dataValidation type="list" allowBlank="1" showInputMessage="1" showErrorMessage="1" sqref="C27">
      <formula1>CommsType</formula1>
    </dataValidation>
    <dataValidation type="list" showInputMessage="1" showErrorMessage="1" sqref="D18">
      <formula1>YesNo</formula1>
    </dataValidation>
    <dataValidation type="list" showInputMessage="1" showErrorMessage="1" sqref="D19">
      <formula1>YesNo</formula1>
    </dataValidation>
    <dataValidation type="list" showInputMessage="1" showErrorMessage="1" sqref="D20">
      <formula1>YesNo</formula1>
    </dataValidation>
    <dataValidation type="list" showInputMessage="1" showErrorMessage="1" sqref="D21">
      <formula1>YesNo</formula1>
    </dataValidation>
    <dataValidation type="list" showInputMessage="1" showErrorMessage="1" sqref="D22">
      <formula1>YesNo</formula1>
    </dataValidation>
    <dataValidation type="list" showInputMessage="1" showErrorMessage="1" sqref="D23">
      <formula1>YesNo</formula1>
    </dataValidation>
    <dataValidation type="list" showInputMessage="1" showErrorMessage="1" sqref="D24">
      <formula1>YesNo</formula1>
    </dataValidation>
    <dataValidation type="list" showInputMessage="1" showErrorMessage="1" sqref="D25">
      <formula1>YesNo</formula1>
    </dataValidation>
    <dataValidation type="list" showInputMessage="1" showErrorMessage="1" sqref="D26">
      <formula1>YesNo</formula1>
    </dataValidation>
    <dataValidation type="list" showInputMessage="1" showErrorMessage="1" sqref="D27">
      <formula1>YesNo</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1" location="Legend!A1" display="See Legend"/>
    <hyperlink ref="E22" r:id="rId1"/>
  </hyperlinks>
  <pageMargins left="0.75" right="0.75" top="1" bottom="1" header="0.5" footer="0.5"/>
  <pageSetup paperSize="9" scale="63" orientation="landscape" r:id="rId2"/>
</worksheet>
</file>

<file path=xl/worksheets/sheet9.xml><?xml version="1.0" encoding="utf-8"?>
<worksheet xmlns="http://schemas.openxmlformats.org/spreadsheetml/2006/main" xmlns:r="http://schemas.openxmlformats.org/officeDocument/2006/relationships">
  <sheetPr>
    <tabColor rgb="FFCCFFCC"/>
    <pageSetUpPr fitToPage="1"/>
  </sheetPr>
  <dimension ref="A1:AE38"/>
  <sheetViews>
    <sheetView showGridLines="0" workbookViewId="0">
      <selection activeCell="H15" sqref="H15"/>
    </sheetView>
  </sheetViews>
  <sheetFormatPr defaultColWidth="11.42578125" defaultRowHeight="12.75"/>
  <cols>
    <col min="1" max="1" width="14" style="4" customWidth="1"/>
    <col min="2" max="2" width="28.140625" customWidth="1"/>
    <col min="3" max="3" width="18.7109375" customWidth="1"/>
    <col min="4" max="4" width="15.28515625" customWidth="1"/>
    <col min="5" max="5" width="15.140625" customWidth="1"/>
    <col min="6" max="6" width="15.140625" style="5" customWidth="1"/>
    <col min="7" max="7" width="17.140625" customWidth="1"/>
    <col min="8" max="8" width="15" customWidth="1"/>
    <col min="9" max="9" width="15" style="5" customWidth="1"/>
    <col min="11" max="11" width="10.85546875" style="5" customWidth="1"/>
    <col min="12" max="18" width="10.85546875" hidden="1" customWidth="1"/>
    <col min="19" max="19" width="10.85546875" customWidth="1"/>
    <col min="20" max="25" width="16.28515625" customWidth="1"/>
    <col min="27" max="31" width="0" hidden="1" customWidth="1"/>
  </cols>
  <sheetData>
    <row r="1" spans="1:18" s="4" customFormat="1">
      <c r="A1" s="60" t="s">
        <v>0</v>
      </c>
      <c r="B1" s="38" t="str">
        <f>OVERALLLIGHT</f>
        <v>AMBER</v>
      </c>
      <c r="F1" s="5"/>
      <c r="I1" s="5"/>
      <c r="K1" s="5"/>
    </row>
    <row r="2" spans="1:18" s="4" customFormat="1">
      <c r="A2" s="61" t="s">
        <v>1</v>
      </c>
      <c r="B2" s="39" t="str">
        <f>MILESTONELIGHT</f>
        <v>RED</v>
      </c>
      <c r="F2" s="5"/>
      <c r="I2" s="5"/>
      <c r="K2" s="5"/>
    </row>
    <row r="3" spans="1:18" s="4" customFormat="1">
      <c r="A3" s="61" t="s">
        <v>2</v>
      </c>
      <c r="B3" s="39" t="str">
        <f>ISSUELIGHT</f>
        <v>GREEN</v>
      </c>
      <c r="F3" s="5"/>
      <c r="I3" s="5"/>
      <c r="K3" s="5"/>
    </row>
    <row r="4" spans="1:18" s="4" customFormat="1">
      <c r="A4" s="61" t="s">
        <v>3</v>
      </c>
      <c r="B4" s="39" t="str">
        <f>RISKLIGHT</f>
        <v>GREEN</v>
      </c>
      <c r="F4" s="5"/>
      <c r="I4" s="5"/>
      <c r="K4" s="5"/>
    </row>
    <row r="5" spans="1:18" s="4" customFormat="1">
      <c r="A5" s="61" t="s">
        <v>4</v>
      </c>
      <c r="B5" s="39" t="str">
        <f>CHANGELIGHT</f>
        <v>GREEN</v>
      </c>
      <c r="F5" s="5"/>
      <c r="I5" s="5"/>
      <c r="K5" s="5"/>
    </row>
    <row r="6" spans="1:18" s="4" customFormat="1">
      <c r="A6" s="61" t="s">
        <v>5</v>
      </c>
      <c r="B6" s="40" t="str">
        <f>DEPENDENCYLIGHT</f>
        <v/>
      </c>
      <c r="F6" s="5"/>
      <c r="I6" s="5"/>
      <c r="K6" s="5"/>
    </row>
    <row r="7" spans="1:18" s="4" customFormat="1">
      <c r="A7" s="61" t="s">
        <v>6</v>
      </c>
      <c r="B7" s="40" t="str">
        <f>MEASURELIGHT</f>
        <v/>
      </c>
      <c r="F7" s="5"/>
      <c r="I7" s="5"/>
      <c r="K7" s="5"/>
    </row>
    <row r="8" spans="1:18" s="4" customFormat="1" ht="15">
      <c r="A8" s="61" t="s">
        <v>7</v>
      </c>
      <c r="B8" s="39" t="str">
        <f>COMMUNICATIONLIGHT</f>
        <v>GREEN</v>
      </c>
      <c r="D8" s="16"/>
      <c r="F8" s="5"/>
      <c r="I8" s="5"/>
      <c r="K8" s="5"/>
    </row>
    <row r="9" spans="1:18" s="4" customFormat="1" ht="15">
      <c r="A9" s="61" t="s">
        <v>8</v>
      </c>
      <c r="B9" s="41" t="str">
        <f>FINANCELIGHT</f>
        <v>GREEN</v>
      </c>
      <c r="D9" s="16"/>
      <c r="F9" s="5"/>
      <c r="I9" s="5"/>
      <c r="K9" s="5"/>
    </row>
    <row r="10" spans="1:18" s="5" customFormat="1">
      <c r="A10" s="61"/>
      <c r="B10" s="132"/>
      <c r="P10" s="10"/>
    </row>
    <row r="11" spans="1:18" s="5" customFormat="1" ht="15.95" customHeight="1">
      <c r="A11" s="61"/>
      <c r="B11" s="130" t="str">
        <f>ProjNo</f>
        <v>RT029</v>
      </c>
      <c r="C11" s="131" t="str">
        <f>ProjName</f>
        <v>Cloud Based Bioinformatics Tools</v>
      </c>
      <c r="P11" s="10"/>
    </row>
    <row r="12" spans="1:18" s="5" customFormat="1" ht="15.95" customHeight="1">
      <c r="A12" s="61"/>
      <c r="B12" s="128" t="s">
        <v>42</v>
      </c>
      <c r="C12" s="133">
        <f>ReportFrom</f>
        <v>41244</v>
      </c>
      <c r="D12" s="125"/>
      <c r="P12" s="10"/>
    </row>
    <row r="13" spans="1:18" s="5" customFormat="1" ht="15.95" customHeight="1">
      <c r="A13" s="61"/>
      <c r="B13" s="129" t="s">
        <v>43</v>
      </c>
      <c r="C13" s="134">
        <f>LastDateReport</f>
        <v>41334</v>
      </c>
      <c r="D13" s="125"/>
      <c r="P13" s="10"/>
    </row>
    <row r="14" spans="1:18" s="5" customFormat="1" ht="6" customHeight="1">
      <c r="A14" s="61"/>
      <c r="B14" s="126"/>
      <c r="C14" s="127"/>
      <c r="D14" s="125"/>
      <c r="P14" s="10"/>
    </row>
    <row r="15" spans="1:18" ht="18.95" customHeight="1">
      <c r="B15" s="12" t="s">
        <v>218</v>
      </c>
      <c r="C15" s="12"/>
      <c r="D15" s="12"/>
      <c r="G15" s="12" t="s">
        <v>45</v>
      </c>
      <c r="H15" s="12" t="str">
        <f>FINANCELIGHT</f>
        <v>GREEN</v>
      </c>
      <c r="I15" s="12"/>
      <c r="K15" s="12"/>
    </row>
    <row r="16" spans="1:18" s="5" customFormat="1" ht="18.95" customHeight="1">
      <c r="B16" s="22" t="s">
        <v>219</v>
      </c>
      <c r="C16" s="12"/>
      <c r="D16" s="12"/>
      <c r="E16" s="12"/>
      <c r="F16" s="12"/>
      <c r="G16" s="12"/>
      <c r="H16" s="12"/>
      <c r="I16" s="12"/>
      <c r="J16" s="12"/>
      <c r="K16" s="12"/>
      <c r="L16" s="521" t="s">
        <v>220</v>
      </c>
      <c r="M16" s="521"/>
      <c r="N16" s="521"/>
      <c r="O16" s="521"/>
      <c r="P16" s="521"/>
      <c r="Q16" s="521"/>
      <c r="R16" s="521"/>
    </row>
    <row r="17" spans="1:31" ht="15.95" customHeight="1">
      <c r="A17" s="65"/>
      <c r="B17" s="65"/>
      <c r="C17" s="104"/>
      <c r="D17" s="104"/>
      <c r="E17" s="104"/>
      <c r="F17" s="104"/>
      <c r="G17" s="104"/>
      <c r="H17" s="104"/>
      <c r="I17" s="104"/>
      <c r="J17" s="104"/>
      <c r="K17" s="105"/>
      <c r="L17" s="521"/>
      <c r="M17" s="521"/>
      <c r="N17" s="521"/>
      <c r="O17" s="521"/>
      <c r="P17" s="521"/>
      <c r="Q17" s="521"/>
      <c r="R17" s="521"/>
      <c r="S17" s="65"/>
      <c r="T17" s="65"/>
      <c r="U17" s="65"/>
      <c r="V17" s="65"/>
      <c r="AA17" s="521" t="s">
        <v>221</v>
      </c>
      <c r="AB17" s="521"/>
      <c r="AC17" s="521"/>
      <c r="AD17" s="521"/>
      <c r="AE17" s="521"/>
    </row>
    <row r="18" spans="1:31" ht="15" customHeight="1">
      <c r="A18" s="65"/>
      <c r="B18" s="106"/>
      <c r="C18" s="106"/>
      <c r="D18" s="65"/>
      <c r="E18" s="65"/>
      <c r="F18" s="65"/>
      <c r="G18" s="65"/>
      <c r="H18" s="65"/>
      <c r="I18" s="65"/>
      <c r="J18" s="68"/>
      <c r="K18" s="107"/>
      <c r="L18" s="83" t="s">
        <v>222</v>
      </c>
      <c r="M18" s="83" t="s">
        <v>223</v>
      </c>
      <c r="N18" s="83" t="s">
        <v>224</v>
      </c>
      <c r="O18" s="83" t="s">
        <v>225</v>
      </c>
      <c r="P18" s="83" t="s">
        <v>226</v>
      </c>
      <c r="Q18" s="83" t="s">
        <v>227</v>
      </c>
      <c r="R18" s="83" t="s">
        <v>228</v>
      </c>
      <c r="S18" s="65"/>
      <c r="T18" s="65"/>
      <c r="U18" s="65"/>
      <c r="V18" s="65"/>
      <c r="AA18" s="521"/>
      <c r="AB18" s="521"/>
      <c r="AC18" s="521"/>
      <c r="AD18" s="521"/>
      <c r="AE18" s="521"/>
    </row>
    <row r="19" spans="1:31" s="4" customFormat="1" ht="15" customHeight="1">
      <c r="A19" s="65"/>
      <c r="B19" s="106"/>
      <c r="C19" s="106"/>
      <c r="D19" s="518" t="s">
        <v>229</v>
      </c>
      <c r="E19" s="519"/>
      <c r="F19" s="520"/>
      <c r="G19" s="518" t="s">
        <v>230</v>
      </c>
      <c r="H19" s="519"/>
      <c r="I19" s="520"/>
      <c r="J19" s="68"/>
      <c r="K19" s="107"/>
      <c r="L19" s="83"/>
      <c r="M19" s="83"/>
      <c r="N19" s="83"/>
      <c r="O19" s="83"/>
      <c r="P19" s="83"/>
      <c r="Q19" s="83"/>
      <c r="R19" s="83"/>
      <c r="S19" s="65"/>
      <c r="T19" s="518" t="s">
        <v>231</v>
      </c>
      <c r="U19" s="519"/>
      <c r="V19" s="520"/>
      <c r="W19" s="518" t="s">
        <v>232</v>
      </c>
      <c r="X19" s="519"/>
      <c r="Y19" s="520"/>
      <c r="AA19" s="1" t="s">
        <v>233</v>
      </c>
      <c r="AB19" s="1" t="s">
        <v>223</v>
      </c>
      <c r="AC19" s="1" t="s">
        <v>234</v>
      </c>
      <c r="AD19" s="1" t="s">
        <v>235</v>
      </c>
      <c r="AE19" s="1" t="s">
        <v>103</v>
      </c>
    </row>
    <row r="20" spans="1:31" ht="15" customHeight="1">
      <c r="A20" s="65"/>
      <c r="B20" s="106"/>
      <c r="C20" s="106"/>
      <c r="D20" s="167" t="s">
        <v>236</v>
      </c>
      <c r="E20" s="168" t="s">
        <v>237</v>
      </c>
      <c r="F20" s="169" t="s">
        <v>238</v>
      </c>
      <c r="G20" s="167" t="s">
        <v>236</v>
      </c>
      <c r="H20" s="168" t="s">
        <v>237</v>
      </c>
      <c r="I20" s="169" t="s">
        <v>238</v>
      </c>
      <c r="J20" s="62"/>
      <c r="K20" s="108"/>
      <c r="L20" s="83"/>
      <c r="M20" s="83"/>
      <c r="N20" s="83"/>
      <c r="O20" s="83"/>
      <c r="P20" s="83"/>
      <c r="Q20" s="83"/>
      <c r="R20" s="83"/>
      <c r="S20" s="65"/>
      <c r="T20" s="256" t="s">
        <v>236</v>
      </c>
      <c r="U20" s="257" t="s">
        <v>239</v>
      </c>
      <c r="V20" s="258" t="s">
        <v>35</v>
      </c>
      <c r="W20" s="256" t="s">
        <v>236</v>
      </c>
      <c r="X20" s="257" t="s">
        <v>239</v>
      </c>
      <c r="Y20" s="258" t="s">
        <v>35</v>
      </c>
      <c r="AA20" s="1"/>
      <c r="AB20" s="1"/>
      <c r="AC20" s="1"/>
      <c r="AD20" s="1"/>
      <c r="AE20" s="1"/>
    </row>
    <row r="21" spans="1:31" ht="27.95" customHeight="1">
      <c r="A21" s="109" t="s">
        <v>48</v>
      </c>
      <c r="B21" s="110" t="s">
        <v>240</v>
      </c>
      <c r="C21" s="163"/>
      <c r="D21" s="174">
        <v>0</v>
      </c>
      <c r="E21" s="175">
        <v>0</v>
      </c>
      <c r="F21" s="176">
        <v>0</v>
      </c>
      <c r="G21" s="172"/>
      <c r="H21" s="166"/>
      <c r="I21" s="173"/>
      <c r="J21" s="100"/>
      <c r="K21" s="111"/>
      <c r="L21" s="83"/>
      <c r="M21" s="83"/>
      <c r="N21" s="83"/>
      <c r="O21" s="83"/>
      <c r="P21" s="83"/>
      <c r="Q21" s="83"/>
      <c r="R21" s="83"/>
      <c r="S21" s="65"/>
      <c r="T21" s="259"/>
      <c r="U21" s="260"/>
      <c r="V21" s="261"/>
      <c r="W21" s="259"/>
      <c r="X21" s="262"/>
      <c r="Y21" s="263"/>
      <c r="AA21" s="1"/>
      <c r="AB21" s="1"/>
      <c r="AC21" s="1"/>
      <c r="AD21" s="1"/>
      <c r="AE21" s="1"/>
    </row>
    <row r="22" spans="1:31" ht="27.95" customHeight="1">
      <c r="A22" s="65"/>
      <c r="B22" s="112" t="s">
        <v>241</v>
      </c>
      <c r="C22" s="164"/>
      <c r="D22" s="174">
        <v>52000</v>
      </c>
      <c r="E22" s="175">
        <v>0</v>
      </c>
      <c r="F22" s="176">
        <v>0</v>
      </c>
      <c r="G22" s="172"/>
      <c r="H22" s="166"/>
      <c r="I22" s="173"/>
      <c r="J22" s="100"/>
      <c r="K22" s="111"/>
      <c r="L22" s="83"/>
      <c r="M22" s="83"/>
      <c r="N22" s="83"/>
      <c r="O22" s="83"/>
      <c r="P22" s="83"/>
      <c r="Q22" s="83"/>
      <c r="R22" s="83"/>
      <c r="S22" s="65"/>
      <c r="T22" s="259"/>
      <c r="U22" s="260"/>
      <c r="V22" s="261"/>
      <c r="W22" s="259"/>
      <c r="X22" s="262"/>
      <c r="Y22" s="263"/>
      <c r="AA22" s="1"/>
      <c r="AB22" s="1"/>
      <c r="AC22" s="1"/>
      <c r="AD22" s="1"/>
      <c r="AE22" s="1"/>
    </row>
    <row r="23" spans="1:31" ht="27.95" customHeight="1">
      <c r="A23" s="65"/>
      <c r="B23" s="112" t="s">
        <v>242</v>
      </c>
      <c r="C23" s="164"/>
      <c r="D23" s="174">
        <v>0</v>
      </c>
      <c r="E23" s="175">
        <v>0</v>
      </c>
      <c r="F23" s="176">
        <v>0</v>
      </c>
      <c r="G23" s="172"/>
      <c r="H23" s="166"/>
      <c r="I23" s="173"/>
      <c r="J23" s="100"/>
      <c r="K23" s="111"/>
      <c r="L23" s="83"/>
      <c r="M23" s="83"/>
      <c r="N23" s="83"/>
      <c r="O23" s="83"/>
      <c r="P23" s="83"/>
      <c r="Q23" s="83"/>
      <c r="R23" s="83"/>
      <c r="S23" s="65"/>
      <c r="T23" s="259"/>
      <c r="U23" s="260"/>
      <c r="V23" s="261"/>
      <c r="W23" s="259"/>
      <c r="X23" s="262"/>
      <c r="Y23" s="263"/>
      <c r="AA23" s="1"/>
      <c r="AB23" s="1"/>
      <c r="AC23" s="1"/>
      <c r="AD23" s="1"/>
      <c r="AE23" s="1"/>
    </row>
    <row r="24" spans="1:31" ht="27.95" customHeight="1">
      <c r="A24" s="65"/>
      <c r="B24" s="113" t="s">
        <v>35</v>
      </c>
      <c r="C24" s="165"/>
      <c r="D24" s="170">
        <f t="shared" ref="D24:I24" si="0">SUM(D21:D23)</f>
        <v>52000</v>
      </c>
      <c r="E24" s="171">
        <f t="shared" si="0"/>
        <v>0</v>
      </c>
      <c r="F24" s="171">
        <f t="shared" si="0"/>
        <v>0</v>
      </c>
      <c r="G24" s="170">
        <f t="shared" si="0"/>
        <v>0</v>
      </c>
      <c r="H24" s="171">
        <f t="shared" si="0"/>
        <v>0</v>
      </c>
      <c r="I24" s="114">
        <f t="shared" si="0"/>
        <v>0</v>
      </c>
      <c r="J24" s="115"/>
      <c r="K24" s="115"/>
      <c r="L24" s="116">
        <f>IF(ISERROR((G24/D24-1)),"",(G24/D24-1))</f>
        <v>-1</v>
      </c>
      <c r="M24" s="83" t="str">
        <f>IF(ISERROR(IF(ABS(L24)&lt;0.1,"GREEN",IF(ABS(L24)&lt;0.2,"AMBER","RED"))),"",IF(ABS(L24)&lt;0.1,"GREEN",IF(ABS(L24)&lt;0.2,"AMBER","RED")))</f>
        <v>RED</v>
      </c>
      <c r="N24" s="83" t="str">
        <f>IF(ISERROR((((H24+I24)/(E24+F24)-1))),"",(((H24+I24)/(E24+F24)-1)))</f>
        <v/>
      </c>
      <c r="O24" s="83" t="str">
        <f>IF(ISERROR(IF(ABS(N24)&lt;0.1,"GREEN",IF(ABS(N24)&lt;0.2,"AMBER","RED"))),"",IF(ABS(N24)&lt;0.1,"GREEN",IF(ABS(N24)&lt;0.2,"AMBER","RED")))</f>
        <v/>
      </c>
      <c r="P24" s="83" t="str">
        <f>IF(ISERROR(IF(M24="RED","RED",IF(O24="RED","RED",IF(M24="AMBER","AMBER",IF(O24="AMBER","AMBER","GREEN"))))),"",IF(M24="RED","RED",IF(O24="RED","RED",IF(M24="AMBER","AMBER",IF(O24="AMBER","AMBER","GREEN")))))</f>
        <v>RED</v>
      </c>
      <c r="Q24" s="83">
        <f>IF(ISERROR(L24*100),"",L24*100)</f>
        <v>-100</v>
      </c>
      <c r="R24" s="83" t="str">
        <f>IF(ISERROR(N24*100),"",N24*100)</f>
        <v/>
      </c>
      <c r="S24" s="65"/>
      <c r="T24" s="267">
        <v>260000</v>
      </c>
      <c r="U24" s="254">
        <v>135000</v>
      </c>
      <c r="V24" s="255">
        <f>T24+U24</f>
        <v>395000</v>
      </c>
      <c r="W24" s="264">
        <f>ActualCumulativeEIF+G24</f>
        <v>169000</v>
      </c>
      <c r="X24" s="265">
        <f>ActualCumulativeCo+H24+I24</f>
        <v>114000</v>
      </c>
      <c r="Y24" s="266">
        <f>W24+X24</f>
        <v>283000</v>
      </c>
      <c r="AA24" s="1">
        <f>IF(ISERROR((W24/T24-1)),"",(W24/T24-1))</f>
        <v>-0.35</v>
      </c>
      <c r="AB24" s="1" t="str">
        <f>IF(ISERROR(IF(ABS(AA24)&lt;0.1,"GREEN",IF(ABS(AA24)&lt;0.2,"AMBER","RED"))),"",IF(ABS(AA24)&lt;0.1,"GREEN",IF(ABS(AA24)&lt;0.2,"AMBER","RED")))</f>
        <v>RED</v>
      </c>
      <c r="AC24" s="1">
        <f>IF(ISERROR((((X24)/(U24)-1))),"",(((X24)/(U24)-1)))</f>
        <v>-0.15555555555555556</v>
      </c>
      <c r="AD24" s="1" t="str">
        <f>IF(ISERROR(IF(ABS(AC24)&lt;0.1,"GREEN",IF(ABS(AC24)&lt;0.2,"AMBER","RED"))),"",IF(ABS(AC24)&lt;0.1,"GREEN",IF(ABS(AC24)&lt;0.2,"AMBER","RED")))</f>
        <v>AMBER</v>
      </c>
      <c r="AE24" s="268" t="str">
        <f>IF(ISERROR(IF(AB24="RED","RED",IF(AD24="RED","RED",IF(AB24="AMBER","AMBER",IF(AD24="AMBER","AMBER","GREEN"))))),"",IF(AB24="RED","RED",IF(AD24="RED","RED",IF(AB24="AMBER","AMBER",IF(AD24="AMBER","AMBER","GREEN")))))</f>
        <v>RED</v>
      </c>
    </row>
    <row r="25" spans="1:31" ht="15" customHeight="1">
      <c r="A25" s="65"/>
      <c r="B25" s="117"/>
      <c r="C25" s="117"/>
      <c r="D25" s="106"/>
      <c r="E25" s="106"/>
      <c r="F25" s="106"/>
      <c r="G25" s="106"/>
      <c r="H25" s="106"/>
      <c r="I25" s="106"/>
      <c r="J25" s="106"/>
      <c r="K25" s="111"/>
      <c r="L25" s="65"/>
      <c r="M25" s="65"/>
      <c r="N25" s="65"/>
      <c r="O25" s="65"/>
      <c r="P25" s="65"/>
      <c r="Q25" s="65"/>
      <c r="R25" s="65"/>
      <c r="S25" s="65"/>
      <c r="T25" s="65"/>
      <c r="U25" s="65"/>
      <c r="V25" s="65"/>
    </row>
    <row r="26" spans="1:31" s="5" customFormat="1" ht="17.100000000000001" customHeight="1">
      <c r="A26" s="65"/>
      <c r="B26" s="230" t="s">
        <v>243</v>
      </c>
      <c r="C26" s="231"/>
      <c r="D26" s="232"/>
      <c r="E26" s="105"/>
      <c r="F26" s="105"/>
      <c r="G26" s="105"/>
      <c r="H26" s="105"/>
      <c r="I26" s="105"/>
      <c r="J26" s="105"/>
      <c r="K26" s="118"/>
      <c r="L26" s="65"/>
      <c r="M26" s="65"/>
      <c r="N26" s="65"/>
      <c r="O26" s="65"/>
      <c r="P26" s="65"/>
      <c r="Q26" s="65"/>
      <c r="R26" s="65"/>
      <c r="S26" s="65"/>
      <c r="T26" s="65"/>
      <c r="U26" s="65"/>
      <c r="V26" s="65"/>
    </row>
    <row r="27" spans="1:31" ht="15.95" customHeight="1">
      <c r="A27" s="65"/>
      <c r="B27" s="105"/>
      <c r="C27" s="105"/>
      <c r="D27" s="105"/>
      <c r="E27" s="105"/>
      <c r="F27" s="105"/>
      <c r="G27" s="105"/>
      <c r="H27" s="105"/>
      <c r="I27" s="105"/>
      <c r="J27" s="105"/>
      <c r="K27" s="118"/>
      <c r="L27" s="65"/>
      <c r="M27" s="65"/>
      <c r="N27" s="65"/>
      <c r="O27" s="65"/>
      <c r="P27" s="65"/>
      <c r="Q27" s="65"/>
      <c r="R27" s="65"/>
      <c r="S27" s="65"/>
      <c r="T27" s="65"/>
      <c r="U27" s="65"/>
      <c r="V27" s="65"/>
    </row>
    <row r="28" spans="1:31" ht="15" customHeight="1">
      <c r="A28" s="65"/>
      <c r="B28" s="69" t="s">
        <v>33</v>
      </c>
      <c r="C28" s="101"/>
      <c r="D28" s="101"/>
      <c r="E28" s="101"/>
      <c r="F28" s="101"/>
      <c r="G28" s="101"/>
      <c r="H28" s="101"/>
      <c r="I28" s="101"/>
      <c r="J28" s="101"/>
      <c r="K28" s="111"/>
      <c r="L28" s="65"/>
      <c r="M28" s="65"/>
      <c r="N28" s="65"/>
      <c r="O28" s="65"/>
      <c r="P28" s="65"/>
      <c r="Q28" s="65"/>
      <c r="R28" s="65"/>
      <c r="S28" s="65"/>
      <c r="T28" s="65"/>
      <c r="U28" s="65"/>
      <c r="V28" s="65"/>
    </row>
    <row r="29" spans="1:31" ht="66" customHeight="1">
      <c r="A29" s="65"/>
      <c r="B29" s="515"/>
      <c r="C29" s="516"/>
      <c r="D29" s="516"/>
      <c r="E29" s="516"/>
      <c r="F29" s="516"/>
      <c r="G29" s="516"/>
      <c r="H29" s="516"/>
      <c r="I29" s="517"/>
      <c r="J29" s="103"/>
      <c r="K29" s="103"/>
      <c r="L29" s="65"/>
      <c r="M29" s="65"/>
      <c r="N29" s="65"/>
      <c r="O29" s="65"/>
      <c r="P29" s="65"/>
      <c r="Q29" s="65"/>
      <c r="R29" s="65"/>
      <c r="S29" s="65"/>
      <c r="T29" s="65"/>
      <c r="U29" s="65"/>
      <c r="V29" s="65"/>
    </row>
    <row r="30" spans="1:31">
      <c r="A30" s="65"/>
      <c r="B30" s="119"/>
      <c r="C30" s="120"/>
      <c r="D30" s="120"/>
      <c r="E30" s="120"/>
      <c r="F30" s="120"/>
      <c r="G30" s="120"/>
      <c r="H30" s="101"/>
      <c r="I30" s="101"/>
      <c r="J30" s="101"/>
      <c r="K30" s="106"/>
      <c r="L30" s="65"/>
      <c r="M30" s="65"/>
      <c r="N30" s="65"/>
      <c r="O30" s="65"/>
      <c r="P30" s="65"/>
      <c r="Q30" s="65"/>
      <c r="R30" s="65"/>
      <c r="S30" s="65"/>
      <c r="T30" s="65"/>
      <c r="U30" s="65"/>
      <c r="V30" s="65"/>
    </row>
    <row r="31" spans="1:31">
      <c r="A31" s="65"/>
      <c r="B31" s="119"/>
      <c r="C31" s="120"/>
      <c r="D31" s="120"/>
      <c r="E31" s="120"/>
      <c r="F31" s="120"/>
      <c r="G31" s="120"/>
      <c r="H31" s="101"/>
      <c r="I31" s="101"/>
      <c r="J31" s="101"/>
      <c r="K31" s="106"/>
      <c r="L31" s="65"/>
      <c r="M31" s="65"/>
      <c r="N31" s="65"/>
      <c r="O31" s="65"/>
      <c r="P31" s="65"/>
      <c r="Q31" s="65"/>
      <c r="R31" s="65"/>
      <c r="S31" s="65"/>
      <c r="T31" s="65"/>
      <c r="U31" s="65"/>
      <c r="V31" s="65"/>
    </row>
    <row r="32" spans="1:31" ht="14.1" customHeight="1">
      <c r="A32" s="65"/>
      <c r="B32" s="507" t="s">
        <v>28</v>
      </c>
      <c r="C32" s="507"/>
      <c r="D32" s="507"/>
      <c r="E32" s="507"/>
      <c r="F32" s="120"/>
      <c r="G32" s="120"/>
      <c r="H32" s="101"/>
      <c r="I32" s="101"/>
      <c r="J32" s="101"/>
      <c r="K32" s="106"/>
      <c r="L32" s="65"/>
      <c r="M32" s="65"/>
      <c r="N32" s="65"/>
      <c r="O32" s="65"/>
      <c r="P32" s="65"/>
      <c r="Q32" s="65"/>
      <c r="R32" s="65"/>
      <c r="S32" s="65"/>
      <c r="T32" s="65"/>
      <c r="U32" s="65"/>
      <c r="V32" s="65"/>
    </row>
    <row r="33" spans="1:22">
      <c r="A33" s="65"/>
      <c r="B33" s="119"/>
      <c r="C33" s="120"/>
      <c r="D33" s="120"/>
      <c r="E33" s="120"/>
      <c r="F33" s="120"/>
      <c r="G33" s="120"/>
      <c r="H33" s="101"/>
      <c r="I33" s="101"/>
      <c r="J33" s="101"/>
      <c r="K33" s="106"/>
      <c r="L33" s="65"/>
      <c r="M33" s="65"/>
      <c r="N33" s="65"/>
      <c r="O33" s="65"/>
      <c r="P33" s="65"/>
      <c r="Q33" s="65"/>
      <c r="R33" s="65"/>
      <c r="S33" s="65"/>
      <c r="T33" s="65"/>
      <c r="U33" s="65"/>
      <c r="V33" s="65"/>
    </row>
    <row r="34" spans="1:22">
      <c r="A34" s="65"/>
      <c r="B34" s="62"/>
      <c r="C34" s="62"/>
      <c r="D34" s="62"/>
      <c r="E34" s="62"/>
      <c r="F34" s="62"/>
      <c r="G34" s="62"/>
      <c r="H34" s="62"/>
      <c r="I34" s="62"/>
      <c r="J34" s="62"/>
      <c r="K34" s="65"/>
      <c r="L34" s="65"/>
      <c r="M34" s="65"/>
      <c r="N34" s="65"/>
      <c r="O34" s="65"/>
      <c r="P34" s="65"/>
      <c r="Q34" s="65"/>
      <c r="R34" s="65"/>
      <c r="S34" s="65"/>
      <c r="T34" s="65"/>
      <c r="U34" s="65"/>
      <c r="V34" s="65"/>
    </row>
    <row r="35" spans="1:22">
      <c r="A35" s="65"/>
      <c r="B35" s="65"/>
      <c r="C35" s="65"/>
      <c r="D35" s="65"/>
      <c r="E35" s="65"/>
      <c r="F35" s="65"/>
      <c r="G35" s="65"/>
      <c r="H35" s="65"/>
      <c r="I35" s="65"/>
      <c r="J35" s="65"/>
      <c r="K35" s="65"/>
      <c r="L35" s="65"/>
      <c r="M35" s="65"/>
      <c r="N35" s="65"/>
      <c r="O35" s="65"/>
      <c r="P35" s="65"/>
      <c r="Q35" s="65"/>
      <c r="R35" s="65"/>
      <c r="S35" s="65"/>
      <c r="T35" s="65"/>
      <c r="U35" s="65"/>
      <c r="V35" s="65"/>
    </row>
    <row r="36" spans="1:22">
      <c r="A36" s="65"/>
      <c r="B36" s="65"/>
      <c r="C36" s="65"/>
      <c r="D36" s="65"/>
      <c r="E36" s="65"/>
      <c r="F36" s="65"/>
      <c r="G36" s="65"/>
      <c r="H36" s="65"/>
      <c r="I36" s="65"/>
      <c r="J36" s="65"/>
      <c r="K36" s="65"/>
      <c r="L36" s="65"/>
      <c r="M36" s="65"/>
      <c r="N36" s="65"/>
      <c r="O36" s="65"/>
      <c r="P36" s="65"/>
      <c r="Q36" s="65"/>
      <c r="R36" s="65"/>
      <c r="S36" s="65"/>
      <c r="T36" s="65"/>
      <c r="U36" s="65"/>
      <c r="V36" s="65"/>
    </row>
    <row r="37" spans="1:22">
      <c r="B37" s="5"/>
      <c r="C37" s="5"/>
      <c r="D37" s="5"/>
      <c r="E37" s="5"/>
      <c r="G37" s="5"/>
      <c r="H37" s="5"/>
      <c r="J37" s="5"/>
    </row>
    <row r="38" spans="1:22">
      <c r="B38" s="5"/>
      <c r="C38" s="5"/>
      <c r="D38" s="5"/>
      <c r="E38" s="5"/>
      <c r="G38" s="5"/>
      <c r="H38" s="5"/>
      <c r="J38" s="5"/>
    </row>
  </sheetData>
  <sheetProtection sheet="1" formatColumns="0" selectLockedCells="1"/>
  <mergeCells count="8">
    <mergeCell ref="B29:I29"/>
    <mergeCell ref="B32:E32"/>
    <mergeCell ref="T19:V19"/>
    <mergeCell ref="AA17:AE18"/>
    <mergeCell ref="L16:R17"/>
    <mergeCell ref="W19:Y19"/>
    <mergeCell ref="D19:F19"/>
    <mergeCell ref="G19:I19"/>
  </mergeCells>
  <conditionalFormatting sqref="B1">
    <cfRule type="cellIs" dxfId="101" priority="1" operator="equal">
      <formula>"AMBER"</formula>
    </cfRule>
  </conditionalFormatting>
  <conditionalFormatting sqref="B1">
    <cfRule type="cellIs" dxfId="100" priority="2" operator="equal">
      <formula>"RED"</formula>
    </cfRule>
  </conditionalFormatting>
  <conditionalFormatting sqref="B1">
    <cfRule type="cellIs" dxfId="99" priority="3" operator="equal">
      <formula>"GREEN"</formula>
    </cfRule>
  </conditionalFormatting>
  <conditionalFormatting sqref="B2">
    <cfRule type="cellIs" dxfId="98" priority="4" operator="equal">
      <formula>"AMBER"</formula>
    </cfRule>
  </conditionalFormatting>
  <conditionalFormatting sqref="B2">
    <cfRule type="cellIs" dxfId="97" priority="5" operator="equal">
      <formula>"RED"</formula>
    </cfRule>
  </conditionalFormatting>
  <conditionalFormatting sqref="B2">
    <cfRule type="cellIs" dxfId="96" priority="6" operator="equal">
      <formula>"GREEN"</formula>
    </cfRule>
  </conditionalFormatting>
  <conditionalFormatting sqref="B3">
    <cfRule type="cellIs" dxfId="95" priority="7" operator="equal">
      <formula>"AMBER"</formula>
    </cfRule>
  </conditionalFormatting>
  <conditionalFormatting sqref="B3">
    <cfRule type="cellIs" dxfId="94" priority="8" operator="equal">
      <formula>"RED"</formula>
    </cfRule>
  </conditionalFormatting>
  <conditionalFormatting sqref="B3">
    <cfRule type="cellIs" dxfId="93" priority="9" operator="equal">
      <formula>"GREEN"</formula>
    </cfRule>
  </conditionalFormatting>
  <conditionalFormatting sqref="B4">
    <cfRule type="cellIs" dxfId="92" priority="10" operator="equal">
      <formula>"AMBER"</formula>
    </cfRule>
  </conditionalFormatting>
  <conditionalFormatting sqref="B4">
    <cfRule type="cellIs" dxfId="91" priority="11" operator="equal">
      <formula>"RED"</formula>
    </cfRule>
  </conditionalFormatting>
  <conditionalFormatting sqref="B4">
    <cfRule type="cellIs" dxfId="90" priority="12" operator="equal">
      <formula>"GREEN"</formula>
    </cfRule>
  </conditionalFormatting>
  <conditionalFormatting sqref="B5">
    <cfRule type="cellIs" dxfId="89" priority="13" operator="equal">
      <formula>"AMBER"</formula>
    </cfRule>
  </conditionalFormatting>
  <conditionalFormatting sqref="B5">
    <cfRule type="cellIs" dxfId="88" priority="14" operator="equal">
      <formula>"RED"</formula>
    </cfRule>
  </conditionalFormatting>
  <conditionalFormatting sqref="B5">
    <cfRule type="cellIs" dxfId="87" priority="15" operator="equal">
      <formula>"GREEN"</formula>
    </cfRule>
  </conditionalFormatting>
  <conditionalFormatting sqref="B6">
    <cfRule type="cellIs" dxfId="86" priority="16" operator="equal">
      <formula>"AMBER"</formula>
    </cfRule>
  </conditionalFormatting>
  <conditionalFormatting sqref="B6">
    <cfRule type="cellIs" dxfId="85" priority="17" operator="equal">
      <formula>"RED"</formula>
    </cfRule>
  </conditionalFormatting>
  <conditionalFormatting sqref="B6">
    <cfRule type="cellIs" dxfId="84" priority="18" operator="equal">
      <formula>"GREEN"</formula>
    </cfRule>
  </conditionalFormatting>
  <conditionalFormatting sqref="B7">
    <cfRule type="cellIs" dxfId="83" priority="19" operator="equal">
      <formula>"AMBER"</formula>
    </cfRule>
  </conditionalFormatting>
  <conditionalFormatting sqref="B7">
    <cfRule type="cellIs" dxfId="82" priority="20" operator="equal">
      <formula>"RED"</formula>
    </cfRule>
  </conditionalFormatting>
  <conditionalFormatting sqref="B7">
    <cfRule type="cellIs" dxfId="81" priority="21" operator="equal">
      <formula>"GREEN"</formula>
    </cfRule>
  </conditionalFormatting>
  <conditionalFormatting sqref="B8">
    <cfRule type="cellIs" dxfId="80" priority="22" operator="equal">
      <formula>"AMBER"</formula>
    </cfRule>
  </conditionalFormatting>
  <conditionalFormatting sqref="B8">
    <cfRule type="cellIs" dxfId="79" priority="23" operator="equal">
      <formula>"RED"</formula>
    </cfRule>
  </conditionalFormatting>
  <conditionalFormatting sqref="B8">
    <cfRule type="cellIs" dxfId="78" priority="24" operator="equal">
      <formula>"GREEN"</formula>
    </cfRule>
  </conditionalFormatting>
  <conditionalFormatting sqref="B9">
    <cfRule type="cellIs" dxfId="77" priority="25" operator="equal">
      <formula>"AMBER"</formula>
    </cfRule>
  </conditionalFormatting>
  <conditionalFormatting sqref="B9">
    <cfRule type="cellIs" dxfId="76" priority="26" operator="equal">
      <formula>"RED"</formula>
    </cfRule>
  </conditionalFormatting>
  <conditionalFormatting sqref="B9">
    <cfRule type="cellIs" dxfId="75" priority="27" operator="equal">
      <formula>"GREEN"</formula>
    </cfRule>
  </conditionalFormatting>
  <conditionalFormatting sqref="H15">
    <cfRule type="cellIs" dxfId="74" priority="28" operator="equal">
      <formula>"AMBER"</formula>
    </cfRule>
  </conditionalFormatting>
  <conditionalFormatting sqref="H15">
    <cfRule type="cellIs" dxfId="73" priority="29" operator="equal">
      <formula>"RED"</formula>
    </cfRule>
  </conditionalFormatting>
  <conditionalFormatting sqref="H15">
    <cfRule type="cellIs" dxfId="72" priority="30" operator="equal">
      <formula>"GREEN"</formula>
    </cfRule>
  </conditionalFormatting>
  <dataValidations count="1">
    <dataValidation allowBlank="1" showInputMessage="1" showErrorMessage="1" promptTitle="Outstanding Commitments" prompt="Include the dollar amount of spend (usually equipment) that has been allocated (e.g. ordered) but not yet paid." sqref="D26"/>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57</vt:i4>
      </vt:variant>
    </vt:vector>
  </HeadingPairs>
  <TitlesOfParts>
    <vt:vector size="72" baseType="lpstr">
      <vt:lpstr>1.Header</vt:lpstr>
      <vt:lpstr>2.Milestones</vt:lpstr>
      <vt:lpstr>3.Issues</vt:lpstr>
      <vt:lpstr>4.Risks</vt:lpstr>
      <vt:lpstr>5.Changes</vt:lpstr>
      <vt:lpstr>6.Dependencies</vt:lpstr>
      <vt:lpstr>7.Measures</vt:lpstr>
      <vt:lpstr>8.Communications</vt:lpstr>
      <vt:lpstr>9.Finance</vt:lpstr>
      <vt:lpstr>Legend</vt:lpstr>
      <vt:lpstr>Data- TO BE HIDDEN</vt:lpstr>
      <vt:lpstr>ReportInformation</vt:lpstr>
      <vt:lpstr>10.Assets</vt:lpstr>
      <vt:lpstr>Sheet1</vt:lpstr>
      <vt:lpstr>RT029</vt:lpstr>
      <vt:lpstr>ActualCumulativeCo</vt:lpstr>
      <vt:lpstr>ActualCumulativeEIF</vt:lpstr>
      <vt:lpstr>AssetMeasures</vt:lpstr>
      <vt:lpstr>AssetTypeItems</vt:lpstr>
      <vt:lpstr>CHANGELIGHT</vt:lpstr>
      <vt:lpstr>CHANGESTART</vt:lpstr>
      <vt:lpstr>Check1</vt:lpstr>
      <vt:lpstr>Check1Status</vt:lpstr>
      <vt:lpstr>Check2</vt:lpstr>
      <vt:lpstr>Check2Status</vt:lpstr>
      <vt:lpstr>COINVESTMENTLIGHT</vt:lpstr>
      <vt:lpstr>CommsType</vt:lpstr>
      <vt:lpstr>COMMUNICATIONLIGHT</vt:lpstr>
      <vt:lpstr>COMMUNICATIONSTART</vt:lpstr>
      <vt:lpstr>DEPENDENCY</vt:lpstr>
      <vt:lpstr>DEPENDENCYLIGHT</vt:lpstr>
      <vt:lpstr>DEPENDENCYSTART</vt:lpstr>
      <vt:lpstr>EarliestDate</vt:lpstr>
      <vt:lpstr>EIFLIGHT</vt:lpstr>
      <vt:lpstr>'RT029'!FINANCELIGHT</vt:lpstr>
      <vt:lpstr>ISSUELIGHT</vt:lpstr>
      <vt:lpstr>ISSUESTART</vt:lpstr>
      <vt:lpstr>LastDateReport</vt:lpstr>
      <vt:lpstr>'RT029'!LASTQUARTER</vt:lpstr>
      <vt:lpstr>LatestDate</vt:lpstr>
      <vt:lpstr>MEASURELIGHT</vt:lpstr>
      <vt:lpstr>MeasuresNumber</vt:lpstr>
      <vt:lpstr>MEASURESTART</vt:lpstr>
      <vt:lpstr>MILESTONELIGHT</vt:lpstr>
      <vt:lpstr>MILESTONESTART</vt:lpstr>
      <vt:lpstr>'2.Milestones'!OLE_LINK6</vt:lpstr>
      <vt:lpstr>Org</vt:lpstr>
      <vt:lpstr>OVERALLLIGHT</vt:lpstr>
      <vt:lpstr>PercentageListItems</vt:lpstr>
      <vt:lpstr>'1.Header'!Print_Area</vt:lpstr>
      <vt:lpstr>'10.Assets'!Print_Area</vt:lpstr>
      <vt:lpstr>'2.Milestones'!Print_Area</vt:lpstr>
      <vt:lpstr>'3.Issues'!Print_Area</vt:lpstr>
      <vt:lpstr>'4.Risks'!Print_Area</vt:lpstr>
      <vt:lpstr>'5.Changes'!Print_Area</vt:lpstr>
      <vt:lpstr>'6.Dependencies'!Print_Area</vt:lpstr>
      <vt:lpstr>'7.Measures'!Print_Area</vt:lpstr>
      <vt:lpstr>'8.Communications'!Print_Area</vt:lpstr>
      <vt:lpstr>'9.Finance'!Print_Area</vt:lpstr>
      <vt:lpstr>Legend!Print_Area</vt:lpstr>
      <vt:lpstr>ProjManager</vt:lpstr>
      <vt:lpstr>ProjName</vt:lpstr>
      <vt:lpstr>ProjNo</vt:lpstr>
      <vt:lpstr>ReportFrom</vt:lpstr>
      <vt:lpstr>ReportNo</vt:lpstr>
      <vt:lpstr>RISKLIGHT</vt:lpstr>
      <vt:lpstr>RiskRating</vt:lpstr>
      <vt:lpstr>RISKSTART</vt:lpstr>
      <vt:lpstr>StartOfProject</vt:lpstr>
      <vt:lpstr>StatusItems</vt:lpstr>
      <vt:lpstr>statuslistitems</vt:lpstr>
      <vt:lpstr>YesNo</vt:lpstr>
    </vt:vector>
  </TitlesOfParts>
  <Company>The University Of Melbourne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University Of Melbourne</dc:creator>
  <cp:lastModifiedBy>chellis</cp:lastModifiedBy>
  <cp:lastPrinted>2013-03-28T08:50:44Z</cp:lastPrinted>
  <dcterms:created xsi:type="dcterms:W3CDTF">2012-03-07T21:58:04Z</dcterms:created>
  <dcterms:modified xsi:type="dcterms:W3CDTF">2013-03-28T09:02:19Z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eCTAR Report UUID">
    <vt:lpwstr>5119cb527cae5</vt:lpwstr>
  </property>
</Properties>
</file>