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3913"/>
  <workbookPr autoCompressPictures="0"/>
  <bookViews>
    <workbookView xWindow="240" yWindow="240" windowWidth="25360" windowHeight="15820" activeTab="1"/>
  </bookViews>
  <sheets>
    <sheet name="Finance 2" sheetId="4" r:id="rId1"/>
    <sheet name="Sheet1" sheetId="1" r:id="rId2"/>
    <sheet name="Sheet2" sheetId="2" r:id="rId3"/>
    <sheet name="Sheet3" sheetId="3" r:id="rId4"/>
  </sheets>
  <externalReferences>
    <externalReference r:id="rId5"/>
    <externalReference r:id="rId6"/>
  </externalReferences>
  <definedNames>
    <definedName name="ActualCumulativeCo">[1]ReportInformation!$X$11</definedName>
    <definedName name="ActualCumulativeEIF">[1]ReportInformation!$W$11</definedName>
    <definedName name="AssetTypeItems">'[1]Data- TO BE HIDDEN'!$I$2:$I$4</definedName>
    <definedName name="CHANGELIGHT">'[1]5.Changes'!$M$28</definedName>
    <definedName name="Check1">'[1]1.Header'!$D$37</definedName>
    <definedName name="Check2">'[1]1.Header'!$D$39</definedName>
    <definedName name="CommsType">'[1]Data- TO BE HIDDEN'!$C$2:$C$9</definedName>
    <definedName name="COMMUNICATIONLIGHT">'[1]8.Communications'!$H$43</definedName>
    <definedName name="DEPENDENCYLIGHT">'[1]6.Dependencies'!$G$24</definedName>
    <definedName name="EarliestDate">'[1]Data- TO BE HIDDEN'!$F$2</definedName>
    <definedName name="FINANCELIGHT">'Finance 2'!$T$29</definedName>
    <definedName name="FINANCESTART">'Finance 2'!$D$25</definedName>
    <definedName name="ISSUELIGHT">'[1]3.Issues'!$K$28</definedName>
    <definedName name="LastDateReport" localSheetId="1">[2]RT029!$C$13</definedName>
    <definedName name="LastDateReport">'[1]1.Header'!$G$16</definedName>
    <definedName name="LASTQUARTER">'Finance 2'!$I$29</definedName>
    <definedName name="LatestDate">'[1]Data- TO BE HIDDEN'!$G$2</definedName>
    <definedName name="MEASURELIGHT">'[1]7.Measures'!$Q$46</definedName>
    <definedName name="MILESTONELIGHT">'[1]2.Milestones'!$P$37</definedName>
    <definedName name="OLE_LINK3" localSheetId="1">Sheet1!$A$4</definedName>
    <definedName name="OVERALLLIGHT">'[1]1.Header'!$AE$32</definedName>
    <definedName name="PercentageListItems">'[1]Data- TO BE HIDDEN'!$B$2:$B$6</definedName>
    <definedName name="_xlnm.Print_Area" localSheetId="0">'Finance 2'!$B$11:$M$102</definedName>
    <definedName name="ProjName">'[1]1.Header'!$G$14</definedName>
    <definedName name="ProjNo">'[1]1.Header'!$D$14</definedName>
    <definedName name="ReportFrom">'[1]1.Header'!$G$15</definedName>
    <definedName name="RISKLIGHT">'[1]4.Risks'!$G$25</definedName>
    <definedName name="RiskRating">'[1]Data- TO BE HIDDEN'!$D$2:$D$4</definedName>
    <definedName name="StatusItems">'[1]Data- TO BE HIDDEN'!$H$2:$H$4</definedName>
    <definedName name="TOTALEIF">'Finance 2'!$E$20</definedName>
    <definedName name="YesNo">'[1]Data- TO BE HIDDEN'!$E$2:$E$3</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G4" i="1" l="1"/>
  <c r="G6" i="1"/>
  <c r="G7" i="1"/>
  <c r="G8" i="1"/>
  <c r="G10" i="1"/>
  <c r="G11" i="1"/>
  <c r="G13" i="1"/>
  <c r="G14" i="1"/>
  <c r="G15" i="1"/>
  <c r="G21" i="1"/>
  <c r="J4" i="1"/>
  <c r="J6" i="1"/>
  <c r="J7" i="1"/>
  <c r="J8" i="1"/>
  <c r="J10" i="1"/>
  <c r="J11" i="1"/>
  <c r="J13" i="1"/>
  <c r="J14" i="1"/>
  <c r="J15" i="1"/>
  <c r="J21" i="1"/>
  <c r="J22" i="1"/>
  <c r="H4" i="1"/>
  <c r="H6" i="1"/>
  <c r="H7" i="1"/>
  <c r="H8" i="1"/>
  <c r="H10" i="1"/>
  <c r="H11" i="1"/>
  <c r="H13" i="1"/>
  <c r="H14" i="1"/>
  <c r="H15" i="1"/>
  <c r="H21" i="1"/>
  <c r="K4" i="1"/>
  <c r="K6" i="1"/>
  <c r="K7" i="1"/>
  <c r="K8" i="1"/>
  <c r="K10" i="1"/>
  <c r="K11" i="1"/>
  <c r="K13" i="1"/>
  <c r="K14" i="1"/>
  <c r="K15" i="1"/>
  <c r="K21" i="1"/>
  <c r="K22" i="1"/>
  <c r="K23" i="1"/>
  <c r="K28" i="1"/>
  <c r="K29" i="1"/>
  <c r="H23" i="1"/>
  <c r="L26" i="4"/>
  <c r="M26" i="4"/>
  <c r="C3" i="4"/>
  <c r="C4" i="4"/>
  <c r="C6" i="4"/>
  <c r="C7" i="4"/>
  <c r="C11" i="4"/>
  <c r="D11" i="4"/>
  <c r="D12" i="4"/>
  <c r="D13" i="4"/>
  <c r="R52" i="4"/>
  <c r="J20" i="4"/>
  <c r="H25" i="4"/>
  <c r="I25" i="4"/>
  <c r="L25" i="4"/>
  <c r="M25" i="4"/>
  <c r="E53" i="4"/>
  <c r="Q25" i="4"/>
  <c r="S25" i="4"/>
  <c r="B26" i="4"/>
  <c r="H26" i="4"/>
  <c r="F49" i="4"/>
  <c r="Q26" i="4"/>
  <c r="T26" i="4"/>
  <c r="B27" i="4"/>
  <c r="H27" i="4"/>
  <c r="L27" i="4"/>
  <c r="Q27" i="4"/>
  <c r="N27" i="4"/>
  <c r="P27" i="4"/>
  <c r="U27" i="4"/>
  <c r="B28" i="4"/>
  <c r="H28" i="4"/>
  <c r="L28" i="4"/>
  <c r="Q28" i="4"/>
  <c r="N28" i="4"/>
  <c r="P28" i="4"/>
  <c r="S28" i="4"/>
  <c r="U28" i="4"/>
  <c r="B29" i="4"/>
  <c r="H29" i="4"/>
  <c r="P29" i="4"/>
  <c r="L29" i="4"/>
  <c r="Q29" i="4"/>
  <c r="N29" i="4"/>
  <c r="U29" i="4"/>
  <c r="B30" i="4"/>
  <c r="H30" i="4"/>
  <c r="N30" i="4"/>
  <c r="I30" i="4"/>
  <c r="P30" i="4"/>
  <c r="L30" i="4"/>
  <c r="Q30" i="4"/>
  <c r="B31" i="4"/>
  <c r="H31" i="4"/>
  <c r="N31" i="4"/>
  <c r="I31" i="4"/>
  <c r="P31" i="4"/>
  <c r="L31" i="4"/>
  <c r="Q31" i="4"/>
  <c r="B32" i="4"/>
  <c r="H32" i="4"/>
  <c r="I32" i="4"/>
  <c r="L47" i="4"/>
  <c r="L32" i="4"/>
  <c r="M32" i="4"/>
  <c r="N32" i="4"/>
  <c r="P32" i="4"/>
  <c r="B33" i="4"/>
  <c r="H33" i="4"/>
  <c r="I33" i="4"/>
  <c r="L33" i="4"/>
  <c r="M33" i="4"/>
  <c r="Q33" i="4"/>
  <c r="N33" i="4"/>
  <c r="B34" i="4"/>
  <c r="H34" i="4"/>
  <c r="I34" i="4"/>
  <c r="L34" i="4"/>
  <c r="M34" i="4"/>
  <c r="Q34" i="4"/>
  <c r="N34" i="4"/>
  <c r="B35" i="4"/>
  <c r="H35" i="4"/>
  <c r="I35" i="4"/>
  <c r="L35" i="4"/>
  <c r="O55" i="4"/>
  <c r="N35" i="4"/>
  <c r="P35" i="4"/>
  <c r="B36" i="4"/>
  <c r="H36" i="4"/>
  <c r="I36" i="4"/>
  <c r="P47" i="4"/>
  <c r="L36" i="4"/>
  <c r="M36" i="4"/>
  <c r="N36" i="4"/>
  <c r="P36" i="4"/>
  <c r="B37" i="4"/>
  <c r="H37" i="4"/>
  <c r="L37" i="4"/>
  <c r="M37" i="4"/>
  <c r="Q37" i="4"/>
  <c r="N37" i="4"/>
  <c r="D38" i="4"/>
  <c r="F20" i="4"/>
  <c r="E38" i="4"/>
  <c r="F38" i="4"/>
  <c r="G38" i="4"/>
  <c r="H38" i="4"/>
  <c r="R50" i="4"/>
  <c r="J38" i="4"/>
  <c r="K38" i="4"/>
  <c r="L38" i="4"/>
  <c r="R54" i="4"/>
  <c r="E45" i="4"/>
  <c r="F45" i="4"/>
  <c r="G45" i="4"/>
  <c r="G56" i="4"/>
  <c r="H45" i="4"/>
  <c r="H51" i="4"/>
  <c r="I45" i="4"/>
  <c r="J45" i="4"/>
  <c r="K45" i="4"/>
  <c r="K56" i="4"/>
  <c r="L45" i="4"/>
  <c r="L51" i="4"/>
  <c r="M45" i="4"/>
  <c r="N45" i="4"/>
  <c r="O45" i="4"/>
  <c r="O56" i="4"/>
  <c r="P45" i="4"/>
  <c r="P51" i="4"/>
  <c r="Q45" i="4"/>
  <c r="R46" i="4"/>
  <c r="E20" i="4"/>
  <c r="G47" i="4"/>
  <c r="H47" i="4"/>
  <c r="I47" i="4"/>
  <c r="O47" i="4"/>
  <c r="E49" i="4"/>
  <c r="G49" i="4"/>
  <c r="H49" i="4"/>
  <c r="I49" i="4"/>
  <c r="J49" i="4"/>
  <c r="K49" i="4"/>
  <c r="L49" i="4"/>
  <c r="M49" i="4"/>
  <c r="N49" i="4"/>
  <c r="O49" i="4"/>
  <c r="P49" i="4"/>
  <c r="Q49" i="4"/>
  <c r="R49" i="4"/>
  <c r="F50" i="4"/>
  <c r="G50" i="4"/>
  <c r="H50" i="4"/>
  <c r="I50" i="4"/>
  <c r="J50" i="4"/>
  <c r="K50" i="4"/>
  <c r="L50" i="4"/>
  <c r="M50" i="4"/>
  <c r="N50" i="4"/>
  <c r="O50" i="4"/>
  <c r="P50" i="4"/>
  <c r="Q50" i="4"/>
  <c r="E51" i="4"/>
  <c r="F51" i="4"/>
  <c r="I51" i="4"/>
  <c r="J51" i="4"/>
  <c r="M51" i="4"/>
  <c r="N51" i="4"/>
  <c r="Q51" i="4"/>
  <c r="F53" i="4"/>
  <c r="G53" i="4"/>
  <c r="H53" i="4"/>
  <c r="I53" i="4"/>
  <c r="J53" i="4"/>
  <c r="K53" i="4"/>
  <c r="M53" i="4"/>
  <c r="N53" i="4"/>
  <c r="Q53" i="4"/>
  <c r="E55" i="4"/>
  <c r="E56" i="4"/>
  <c r="F55" i="4"/>
  <c r="G55" i="4"/>
  <c r="H55" i="4"/>
  <c r="J55" i="4"/>
  <c r="K55" i="4"/>
  <c r="M55" i="4"/>
  <c r="N55" i="4"/>
  <c r="Q55" i="4"/>
  <c r="F56" i="4"/>
  <c r="H56" i="4"/>
  <c r="I56" i="4"/>
  <c r="J56" i="4"/>
  <c r="L56" i="4"/>
  <c r="M56" i="4"/>
  <c r="N56" i="4"/>
  <c r="P56" i="4"/>
  <c r="Q56" i="4"/>
  <c r="E24" i="1"/>
  <c r="L25" i="1"/>
  <c r="L26" i="1"/>
  <c r="Q13" i="1"/>
  <c r="Q15" i="1"/>
  <c r="N4" i="1"/>
  <c r="N5" i="1"/>
  <c r="N6" i="1"/>
  <c r="N7" i="1"/>
  <c r="N8" i="1"/>
  <c r="N9" i="1"/>
  <c r="N10" i="1"/>
  <c r="N11" i="1"/>
  <c r="N12" i="1"/>
  <c r="N14" i="1"/>
  <c r="N15" i="1"/>
  <c r="N13" i="1"/>
  <c r="P5" i="1"/>
  <c r="Q5" i="1"/>
  <c r="P6" i="1"/>
  <c r="Q6" i="1"/>
  <c r="P7" i="1"/>
  <c r="Q7" i="1"/>
  <c r="P8" i="1"/>
  <c r="Q8" i="1"/>
  <c r="P9" i="1"/>
  <c r="Q9" i="1"/>
  <c r="P10" i="1"/>
  <c r="Q10" i="1"/>
  <c r="P11" i="1"/>
  <c r="Q11" i="1"/>
  <c r="P12" i="1"/>
  <c r="Q12" i="1"/>
  <c r="P13" i="1"/>
  <c r="P14" i="1"/>
  <c r="Q14" i="1"/>
  <c r="P15" i="1"/>
  <c r="Q4" i="1"/>
  <c r="P4" i="1"/>
  <c r="S5" i="1"/>
  <c r="T5" i="1"/>
  <c r="S6" i="1"/>
  <c r="T6" i="1"/>
  <c r="S7" i="1"/>
  <c r="T7" i="1"/>
  <c r="S8" i="1"/>
  <c r="T8" i="1"/>
  <c r="S9" i="1"/>
  <c r="T9" i="1"/>
  <c r="S10" i="1"/>
  <c r="T10" i="1"/>
  <c r="S11" i="1"/>
  <c r="T11" i="1"/>
  <c r="S12" i="1"/>
  <c r="T12" i="1"/>
  <c r="S13" i="1"/>
  <c r="T13" i="1"/>
  <c r="S14" i="1"/>
  <c r="T14" i="1"/>
  <c r="S15" i="1"/>
  <c r="T15" i="1"/>
  <c r="T4" i="1"/>
  <c r="S4" i="1"/>
  <c r="M5" i="1"/>
  <c r="M6" i="1"/>
  <c r="M7" i="1"/>
  <c r="M8" i="1"/>
  <c r="M9" i="1"/>
  <c r="M10" i="1"/>
  <c r="M11" i="1"/>
  <c r="M12" i="1"/>
  <c r="M13" i="1"/>
  <c r="M14" i="1"/>
  <c r="M15" i="1"/>
  <c r="M4" i="1"/>
  <c r="M21" i="1"/>
  <c r="M22" i="1"/>
  <c r="H20" i="4"/>
  <c r="I39" i="4"/>
  <c r="Q36" i="4"/>
  <c r="U36" i="4"/>
  <c r="P53" i="4"/>
  <c r="E47" i="4"/>
  <c r="N25" i="4"/>
  <c r="E54" i="4"/>
  <c r="F54" i="4"/>
  <c r="G54" i="4"/>
  <c r="H54" i="4"/>
  <c r="I54" i="4"/>
  <c r="J54" i="4"/>
  <c r="K54" i="4"/>
  <c r="U33" i="4"/>
  <c r="M47" i="4"/>
  <c r="U32" i="4"/>
  <c r="L53" i="4"/>
  <c r="Q32" i="4"/>
  <c r="N47" i="4"/>
  <c r="U34" i="4"/>
  <c r="K20" i="4"/>
  <c r="L20" i="4"/>
  <c r="J47" i="4"/>
  <c r="I37" i="4"/>
  <c r="M35" i="4"/>
  <c r="P33" i="4"/>
  <c r="U31" i="4"/>
  <c r="U30" i="4"/>
  <c r="P26" i="4"/>
  <c r="I26" i="4"/>
  <c r="G20" i="4"/>
  <c r="R51" i="4"/>
  <c r="R56" i="4"/>
  <c r="P55" i="4"/>
  <c r="L55" i="4"/>
  <c r="O51" i="4"/>
  <c r="K51" i="4"/>
  <c r="G51" i="4"/>
  <c r="E50" i="4"/>
  <c r="K47" i="4"/>
  <c r="P34" i="4"/>
  <c r="U25" i="4"/>
  <c r="P25" i="4"/>
  <c r="M38" i="4"/>
  <c r="I55" i="4"/>
  <c r="R55" i="4"/>
  <c r="N21" i="1"/>
  <c r="P21" i="1"/>
  <c r="Q21" i="1"/>
  <c r="T21" i="1"/>
  <c r="S21" i="1"/>
  <c r="R25" i="1"/>
  <c r="O25" i="1"/>
  <c r="O26" i="1"/>
  <c r="L54" i="4"/>
  <c r="M54" i="4"/>
  <c r="N54" i="4"/>
  <c r="Q35" i="4"/>
  <c r="Q38" i="4"/>
  <c r="U37" i="4"/>
  <c r="Q47" i="4"/>
  <c r="U35" i="4"/>
  <c r="O53" i="4"/>
  <c r="R53" i="4"/>
  <c r="F47" i="4"/>
  <c r="R47" i="4"/>
  <c r="N26" i="4"/>
  <c r="I38" i="4"/>
  <c r="F41" i="4"/>
  <c r="U26" i="4"/>
  <c r="T27" i="4"/>
  <c r="T28" i="4"/>
  <c r="T24" i="4"/>
  <c r="T25" i="4"/>
  <c r="P37" i="4"/>
  <c r="P38" i="4"/>
  <c r="E48" i="4"/>
  <c r="F48" i="4"/>
  <c r="G48" i="4"/>
  <c r="H48" i="4"/>
  <c r="I48" i="4"/>
  <c r="J48" i="4"/>
  <c r="K48" i="4"/>
  <c r="L48" i="4"/>
  <c r="M48" i="4"/>
  <c r="N48" i="4"/>
  <c r="O48" i="4"/>
  <c r="P48" i="4"/>
  <c r="Q48" i="4"/>
  <c r="R48" i="4"/>
  <c r="O54" i="4"/>
  <c r="P54" i="4"/>
  <c r="Q54" i="4"/>
  <c r="N22" i="1"/>
  <c r="Q22" i="1"/>
  <c r="T22" i="1"/>
  <c r="P22" i="1"/>
  <c r="N23" i="1"/>
  <c r="S22" i="1"/>
  <c r="T23" i="1"/>
  <c r="Q23" i="1"/>
  <c r="T23" i="4"/>
  <c r="T29" i="4"/>
  <c r="I20" i="4"/>
  <c r="J15" i="4"/>
  <c r="C9" i="4"/>
  <c r="C8" i="4"/>
  <c r="C5" i="4"/>
  <c r="C2" i="4"/>
  <c r="C1" i="4"/>
</calcChain>
</file>

<file path=xl/comments1.xml><?xml version="1.0" encoding="utf-8"?>
<comments xmlns="http://schemas.openxmlformats.org/spreadsheetml/2006/main">
  <authors>
    <author>mecolesm</author>
  </authors>
  <commentList>
    <comment ref="O19" authorId="0">
      <text>
        <r>
          <rPr>
            <b/>
            <sz val="8"/>
            <color rgb="FF000000"/>
            <rFont val="Tahoma"/>
            <family val="2"/>
          </rPr>
          <t>mecolesm:</t>
        </r>
        <r>
          <rPr>
            <sz val="8"/>
            <color rgb="FF000000"/>
            <rFont val="Tahoma"/>
            <family val="2"/>
          </rPr>
          <t xml:space="preserve">
TO setup the sheet:
OPTIONAL
A. Modify dates B25-B37 as required.
 ONLY IF A. CHANGED
 B. Change named cell "LASTQUARTER" which is currently in H29 if dates are modified above. If the last quarter is modified, then this needs to reflect the new last quarter.
(LASTQUARTER is used in the status lights. See columns R and S)
ESSENTIAL
1. Add baseline amounts to row 44 and row 50.
2. HIDE rows 43-55
3. HIDE columns M-S
4. Protect Sheet (no password, allow select locked cells; select unlocked cells.)
DONE
*NOTE the #N/A in rows 48,49,54 are to remove dates not yet passed (based on the end date of the report) from showing in the graphs. They are not errors.</t>
        </r>
      </text>
    </comment>
  </commentList>
</comments>
</file>

<file path=xl/sharedStrings.xml><?xml version="1.0" encoding="utf-8"?>
<sst xmlns="http://schemas.openxmlformats.org/spreadsheetml/2006/main" count="110" uniqueCount="100">
  <si>
    <t>Milestone</t>
  </si>
  <si>
    <t>Associated Deliverable Start Date</t>
  </si>
  <si>
    <t>Milestone Date</t>
  </si>
  <si>
    <t>EIF Funding</t>
  </si>
  <si>
    <t>Co-investment Funding</t>
  </si>
  <si>
    <t>Sub-contract signed</t>
  </si>
  <si>
    <t>Funding Milestone 1</t>
  </si>
  <si>
    <t>Established Support Tools &amp; Processes</t>
  </si>
  <si>
    <t>Funding Milestone 2</t>
  </si>
  <si>
    <t>Integrated existing application with AAF Authentication Services</t>
  </si>
  <si>
    <t>Integrated Invoicing &amp; Billing</t>
  </si>
  <si>
    <t>Initial Production Research Cloud Deployed</t>
  </si>
  <si>
    <t>Funding Milestone 3</t>
  </si>
  <si>
    <t>Implemented Data Extraction for Analysis Module</t>
  </si>
  <si>
    <t>Implemented Pedigree Storage &amp; Visualisation Module</t>
  </si>
  <si>
    <t>Funding Milestone 4</t>
  </si>
  <si>
    <t>Enhanced Data Linkage &amp; Reporting Module</t>
  </si>
  <si>
    <t>Implemented Registry Management Module</t>
  </si>
  <si>
    <t>Integrated Genotypic Data Management Capability</t>
  </si>
  <si>
    <t>Funding Milestone 5</t>
  </si>
  <si>
    <t>Funding Milestone 6 - Final Admin Closure</t>
  </si>
  <si>
    <t>System Support</t>
  </si>
  <si>
    <t>Travel Budget (UWA Centre for Genetic Epidemiology and Biostatistics)</t>
  </si>
  <si>
    <t>Other Expenses (UWA Research Matching Funds)</t>
  </si>
  <si>
    <t>Total EIF Request</t>
  </si>
  <si>
    <t>Cumulative Expenditure to 1 Dec 12</t>
  </si>
  <si>
    <t>Dec-March</t>
  </si>
  <si>
    <t>Cumulative</t>
  </si>
  <si>
    <t>nectar</t>
  </si>
  <si>
    <t>co-inv</t>
  </si>
  <si>
    <t>however giving 15552 in order to deal with nectars reduced funding</t>
  </si>
  <si>
    <t>Co Inv Actuals (Accum)</t>
  </si>
  <si>
    <t>Co Inv Actuals</t>
  </si>
  <si>
    <t>PM Co inv Forecast (Accum)</t>
  </si>
  <si>
    <t>PM Co inv Forecast</t>
  </si>
  <si>
    <t>Co Inv Proposal Budget</t>
  </si>
  <si>
    <t>Nectar Paid (Accum)</t>
  </si>
  <si>
    <t>Nectar Actual (Accum)</t>
  </si>
  <si>
    <t>Nectar Actual</t>
  </si>
  <si>
    <t>PM Nectar Forecast (Accum)</t>
  </si>
  <si>
    <t>PM Nectar Forecast</t>
  </si>
  <si>
    <t>Nectar Proposal Budget</t>
  </si>
  <si>
    <t>Total</t>
  </si>
  <si>
    <t>Optional Comment</t>
  </si>
  <si>
    <t>Nectar Allocated</t>
  </si>
  <si>
    <t>TOTAL</t>
  </si>
  <si>
    <t>FINANCE LIGHT</t>
  </si>
  <si>
    <t>20% of funds</t>
  </si>
  <si>
    <t>Last Quarter</t>
  </si>
  <si>
    <t>30% of funds</t>
  </si>
  <si>
    <t>In-Kind Contribution</t>
  </si>
  <si>
    <t>Cash Contribution</t>
  </si>
  <si>
    <t>Other</t>
  </si>
  <si>
    <t>Equipment</t>
  </si>
  <si>
    <t>Personnel</t>
  </si>
  <si>
    <t>End Date</t>
  </si>
  <si>
    <t>Start Date</t>
  </si>
  <si>
    <t>Total Project Manager's Nectar and Co-investment ACTUAL and FORECASTED Expenditure</t>
  </si>
  <si>
    <t>PM estimate = EIF Allocated</t>
  </si>
  <si>
    <t>Project Manager's Estimated Project Cash Flow Co-investment</t>
  </si>
  <si>
    <t>Estimated Project Cash Flow EIF
- Shows Actuals where available</t>
  </si>
  <si>
    <t>Project Manager's Co-investment FORECAST</t>
  </si>
  <si>
    <t>Expenditure: Actual Co-investment</t>
  </si>
  <si>
    <t>Project Manager's Nectar Funds FORECAST</t>
  </si>
  <si>
    <t>Expenditure: Actual Nectar Funds</t>
  </si>
  <si>
    <t>Nectar Funds RECEIVED</t>
  </si>
  <si>
    <t>Financial Reporting Period</t>
  </si>
  <si>
    <t>Financial Reporting Period ID</t>
  </si>
  <si>
    <t>Status</t>
  </si>
  <si>
    <t>FinanceLight Element</t>
  </si>
  <si>
    <t>This column holds the values to put in the warning box in row 40</t>
  </si>
  <si>
    <t>Estimated Co-investment to Complete</t>
  </si>
  <si>
    <t>Actual Co-investment and in-Kind Expenditure Reported</t>
  </si>
  <si>
    <t>Total Approved Co-investment Funds</t>
  </si>
  <si>
    <t>Nectar Cash Flow amount to be allocated</t>
  </si>
  <si>
    <t>Estimated Cost to complete</t>
  </si>
  <si>
    <t>Actual Project Expenditure Reported</t>
  </si>
  <si>
    <t>Actual Nectar Funds PAID to Project</t>
  </si>
  <si>
    <t>Total Approved Nectar Funds</t>
  </si>
  <si>
    <t>FOR YOUR INFORMATION</t>
  </si>
  <si>
    <t>Approved Co-investment</t>
  </si>
  <si>
    <t>Approved Nectar Funds</t>
  </si>
  <si>
    <t>STATUS</t>
  </si>
  <si>
    <t>Finance</t>
  </si>
  <si>
    <t>To</t>
  </si>
  <si>
    <t>From</t>
  </si>
  <si>
    <t>9.Finance</t>
  </si>
  <si>
    <t>8.Communications</t>
  </si>
  <si>
    <t>7.Measures</t>
  </si>
  <si>
    <t>6.Dependencies</t>
  </si>
  <si>
    <t>5.Changes</t>
  </si>
  <si>
    <t>4.Risks</t>
  </si>
  <si>
    <t>3.Issues</t>
  </si>
  <si>
    <t>2.Deliverables</t>
  </si>
  <si>
    <t>1.Header</t>
  </si>
  <si>
    <t>total combined?</t>
  </si>
  <si>
    <t>March-June</t>
  </si>
  <si>
    <t>July-Sep</t>
  </si>
  <si>
    <t>Sep - Dec</t>
  </si>
  <si>
    <t>note the discrepency 31851 Vs 30251 is believed to be due to nectar dropping funding</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</si>
</sst>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quot;$&quot;#,##0;[Red]\-&quot;$&quot;#,##0"/>
    <numFmt numFmtId="165" formatCode="&quot;$&quot;#,##0.00;[Red]\-&quot;$&quot;#,##0.00"/>
    <numFmt numFmtId="166" formatCode="_-&quot;$&quot;* #,##0.00_-;\-&quot;$&quot;* #,##0.00_-;_-&quot;$&quot;* &quot;-&quot;??_-;_-@_-"/>
    <numFmt numFmtId="167" formatCode="[&gt;=1000]#,##0,&quot;&quot;;0"/>
    <numFmt numFmtId="168" formatCode="[$-C09]dd\-mmm\-yy;@"/>
    <numFmt numFmtId="169" formatCode="[$-C09]dd\-mmmm\-yyyy;@"/>
  </numFmts>
  <fonts count="32" x14ac:knownFonts="1">
    <font>
      <sz val="11"/>
      <color theme="1"/>
      <name val="Calibri"/>
      <family val="2"/>
      <scheme val="minor"/>
    </font>
    <font>
      <sz val="11"/>
      <color rgb="FFFF0000"/>
      <name val="Calibri"/>
      <family val="2"/>
      <scheme val="minor"/>
    </font>
    <font>
      <b/>
      <sz val="9"/>
      <color theme="1"/>
      <name val="Arial"/>
      <family val="2"/>
    </font>
    <font>
      <sz val="9"/>
      <color theme="1"/>
      <name val="Arial"/>
      <family val="2"/>
    </font>
    <font>
      <b/>
      <sz val="9"/>
      <color rgb="FFFF0000"/>
      <name val="Arial"/>
      <family val="2"/>
    </font>
    <font>
      <sz val="11"/>
      <color theme="9" tint="-0.249977111117893"/>
      <name val="Calibri"/>
      <family val="2"/>
      <scheme val="minor"/>
    </font>
    <font>
      <sz val="11"/>
      <color theme="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0"/>
      <color rgb="FF000000"/>
      <name val="Calibri"/>
    </font>
    <font>
      <sz val="11"/>
      <color rgb="FF000000"/>
      <name val="Calibri"/>
      <family val="2"/>
    </font>
    <font>
      <sz val="10"/>
      <color rgb="FF7F7F7F"/>
      <name val="Calibri"/>
      <family val="2"/>
    </font>
    <font>
      <b/>
      <i/>
      <sz val="14"/>
      <color rgb="FFFF0000"/>
      <name val="Calibri"/>
      <family val="2"/>
    </font>
    <font>
      <b/>
      <sz val="11"/>
      <color rgb="FF1F497D"/>
      <name val="Calibri"/>
      <family val="2"/>
    </font>
    <font>
      <b/>
      <sz val="11"/>
      <color rgb="FF000000"/>
      <name val="Calibri"/>
      <family val="2"/>
    </font>
    <font>
      <b/>
      <sz val="10"/>
      <color rgb="FFFFFFFF"/>
      <name val="Calibri"/>
      <family val="2"/>
    </font>
    <font>
      <b/>
      <sz val="9"/>
      <color rgb="FF1F497D"/>
      <name val="Calibri"/>
      <family val="2"/>
    </font>
    <font>
      <b/>
      <sz val="10"/>
      <color rgb="FF1F497D"/>
      <name val="Calibri"/>
      <family val="2"/>
    </font>
    <font>
      <b/>
      <sz val="8"/>
      <color rgb="FF000000"/>
      <name val="Calibri"/>
      <family val="2"/>
    </font>
    <font>
      <b/>
      <sz val="15"/>
      <color rgb="FF1F497D"/>
      <name val="Calibri"/>
      <family val="2"/>
    </font>
    <font>
      <b/>
      <sz val="13"/>
      <color rgb="FF1F497D"/>
      <name val="Calibri"/>
      <family val="2"/>
    </font>
    <font>
      <u/>
      <sz val="10"/>
      <color rgb="FF0000FF"/>
      <name val="Calibri"/>
      <family val="2"/>
    </font>
    <font>
      <b/>
      <sz val="10"/>
      <color rgb="FF000000"/>
      <name val="Calibri"/>
      <family val="2"/>
    </font>
    <font>
      <b/>
      <sz val="8"/>
      <color rgb="FF000000"/>
      <name val="Tahoma"/>
      <family val="2"/>
    </font>
    <font>
      <sz val="8"/>
      <color rgb="FF000000"/>
      <name val="Tahoma"/>
      <family val="2"/>
    </font>
    <font>
      <sz val="12"/>
      <color theme="1"/>
      <name val="Calibri"/>
      <family val="2"/>
      <scheme val="minor"/>
    </font>
    <font>
      <sz val="12"/>
      <color theme="0"/>
      <name val="Calibri"/>
      <family val="2"/>
      <scheme val="minor"/>
    </font>
    <font>
      <sz val="10"/>
      <color theme="0" tint="-0.499984740745262"/>
      <name val="Calibri"/>
      <family val="2"/>
      <scheme val="minor"/>
    </font>
    <font>
      <sz val="10"/>
      <color theme="1"/>
      <name val="Calibri"/>
      <family val="2"/>
      <scheme val="minor"/>
    </font>
    <font>
      <u/>
      <sz val="10"/>
      <color theme="10"/>
      <name val="Calibri"/>
      <family val="2"/>
      <scheme val="minor"/>
    </font>
    <font>
      <sz val="10"/>
      <name val="Verdana"/>
      <family val="2"/>
    </font>
  </fonts>
  <fills count="11">
    <fill>
      <patternFill patternType="none"/>
    </fill>
    <fill>
      <patternFill patternType="gray125"/>
    </fill>
    <fill>
      <patternFill patternType="solid">
        <fgColor rgb="FFE0E0E0"/>
        <bgColor indexed="64"/>
      </patternFill>
    </fill>
    <fill>
      <patternFill patternType="solid">
        <fgColor theme="4"/>
      </patternFill>
    </fill>
    <fill>
      <patternFill patternType="solid">
        <fgColor theme="4" tint="0.79998168889431442"/>
        <bgColor indexed="65"/>
      </patternFill>
    </fill>
    <fill>
      <patternFill patternType="solid">
        <fgColor rgb="FFF2F2F2"/>
        <bgColor rgb="FFFFFFFF"/>
      </patternFill>
    </fill>
    <fill>
      <patternFill patternType="solid">
        <fgColor rgb="FFDBE5F1"/>
        <bgColor rgb="FFFFFFFF"/>
      </patternFill>
    </fill>
    <fill>
      <patternFill patternType="solid">
        <fgColor rgb="FFFF0000"/>
        <bgColor rgb="FFFFFFFF"/>
      </patternFill>
    </fill>
    <fill>
      <patternFill patternType="solid">
        <fgColor rgb="FFFFFF00"/>
        <bgColor rgb="FFFFFFFF"/>
      </patternFill>
    </fill>
    <fill>
      <patternFill patternType="solid">
        <fgColor rgb="FFFFFFFF"/>
        <bgColor rgb="FFFFFFFF"/>
      </patternFill>
    </fill>
    <fill>
      <patternFill patternType="solid">
        <fgColor theme="0" tint="-4.9989318521683403E-2"/>
        <bgColor indexed="65"/>
      </patternFill>
    </fill>
  </fills>
  <borders count="70">
    <border>
      <left/>
      <right/>
      <top/>
      <bottom/>
      <diagonal/>
    </border>
    <border>
      <left style="medium">
        <color auto="1"/>
      </left>
      <right style="medium">
        <color auto="1"/>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bottom style="medium">
        <color auto="1"/>
      </bottom>
      <diagonal/>
    </border>
    <border>
      <left/>
      <right style="medium">
        <color auto="1"/>
      </right>
      <top/>
      <bottom style="medium">
        <color auto="1"/>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style="medium">
        <color rgb="FF95B3D7"/>
      </top>
      <bottom style="thin">
        <color rgb="FF000000"/>
      </bottom>
      <diagonal/>
    </border>
    <border>
      <left/>
      <right style="medium">
        <color rgb="FF000000"/>
      </right>
      <top style="medium">
        <color rgb="FF000000"/>
      </top>
      <bottom style="medium">
        <color rgb="FF000000"/>
      </bottom>
      <diagonal/>
    </border>
    <border>
      <left/>
      <right/>
      <top style="medium">
        <color rgb="FF000000"/>
      </top>
      <bottom style="medium">
        <color rgb="FF000000"/>
      </bottom>
      <diagonal/>
    </border>
    <border>
      <left style="medium">
        <color rgb="FF000000"/>
      </left>
      <right/>
      <top style="medium">
        <color rgb="FF000000"/>
      </top>
      <bottom style="medium">
        <color rgb="FF000000"/>
      </bottom>
      <diagonal/>
    </border>
    <border>
      <left/>
      <right/>
      <top/>
      <bottom style="medium">
        <color rgb="FF95B3D7"/>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right style="medium">
        <color rgb="FF000000"/>
      </right>
      <top style="thin">
        <color rgb="FF000000"/>
      </top>
      <bottom style="medium">
        <color rgb="FF000000"/>
      </bottom>
      <diagonal/>
    </border>
    <border>
      <left style="medium">
        <color rgb="FF000000"/>
      </left>
      <right/>
      <top style="thin">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medium">
        <color rgb="FF000000"/>
      </left>
      <right style="thin">
        <color rgb="FF000000"/>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thin">
        <color rgb="FF000000"/>
      </left>
      <right/>
      <top style="medium">
        <color rgb="FF000000"/>
      </top>
      <bottom style="medium">
        <color rgb="FF000000"/>
      </bottom>
      <diagonal/>
    </border>
    <border>
      <left style="medium">
        <color rgb="FF000000"/>
      </left>
      <right style="thin">
        <color rgb="FF000000"/>
      </right>
      <top/>
      <bottom style="medium">
        <color rgb="FF000000"/>
      </bottom>
      <diagonal/>
    </border>
    <border>
      <left/>
      <right style="medium">
        <color rgb="FF000000"/>
      </right>
      <top style="thin">
        <color rgb="FF000000"/>
      </top>
      <bottom style="thin">
        <color rgb="FF000000"/>
      </bottom>
      <diagonal/>
    </border>
    <border>
      <left/>
      <right style="medium">
        <color rgb="FF000000"/>
      </right>
      <top style="thin">
        <color rgb="FF000000"/>
      </top>
      <bottom/>
      <diagonal/>
    </border>
    <border>
      <left style="thin">
        <color rgb="FF000000"/>
      </left>
      <right style="medium">
        <color rgb="FF000000"/>
      </right>
      <top style="thin">
        <color rgb="FF000000"/>
      </top>
      <bottom/>
      <diagonal/>
    </border>
    <border>
      <left style="thin">
        <color rgb="FF000000"/>
      </left>
      <right style="thin">
        <color rgb="FF000000"/>
      </right>
      <top style="thin">
        <color rgb="FF000000"/>
      </top>
      <bottom/>
      <diagonal/>
    </border>
    <border>
      <left style="medium">
        <color rgb="FF000000"/>
      </left>
      <right style="thin">
        <color rgb="FF000000"/>
      </right>
      <top style="thin">
        <color rgb="FF000000"/>
      </top>
      <bottom/>
      <diagonal/>
    </border>
    <border>
      <left style="medium">
        <color rgb="FF000000"/>
      </left>
      <right style="medium">
        <color rgb="FF000000"/>
      </right>
      <top style="thin">
        <color rgb="FF000000"/>
      </top>
      <bottom/>
      <diagonal/>
    </border>
    <border>
      <left/>
      <right/>
      <top style="thin">
        <color rgb="FF000000"/>
      </top>
      <bottom/>
      <diagonal/>
    </border>
    <border>
      <left style="medium">
        <color rgb="FF000000"/>
      </left>
      <right style="medium">
        <color rgb="FF000000"/>
      </right>
      <top style="thin">
        <color rgb="FF000000"/>
      </top>
      <bottom style="medium">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medium">
        <color rgb="FF000000"/>
      </left>
      <right/>
      <top/>
      <bottom/>
      <diagonal/>
    </border>
    <border>
      <left style="medium">
        <color rgb="FF000000"/>
      </left>
      <right style="medium">
        <color rgb="FF000000"/>
      </right>
      <top/>
      <bottom style="thin">
        <color rgb="FF000000"/>
      </bottom>
      <diagonal/>
    </border>
    <border>
      <left/>
      <right/>
      <top style="medium">
        <color rgb="FF000000"/>
      </top>
      <bottom style="thin">
        <color rgb="FF000000"/>
      </bottom>
      <diagonal/>
    </border>
    <border>
      <left/>
      <right style="medium">
        <color rgb="FF000000"/>
      </right>
      <top/>
      <bottom style="thin">
        <color rgb="FF000000"/>
      </bottom>
      <diagonal/>
    </border>
    <border>
      <left style="medium">
        <color rgb="FF000000"/>
      </left>
      <right style="medium">
        <color rgb="FF000000"/>
      </right>
      <top/>
      <bottom style="medium">
        <color rgb="FF000000"/>
      </bottom>
      <diagonal/>
    </border>
    <border>
      <left/>
      <right/>
      <top/>
      <bottom style="medium">
        <color rgb="FF000000"/>
      </bottom>
      <diagonal/>
    </border>
    <border>
      <left style="medium">
        <color rgb="FF000000"/>
      </left>
      <right style="medium">
        <color rgb="FF000000"/>
      </right>
      <top style="medium">
        <color rgb="FF000000"/>
      </top>
      <bottom/>
      <diagonal/>
    </border>
    <border>
      <left/>
      <right style="medium">
        <color rgb="FF000000"/>
      </right>
      <top style="medium">
        <color rgb="FF000000"/>
      </top>
      <bottom/>
      <diagonal/>
    </border>
    <border>
      <left/>
      <right style="medium">
        <color rgb="FF000000"/>
      </right>
      <top style="medium">
        <color rgb="FF000000"/>
      </top>
      <bottom style="thin">
        <color rgb="FF000000"/>
      </bottom>
      <diagonal/>
    </border>
    <border>
      <left style="medium">
        <color rgb="FF000000"/>
      </left>
      <right/>
      <top style="medium">
        <color rgb="FF000000"/>
      </top>
      <bottom style="thin">
        <color rgb="FF000000"/>
      </bottom>
      <diagonal/>
    </border>
    <border>
      <left/>
      <right/>
      <top style="medium">
        <color rgb="FF000000"/>
      </top>
      <bottom/>
      <diagonal/>
    </border>
    <border>
      <left style="medium">
        <color rgb="FF000000"/>
      </left>
      <right/>
      <top style="medium">
        <color rgb="FF000000"/>
      </top>
      <bottom/>
      <diagonal/>
    </border>
    <border>
      <left style="thin">
        <color rgb="FF000000"/>
      </left>
      <right style="medium">
        <color rgb="FF000000"/>
      </right>
      <top style="medium">
        <color rgb="FF000000"/>
      </top>
      <bottom style="thin">
        <color rgb="FF000000"/>
      </bottom>
      <diagonal/>
    </border>
    <border>
      <left/>
      <right style="thin">
        <color rgb="FF000000"/>
      </right>
      <top style="medium">
        <color rgb="FF000000"/>
      </top>
      <bottom style="thin">
        <color rgb="FF000000"/>
      </bottom>
      <diagonal/>
    </border>
    <border>
      <left style="medium">
        <color rgb="FF000000"/>
      </left>
      <right style="medium">
        <color rgb="FF000000"/>
      </right>
      <top style="medium">
        <color rgb="FF000000"/>
      </top>
      <bottom style="thin">
        <color rgb="FF000000"/>
      </bottom>
      <diagonal/>
    </border>
    <border>
      <left/>
      <right style="medium">
        <color rgb="FF000000"/>
      </right>
      <top/>
      <bottom style="medium">
        <color rgb="FF000000"/>
      </bottom>
      <diagonal/>
    </border>
    <border>
      <left style="thin">
        <color rgb="FF000000"/>
      </left>
      <right style="thin">
        <color rgb="FF000000"/>
      </right>
      <top/>
      <bottom style="medium">
        <color rgb="FF000000"/>
      </bottom>
      <diagonal/>
    </border>
    <border>
      <left style="mediumDashed">
        <color rgb="FF000000"/>
      </left>
      <right style="mediumDashed">
        <color rgb="FF000000"/>
      </right>
      <top/>
      <bottom style="mediumDashed">
        <color rgb="FF000000"/>
      </bottom>
      <diagonal/>
    </border>
    <border>
      <left style="thin">
        <color rgb="FF000000"/>
      </left>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medium">
        <color rgb="FF000000"/>
      </left>
      <right style="thin">
        <color rgb="FF000000"/>
      </right>
      <top style="thin">
        <color rgb="FF000000"/>
      </top>
      <bottom style="medium">
        <color rgb="FF000000"/>
      </bottom>
      <diagonal/>
    </border>
    <border>
      <left style="medium">
        <color rgb="FF000000"/>
      </left>
      <right/>
      <top/>
      <bottom style="medium">
        <color rgb="FF000000"/>
      </bottom>
      <diagonal/>
    </border>
    <border>
      <left style="mediumDashed">
        <color rgb="FF000000"/>
      </left>
      <right style="mediumDashed">
        <color rgb="FF000000"/>
      </right>
      <top style="mediumDashed">
        <color rgb="FF000000"/>
      </top>
      <bottom style="medium">
        <color rgb="FF000000"/>
      </bottom>
      <diagonal/>
    </border>
    <border>
      <left/>
      <right style="medium">
        <color rgb="FF000000"/>
      </right>
      <top style="medium">
        <color rgb="FF000000"/>
      </top>
      <bottom style="medium">
        <color rgb="FF95B3D7"/>
      </bottom>
      <diagonal/>
    </border>
    <border>
      <left/>
      <right/>
      <top style="medium">
        <color rgb="FF000000"/>
      </top>
      <bottom style="medium">
        <color rgb="FF95B3D7"/>
      </bottom>
      <diagonal/>
    </border>
    <border>
      <left style="medium">
        <color rgb="FF000000"/>
      </left>
      <right/>
      <top style="medium">
        <color rgb="FF000000"/>
      </top>
      <bottom style="medium">
        <color rgb="FF95B3D7"/>
      </bottom>
      <diagonal/>
    </border>
    <border>
      <left/>
      <right/>
      <top/>
      <bottom style="thin">
        <color rgb="FF000000"/>
      </bottom>
      <diagonal/>
    </border>
    <border>
      <left style="thin">
        <color rgb="FF000000"/>
      </left>
      <right/>
      <top/>
      <bottom style="thin">
        <color rgb="FF000000"/>
      </bottom>
      <diagonal/>
    </border>
    <border>
      <left style="thin">
        <color rgb="FF000000"/>
      </left>
      <right/>
      <top/>
      <bottom/>
      <diagonal/>
    </border>
    <border>
      <left style="thin">
        <color rgb="FF000000"/>
      </left>
      <right/>
      <top style="thin">
        <color rgb="FF000000"/>
      </top>
      <bottom/>
      <diagonal/>
    </border>
    <border>
      <left style="medium">
        <color rgb="FF000000"/>
      </left>
      <right style="medium">
        <color rgb="FF000000"/>
      </right>
      <top/>
      <bottom/>
      <diagonal/>
    </border>
    <border>
      <left/>
      <right/>
      <top style="medium">
        <color theme="4" tint="0.39997558519241921"/>
      </top>
      <bottom/>
      <diagonal/>
    </border>
    <border>
      <left style="thin">
        <color auto="1"/>
      </left>
      <right style="thin">
        <color auto="1"/>
      </right>
      <top style="thin">
        <color auto="1"/>
      </top>
      <bottom style="thin">
        <color auto="1"/>
      </bottom>
      <diagonal/>
    </border>
    <border>
      <left/>
      <right/>
      <top style="medium">
        <color theme="4" tint="0.39997558519241921"/>
      </top>
      <bottom style="thin">
        <color auto="1"/>
      </bottom>
      <diagonal/>
    </border>
  </borders>
  <cellStyleXfs count="16">
    <xf numFmtId="0" fontId="0" fillId="0" borderId="0"/>
    <xf numFmtId="0" fontId="10" fillId="0" borderId="0"/>
    <xf numFmtId="0" fontId="26" fillId="4" borderId="0" applyNumberFormat="0" applyBorder="0" applyAlignment="0" applyProtection="0"/>
    <xf numFmtId="0" fontId="27" fillId="3" borderId="0" applyNumberFormat="0" applyBorder="0" applyAlignment="0" applyProtection="0"/>
    <xf numFmtId="0" fontId="28" fillId="10" borderId="67" applyNumberFormat="0" applyBorder="0" applyAlignment="0">
      <alignment horizontal="center"/>
    </xf>
    <xf numFmtId="166" fontId="6" fillId="0" borderId="0" applyFont="0" applyFill="0" applyBorder="0" applyAlignment="0" applyProtection="0"/>
    <xf numFmtId="0" fontId="29" fillId="0" borderId="68" applyNumberFormat="0" applyAlignment="0">
      <protection locked="0"/>
    </xf>
    <xf numFmtId="0" fontId="7" fillId="0" borderId="5" applyNumberFormat="0" applyFill="0" applyAlignment="0" applyProtection="0"/>
    <xf numFmtId="0" fontId="8" fillId="0" borderId="6" applyNumberFormat="0" applyFill="0" applyAlignment="0" applyProtection="0"/>
    <xf numFmtId="0" fontId="9" fillId="0" borderId="7" applyNumberFormat="0" applyFill="0" applyAlignment="0" applyProtection="0"/>
    <xf numFmtId="0" fontId="9" fillId="0" borderId="0" applyNumberFormat="0" applyFill="0" applyBorder="0" applyAlignment="0" applyProtection="0"/>
    <xf numFmtId="0" fontId="30" fillId="0" borderId="0" applyNumberFormat="0" applyFill="0" applyBorder="0" applyAlignment="0" applyProtection="0"/>
    <xf numFmtId="0" fontId="31" fillId="0" borderId="0"/>
    <xf numFmtId="0" fontId="31" fillId="0" borderId="0"/>
    <xf numFmtId="0" fontId="6" fillId="0" borderId="0"/>
    <xf numFmtId="0" fontId="29" fillId="4" borderId="69" applyNumberFormat="0">
      <alignment horizontal="left" wrapText="1"/>
    </xf>
  </cellStyleXfs>
  <cellXfs count="166">
    <xf numFmtId="0" fontId="0" fillId="0" borderId="0" xfId="0"/>
    <xf numFmtId="0" fontId="2" fillId="2" borderId="1" xfId="0" applyFont="1" applyFill="1" applyBorder="1" applyAlignment="1">
      <alignment wrapText="1"/>
    </xf>
    <xf numFmtId="0" fontId="2" fillId="2" borderId="2" xfId="0" applyFont="1" applyFill="1" applyBorder="1" applyAlignment="1">
      <alignment wrapText="1"/>
    </xf>
    <xf numFmtId="0" fontId="2" fillId="0" borderId="3" xfId="0" applyFont="1" applyBorder="1"/>
    <xf numFmtId="0" fontId="3" fillId="0" borderId="4" xfId="0" applyFont="1" applyBorder="1" applyAlignment="1">
      <alignment horizontal="right"/>
    </xf>
    <xf numFmtId="15" fontId="0" fillId="0" borderId="0" xfId="0" applyNumberFormat="1"/>
    <xf numFmtId="15" fontId="3" fillId="0" borderId="4" xfId="0" applyNumberFormat="1" applyFont="1" applyBorder="1" applyAlignment="1">
      <alignment horizontal="right"/>
    </xf>
    <xf numFmtId="0" fontId="2" fillId="0" borderId="4" xfId="0" applyFont="1" applyBorder="1" applyAlignment="1">
      <alignment horizontal="right"/>
    </xf>
    <xf numFmtId="0" fontId="4" fillId="2" borderId="3" xfId="0" applyFont="1" applyFill="1" applyBorder="1"/>
    <xf numFmtId="0" fontId="4" fillId="2" borderId="4" xfId="0" applyFont="1" applyFill="1" applyBorder="1" applyAlignment="1">
      <alignment horizontal="right"/>
    </xf>
    <xf numFmtId="15" fontId="4" fillId="2" borderId="4" xfId="0" applyNumberFormat="1" applyFont="1" applyFill="1" applyBorder="1" applyAlignment="1">
      <alignment horizontal="right"/>
    </xf>
    <xf numFmtId="164" fontId="0" fillId="0" borderId="0" xfId="0" applyNumberFormat="1"/>
    <xf numFmtId="164" fontId="4" fillId="2" borderId="4" xfId="0" applyNumberFormat="1" applyFont="1" applyFill="1" applyBorder="1" applyAlignment="1">
      <alignment horizontal="right"/>
    </xf>
    <xf numFmtId="0" fontId="3" fillId="2" borderId="4" xfId="0" applyFont="1" applyFill="1" applyBorder="1"/>
    <xf numFmtId="164" fontId="2" fillId="0" borderId="4" xfId="0" applyNumberFormat="1" applyFont="1" applyBorder="1" applyAlignment="1">
      <alignment horizontal="right"/>
    </xf>
    <xf numFmtId="0" fontId="2" fillId="2" borderId="4" xfId="0" applyFont="1" applyFill="1" applyBorder="1"/>
    <xf numFmtId="0" fontId="4" fillId="2" borderId="4" xfId="0" applyFont="1" applyFill="1" applyBorder="1"/>
    <xf numFmtId="0" fontId="3" fillId="0" borderId="4" xfId="0" applyFont="1" applyBorder="1"/>
    <xf numFmtId="0" fontId="3" fillId="0" borderId="3" xfId="0" applyFont="1" applyBorder="1"/>
    <xf numFmtId="164" fontId="3" fillId="0" borderId="4" xfId="0" applyNumberFormat="1" applyFont="1" applyBorder="1" applyAlignment="1">
      <alignment horizontal="right"/>
    </xf>
    <xf numFmtId="0" fontId="2" fillId="0" borderId="4" xfId="0" applyFont="1" applyBorder="1"/>
    <xf numFmtId="9" fontId="0" fillId="0" borderId="0" xfId="0" applyNumberFormat="1"/>
    <xf numFmtId="0" fontId="2" fillId="0" borderId="0" xfId="0" applyFont="1" applyFill="1" applyBorder="1" applyAlignment="1">
      <alignment horizontal="center" wrapText="1"/>
    </xf>
    <xf numFmtId="9" fontId="1" fillId="0" borderId="0" xfId="0" applyNumberFormat="1" applyFont="1"/>
    <xf numFmtId="9" fontId="5" fillId="0" borderId="0" xfId="0" applyNumberFormat="1" applyFont="1"/>
    <xf numFmtId="165" fontId="0" fillId="0" borderId="0" xfId="0" applyNumberFormat="1"/>
    <xf numFmtId="166" fontId="0" fillId="0" borderId="8" xfId="0" applyNumberFormat="1" applyFill="1" applyBorder="1" applyProtection="1">
      <protection locked="0"/>
    </xf>
    <xf numFmtId="0" fontId="10" fillId="0" borderId="0" xfId="1" applyFill="1"/>
    <xf numFmtId="0" fontId="11" fillId="0" borderId="0" xfId="1" applyFont="1" applyFill="1"/>
    <xf numFmtId="167" fontId="12" fillId="5" borderId="9" xfId="1" applyNumberFormat="1" applyFont="1" applyFill="1" applyBorder="1"/>
    <xf numFmtId="0" fontId="12" fillId="5" borderId="0" xfId="1" applyFont="1" applyFill="1"/>
    <xf numFmtId="167" fontId="12" fillId="5" borderId="9" xfId="1" applyNumberFormat="1" applyFont="1" applyFill="1" applyBorder="1" applyAlignment="1">
      <alignment horizontal="left" wrapText="1"/>
    </xf>
    <xf numFmtId="167" fontId="10" fillId="6" borderId="9" xfId="1" applyNumberFormat="1" applyFill="1" applyBorder="1" applyAlignment="1">
      <alignment horizontal="left" wrapText="1"/>
    </xf>
    <xf numFmtId="0" fontId="10" fillId="6" borderId="10" xfId="1" applyFill="1" applyBorder="1" applyAlignment="1">
      <alignment horizontal="left" wrapText="1"/>
    </xf>
    <xf numFmtId="0" fontId="10" fillId="6" borderId="9" xfId="1" applyFill="1" applyBorder="1" applyAlignment="1">
      <alignment horizontal="left" wrapText="1"/>
    </xf>
    <xf numFmtId="17" fontId="12" fillId="5" borderId="9" xfId="1" applyNumberFormat="1" applyFont="1" applyFill="1" applyBorder="1" applyAlignment="1">
      <alignment horizontal="center"/>
    </xf>
    <xf numFmtId="0" fontId="13" fillId="0" borderId="0" xfId="1" applyFont="1" applyFill="1" applyAlignment="1">
      <alignment horizontal="center" vertical="center"/>
    </xf>
    <xf numFmtId="0" fontId="14" fillId="0" borderId="0" xfId="1" applyFont="1" applyFill="1"/>
    <xf numFmtId="0" fontId="14" fillId="0" borderId="14" xfId="1" applyFont="1" applyFill="1" applyBorder="1"/>
    <xf numFmtId="166" fontId="11" fillId="0" borderId="0" xfId="1" applyNumberFormat="1" applyFont="1" applyFill="1"/>
    <xf numFmtId="166" fontId="12" fillId="5" borderId="0" xfId="1" applyNumberFormat="1" applyFont="1" applyFill="1"/>
    <xf numFmtId="166" fontId="12" fillId="5" borderId="18" xfId="1" applyNumberFormat="1" applyFont="1" applyFill="1" applyBorder="1"/>
    <xf numFmtId="166" fontId="12" fillId="5" borderId="19" xfId="1" applyNumberFormat="1" applyFont="1" applyFill="1" applyBorder="1"/>
    <xf numFmtId="166" fontId="15" fillId="0" borderId="0" xfId="1" applyNumberFormat="1" applyFont="1" applyFill="1"/>
    <xf numFmtId="166" fontId="16" fillId="7" borderId="11" xfId="1" applyNumberFormat="1" applyFont="1" applyFill="1" applyBorder="1"/>
    <xf numFmtId="166" fontId="12" fillId="5" borderId="20" xfId="1" applyNumberFormat="1" applyFont="1" applyFill="1" applyBorder="1"/>
    <xf numFmtId="166" fontId="12" fillId="5" borderId="21" xfId="1" applyNumberFormat="1" applyFont="1" applyFill="1" applyBorder="1"/>
    <xf numFmtId="166" fontId="12" fillId="5" borderId="22" xfId="1" applyNumberFormat="1" applyFont="1" applyFill="1" applyBorder="1"/>
    <xf numFmtId="166" fontId="16" fillId="7" borderId="23" xfId="1" applyNumberFormat="1" applyFont="1" applyFill="1" applyBorder="1"/>
    <xf numFmtId="166" fontId="12" fillId="5" borderId="24" xfId="1" applyNumberFormat="1" applyFont="1" applyFill="1" applyBorder="1"/>
    <xf numFmtId="0" fontId="12" fillId="5" borderId="25" xfId="1" applyFont="1" applyFill="1" applyBorder="1"/>
    <xf numFmtId="1" fontId="15" fillId="0" borderId="0" xfId="1" applyNumberFormat="1" applyFont="1" applyFill="1"/>
    <xf numFmtId="166" fontId="12" fillId="5" borderId="23" xfId="1" applyNumberFormat="1" applyFont="1" applyFill="1" applyBorder="1"/>
    <xf numFmtId="166" fontId="12" fillId="5" borderId="26" xfId="1" applyNumberFormat="1" applyFont="1" applyFill="1" applyBorder="1"/>
    <xf numFmtId="166" fontId="12" fillId="5" borderId="9" xfId="1" applyNumberFormat="1" applyFont="1" applyFill="1" applyBorder="1" applyAlignment="1">
      <alignment horizontal="left" wrapText="1"/>
    </xf>
    <xf numFmtId="166" fontId="12" fillId="5" borderId="27" xfId="1" applyNumberFormat="1" applyFont="1" applyFill="1" applyBorder="1"/>
    <xf numFmtId="166" fontId="12" fillId="5" borderId="28" xfId="1" applyNumberFormat="1" applyFont="1" applyFill="1" applyBorder="1"/>
    <xf numFmtId="166" fontId="12" fillId="5" borderId="29" xfId="1" applyNumberFormat="1" applyFont="1" applyFill="1" applyBorder="1"/>
    <xf numFmtId="166" fontId="12" fillId="5" borderId="30" xfId="1" applyNumberFormat="1" applyFont="1" applyFill="1" applyBorder="1"/>
    <xf numFmtId="166" fontId="12" fillId="5" borderId="31" xfId="1" applyNumberFormat="1" applyFont="1" applyFill="1" applyBorder="1"/>
    <xf numFmtId="0" fontId="12" fillId="5" borderId="32" xfId="1" applyFont="1" applyFill="1" applyBorder="1" applyAlignment="1">
      <alignment horizontal="left" wrapText="1"/>
    </xf>
    <xf numFmtId="168" fontId="12" fillId="5" borderId="33" xfId="1" applyNumberFormat="1" applyFont="1" applyFill="1" applyBorder="1" applyAlignment="1">
      <alignment horizontal="left" wrapText="1"/>
    </xf>
    <xf numFmtId="168" fontId="12" fillId="5" borderId="18" xfId="1" applyNumberFormat="1" applyFont="1" applyFill="1" applyBorder="1" applyAlignment="1">
      <alignment horizontal="left" wrapText="1"/>
    </xf>
    <xf numFmtId="0" fontId="10" fillId="6" borderId="33" xfId="1" applyFill="1" applyBorder="1" applyAlignment="1">
      <alignment horizontal="left" wrapText="1"/>
    </xf>
    <xf numFmtId="166" fontId="12" fillId="5" borderId="34" xfId="1" applyNumberFormat="1" applyFont="1" applyFill="1" applyBorder="1"/>
    <xf numFmtId="166" fontId="12" fillId="5" borderId="9" xfId="1" applyNumberFormat="1" applyFont="1" applyFill="1" applyBorder="1"/>
    <xf numFmtId="166" fontId="12" fillId="5" borderId="8" xfId="1" applyNumberFormat="1" applyFont="1" applyFill="1" applyBorder="1"/>
    <xf numFmtId="166" fontId="12" fillId="5" borderId="35" xfId="1" applyNumberFormat="1" applyFont="1" applyFill="1" applyBorder="1"/>
    <xf numFmtId="0" fontId="12" fillId="5" borderId="16" xfId="1" applyFont="1" applyFill="1" applyBorder="1" applyAlignment="1">
      <alignment horizontal="left" wrapText="1"/>
    </xf>
    <xf numFmtId="168" fontId="12" fillId="5" borderId="35" xfId="1" applyNumberFormat="1" applyFont="1" applyFill="1" applyBorder="1" applyAlignment="1">
      <alignment horizontal="left" wrapText="1"/>
    </xf>
    <xf numFmtId="168" fontId="12" fillId="5" borderId="26" xfId="1" applyNumberFormat="1" applyFont="1" applyFill="1" applyBorder="1" applyAlignment="1">
      <alignment horizontal="left" wrapText="1"/>
    </xf>
    <xf numFmtId="0" fontId="10" fillId="6" borderId="35" xfId="1" applyFill="1" applyBorder="1" applyAlignment="1">
      <alignment horizontal="left" wrapText="1"/>
    </xf>
    <xf numFmtId="166" fontId="10" fillId="0" borderId="9" xfId="1" applyNumberFormat="1" applyFill="1" applyBorder="1" applyProtection="1">
      <protection locked="0"/>
    </xf>
    <xf numFmtId="14" fontId="12" fillId="5" borderId="16" xfId="1" applyNumberFormat="1" applyFont="1" applyFill="1" applyBorder="1" applyAlignment="1">
      <alignment horizontal="left" wrapText="1"/>
    </xf>
    <xf numFmtId="166" fontId="12" fillId="5" borderId="16" xfId="1" applyNumberFormat="1" applyFont="1" applyFill="1" applyBorder="1" applyAlignment="1">
      <alignment horizontal="left" wrapText="1"/>
    </xf>
    <xf numFmtId="166" fontId="12" fillId="5" borderId="15" xfId="1" applyNumberFormat="1" applyFont="1" applyFill="1" applyBorder="1"/>
    <xf numFmtId="0" fontId="12" fillId="5" borderId="36" xfId="1" applyFont="1" applyFill="1" applyBorder="1"/>
    <xf numFmtId="166" fontId="10" fillId="0" borderId="26" xfId="1" applyNumberFormat="1" applyFill="1" applyBorder="1" applyProtection="1">
      <protection locked="0"/>
    </xf>
    <xf numFmtId="166" fontId="10" fillId="0" borderId="8" xfId="1" applyNumberFormat="1" applyFill="1" applyBorder="1" applyProtection="1">
      <protection locked="0"/>
    </xf>
    <xf numFmtId="166" fontId="10" fillId="0" borderId="35" xfId="1" applyNumberFormat="1" applyFill="1" applyBorder="1" applyProtection="1">
      <protection locked="0"/>
    </xf>
    <xf numFmtId="166" fontId="10" fillId="0" borderId="16" xfId="1" applyNumberFormat="1" applyFill="1" applyBorder="1" applyAlignment="1" applyProtection="1">
      <alignment horizontal="left" wrapText="1"/>
      <protection locked="0"/>
    </xf>
    <xf numFmtId="168" fontId="10" fillId="6" borderId="35" xfId="1" applyNumberFormat="1" applyFill="1" applyBorder="1" applyAlignment="1">
      <alignment horizontal="left" wrapText="1"/>
    </xf>
    <xf numFmtId="168" fontId="10" fillId="6" borderId="26" xfId="1" applyNumberFormat="1" applyFill="1" applyBorder="1" applyAlignment="1">
      <alignment horizontal="left" wrapText="1"/>
    </xf>
    <xf numFmtId="166" fontId="12" fillId="5" borderId="37" xfId="1" applyNumberFormat="1" applyFont="1" applyFill="1" applyBorder="1"/>
    <xf numFmtId="166" fontId="10" fillId="0" borderId="38" xfId="1" applyNumberFormat="1" applyFill="1" applyBorder="1" applyAlignment="1" applyProtection="1">
      <alignment horizontal="left" wrapText="1"/>
      <protection locked="0"/>
    </xf>
    <xf numFmtId="168" fontId="10" fillId="6" borderId="37" xfId="1" applyNumberFormat="1" applyFill="1" applyBorder="1" applyAlignment="1">
      <alignment horizontal="left" wrapText="1"/>
    </xf>
    <xf numFmtId="168" fontId="10" fillId="6" borderId="39" xfId="1" applyNumberFormat="1" applyFill="1" applyBorder="1" applyAlignment="1">
      <alignment horizontal="left" wrapText="1"/>
    </xf>
    <xf numFmtId="0" fontId="15" fillId="0" borderId="0" xfId="1" applyFont="1" applyFill="1" applyAlignment="1">
      <alignment vertical="top" wrapText="1"/>
    </xf>
    <xf numFmtId="166" fontId="11" fillId="0" borderId="0" xfId="1" applyNumberFormat="1" applyFont="1" applyFill="1" applyAlignment="1">
      <alignment vertical="top" wrapText="1"/>
    </xf>
    <xf numFmtId="0" fontId="15" fillId="0" borderId="0" xfId="1" applyFont="1" applyFill="1" applyAlignment="1">
      <alignment horizontal="left" vertical="top" wrapText="1"/>
    </xf>
    <xf numFmtId="0" fontId="14" fillId="6" borderId="34" xfId="1" applyFont="1" applyFill="1" applyBorder="1" applyAlignment="1">
      <alignment horizontal="center" vertical="top" wrapText="1"/>
    </xf>
    <xf numFmtId="0" fontId="14" fillId="6" borderId="9" xfId="1" applyFont="1" applyFill="1" applyBorder="1" applyAlignment="1">
      <alignment horizontal="center" vertical="top" wrapText="1"/>
    </xf>
    <xf numFmtId="0" fontId="14" fillId="6" borderId="8" xfId="1" applyFont="1" applyFill="1" applyBorder="1" applyAlignment="1">
      <alignment horizontal="center" vertical="top" wrapText="1"/>
    </xf>
    <xf numFmtId="0" fontId="18" fillId="6" borderId="15" xfId="1" applyFont="1" applyFill="1" applyBorder="1" applyAlignment="1">
      <alignment horizontal="center" vertical="top" wrapText="1"/>
    </xf>
    <xf numFmtId="0" fontId="11" fillId="0" borderId="0" xfId="1" applyFont="1" applyFill="1" applyAlignment="1">
      <alignment vertical="top"/>
    </xf>
    <xf numFmtId="0" fontId="19" fillId="0" borderId="0" xfId="1" applyFont="1" applyFill="1" applyAlignment="1">
      <alignment vertical="top" wrapText="1"/>
    </xf>
    <xf numFmtId="0" fontId="17" fillId="0" borderId="0" xfId="1" applyFont="1" applyFill="1" applyAlignment="1">
      <alignment vertical="top" wrapText="1"/>
    </xf>
    <xf numFmtId="0" fontId="14" fillId="6" borderId="0" xfId="1" applyFont="1" applyFill="1"/>
    <xf numFmtId="166" fontId="12" fillId="5" borderId="51" xfId="1" applyNumberFormat="1" applyFont="1" applyFill="1" applyBorder="1"/>
    <xf numFmtId="166" fontId="12" fillId="5" borderId="52" xfId="1" applyNumberFormat="1" applyFont="1" applyFill="1" applyBorder="1" applyAlignment="1">
      <alignment horizontal="right"/>
    </xf>
    <xf numFmtId="166" fontId="12" fillId="5" borderId="41" xfId="1" applyNumberFormat="1" applyFont="1" applyFill="1" applyBorder="1"/>
    <xf numFmtId="166" fontId="11" fillId="8" borderId="53" xfId="1" applyNumberFormat="1" applyFont="1" applyFill="1" applyBorder="1" applyAlignment="1">
      <alignment horizontal="center" vertical="center"/>
    </xf>
    <xf numFmtId="166" fontId="12" fillId="5" borderId="54" xfId="1" applyNumberFormat="1" applyFont="1" applyFill="1" applyBorder="1" applyAlignment="1">
      <alignment horizontal="left" wrapText="1"/>
    </xf>
    <xf numFmtId="166" fontId="12" fillId="5" borderId="55" xfId="1" applyNumberFormat="1" applyFont="1" applyFill="1" applyBorder="1" applyAlignment="1">
      <alignment horizontal="left" wrapText="1"/>
    </xf>
    <xf numFmtId="166" fontId="12" fillId="5" borderId="56" xfId="1" applyNumberFormat="1" applyFont="1" applyFill="1" applyBorder="1" applyAlignment="1">
      <alignment horizontal="left" wrapText="1"/>
    </xf>
    <xf numFmtId="0" fontId="11" fillId="0" borderId="41" xfId="1" applyFont="1" applyFill="1" applyBorder="1"/>
    <xf numFmtId="0" fontId="11" fillId="0" borderId="57" xfId="1" applyFont="1" applyFill="1" applyBorder="1"/>
    <xf numFmtId="0" fontId="18" fillId="6" borderId="26" xfId="1" applyFont="1" applyFill="1" applyBorder="1" applyAlignment="1">
      <alignment horizontal="center" vertical="center" wrapText="1"/>
    </xf>
    <xf numFmtId="3" fontId="18" fillId="6" borderId="9" xfId="1" applyNumberFormat="1" applyFont="1" applyFill="1" applyBorder="1" applyAlignment="1">
      <alignment horizontal="center" vertical="center" wrapText="1"/>
    </xf>
    <xf numFmtId="3" fontId="18" fillId="6" borderId="16" xfId="1" applyNumberFormat="1" applyFont="1" applyFill="1" applyBorder="1" applyAlignment="1">
      <alignment horizontal="center" vertical="center" wrapText="1"/>
    </xf>
    <xf numFmtId="0" fontId="18" fillId="6" borderId="58" xfId="1" applyFont="1" applyFill="1" applyBorder="1" applyAlignment="1">
      <alignment horizontal="center" vertical="center" wrapText="1"/>
    </xf>
    <xf numFmtId="0" fontId="18" fillId="6" borderId="32" xfId="1" applyFont="1" applyFill="1" applyBorder="1" applyAlignment="1">
      <alignment horizontal="center" vertical="center" wrapText="1"/>
    </xf>
    <xf numFmtId="0" fontId="18" fillId="6" borderId="29" xfId="1" applyFont="1" applyFill="1" applyBorder="1" applyAlignment="1">
      <alignment horizontal="center" vertical="center" wrapText="1"/>
    </xf>
    <xf numFmtId="0" fontId="18" fillId="6" borderId="30" xfId="1" applyFont="1" applyFill="1" applyBorder="1" applyAlignment="1">
      <alignment horizontal="center" vertical="center" wrapText="1"/>
    </xf>
    <xf numFmtId="0" fontId="11" fillId="0" borderId="36" xfId="1" applyFont="1" applyFill="1" applyBorder="1" applyAlignment="1">
      <alignment horizontal="center" vertical="center" wrapText="1"/>
    </xf>
    <xf numFmtId="0" fontId="11" fillId="0" borderId="46" xfId="1" applyFont="1" applyFill="1" applyBorder="1"/>
    <xf numFmtId="0" fontId="11" fillId="0" borderId="47" xfId="1" applyFont="1" applyFill="1" applyBorder="1"/>
    <xf numFmtId="0" fontId="20" fillId="0" borderId="0" xfId="1" applyFont="1" applyFill="1" applyAlignment="1">
      <alignment horizontal="left"/>
    </xf>
    <xf numFmtId="14" fontId="10" fillId="0" borderId="0" xfId="1" applyNumberFormat="1" applyFill="1"/>
    <xf numFmtId="169" fontId="21" fillId="9" borderId="0" xfId="1" applyNumberFormat="1" applyFont="1" applyFill="1" applyAlignment="1">
      <alignment horizontal="left"/>
    </xf>
    <xf numFmtId="0" fontId="21" fillId="9" borderId="0" xfId="1" applyFont="1" applyFill="1" applyAlignment="1">
      <alignment horizontal="left"/>
    </xf>
    <xf numFmtId="0" fontId="22" fillId="0" borderId="0" xfId="1" applyFont="1" applyFill="1" applyProtection="1">
      <protection locked="0"/>
    </xf>
    <xf numFmtId="168" fontId="21" fillId="9" borderId="62" xfId="1" applyNumberFormat="1" applyFont="1" applyFill="1" applyBorder="1" applyAlignment="1">
      <alignment horizontal="left"/>
    </xf>
    <xf numFmtId="0" fontId="21" fillId="9" borderId="63" xfId="1" applyFont="1" applyFill="1" applyBorder="1" applyAlignment="1">
      <alignment horizontal="left"/>
    </xf>
    <xf numFmtId="168" fontId="21" fillId="9" borderId="0" xfId="1" applyNumberFormat="1" applyFont="1" applyFill="1" applyAlignment="1">
      <alignment horizontal="left"/>
    </xf>
    <xf numFmtId="0" fontId="21" fillId="9" borderId="64" xfId="1" applyFont="1" applyFill="1" applyBorder="1" applyAlignment="1">
      <alignment horizontal="left"/>
    </xf>
    <xf numFmtId="0" fontId="21" fillId="9" borderId="32" xfId="1" applyFont="1" applyFill="1" applyBorder="1" applyAlignment="1">
      <alignment horizontal="left"/>
    </xf>
    <xf numFmtId="0" fontId="21" fillId="9" borderId="65" xfId="1" applyFont="1" applyFill="1" applyBorder="1" applyAlignment="1">
      <alignment horizontal="left"/>
    </xf>
    <xf numFmtId="0" fontId="10" fillId="0" borderId="0" xfId="1" applyFill="1" applyAlignment="1">
      <alignment horizontal="center"/>
    </xf>
    <xf numFmtId="0" fontId="10" fillId="0" borderId="32" xfId="1" applyFill="1" applyBorder="1" applyAlignment="1">
      <alignment horizontal="center"/>
    </xf>
    <xf numFmtId="0" fontId="10" fillId="0" borderId="31" xfId="1" applyFill="1" applyBorder="1" applyAlignment="1">
      <alignment horizontal="center"/>
    </xf>
    <xf numFmtId="0" fontId="10" fillId="0" borderId="35" xfId="1" applyFill="1" applyBorder="1" applyAlignment="1">
      <alignment horizontal="center"/>
    </xf>
    <xf numFmtId="0" fontId="10" fillId="0" borderId="66" xfId="1" applyFill="1" applyBorder="1" applyAlignment="1">
      <alignment horizontal="center"/>
    </xf>
    <xf numFmtId="0" fontId="23" fillId="0" borderId="0" xfId="1" applyFont="1" applyFill="1" applyAlignment="1">
      <alignment horizontal="center"/>
    </xf>
    <xf numFmtId="0" fontId="23" fillId="0" borderId="42" xfId="1" applyFont="1" applyFill="1" applyBorder="1" applyAlignment="1">
      <alignment horizontal="center"/>
    </xf>
    <xf numFmtId="0" fontId="10" fillId="0" borderId="13" xfId="1" applyFill="1" applyBorder="1" applyAlignment="1" applyProtection="1">
      <alignment horizontal="left" vertical="top" wrapText="1"/>
      <protection locked="0"/>
    </xf>
    <xf numFmtId="0" fontId="10" fillId="0" borderId="12" xfId="1" applyFill="1" applyBorder="1" applyAlignment="1" applyProtection="1">
      <alignment horizontal="left" vertical="top" wrapText="1"/>
      <protection locked="0"/>
    </xf>
    <xf numFmtId="0" fontId="10" fillId="0" borderId="11" xfId="1" applyFill="1" applyBorder="1" applyAlignment="1" applyProtection="1">
      <alignment horizontal="left" vertical="top" wrapText="1"/>
      <protection locked="0"/>
    </xf>
    <xf numFmtId="0" fontId="13" fillId="0" borderId="17" xfId="1" applyFont="1" applyFill="1" applyBorder="1" applyAlignment="1">
      <alignment horizontal="center" vertical="center"/>
    </xf>
    <xf numFmtId="0" fontId="13" fillId="0" borderId="16" xfId="1" applyFont="1" applyFill="1" applyBorder="1" applyAlignment="1">
      <alignment horizontal="center" vertical="center"/>
    </xf>
    <xf numFmtId="0" fontId="13" fillId="0" borderId="15" xfId="1" applyFont="1" applyFill="1" applyBorder="1" applyAlignment="1">
      <alignment horizontal="center" vertical="center"/>
    </xf>
    <xf numFmtId="0" fontId="14" fillId="6" borderId="45" xfId="1" applyFont="1" applyFill="1" applyBorder="1" applyAlignment="1">
      <alignment horizontal="center" vertical="top" wrapText="1"/>
    </xf>
    <xf numFmtId="0" fontId="14" fillId="6" borderId="38" xfId="1" applyFont="1" applyFill="1" applyBorder="1" applyAlignment="1">
      <alignment horizontal="center" vertical="top" wrapText="1"/>
    </xf>
    <xf numFmtId="0" fontId="14" fillId="6" borderId="44" xfId="1" applyFont="1" applyFill="1" applyBorder="1" applyAlignment="1">
      <alignment horizontal="center" vertical="top" wrapText="1"/>
    </xf>
    <xf numFmtId="0" fontId="18" fillId="6" borderId="43" xfId="1" applyFont="1" applyFill="1" applyBorder="1" applyAlignment="1">
      <alignment horizontal="center" vertical="top" wrapText="1"/>
    </xf>
    <xf numFmtId="0" fontId="18" fillId="6" borderId="39" xfId="1" applyFont="1" applyFill="1" applyBorder="1" applyAlignment="1">
      <alignment horizontal="center" vertical="top" wrapText="1"/>
    </xf>
    <xf numFmtId="0" fontId="10" fillId="6" borderId="9" xfId="1" applyFill="1" applyBorder="1" applyAlignment="1">
      <alignment horizontal="left" wrapText="1"/>
    </xf>
    <xf numFmtId="0" fontId="14" fillId="6" borderId="46" xfId="1" applyFont="1" applyFill="1" applyBorder="1" applyAlignment="1">
      <alignment horizontal="center" vertical="top" wrapText="1"/>
    </xf>
    <xf numFmtId="0" fontId="14" fillId="6" borderId="41" xfId="1" applyFont="1" applyFill="1" applyBorder="1" applyAlignment="1">
      <alignment horizontal="center" vertical="top" wrapText="1"/>
    </xf>
    <xf numFmtId="0" fontId="14" fillId="6" borderId="47" xfId="1" applyFont="1" applyFill="1" applyBorder="1" applyAlignment="1">
      <alignment horizontal="center" vertical="top" wrapText="1"/>
    </xf>
    <xf numFmtId="0" fontId="14" fillId="6" borderId="43" xfId="1" applyFont="1" applyFill="1" applyBorder="1" applyAlignment="1">
      <alignment horizontal="center" vertical="top" wrapText="1"/>
    </xf>
    <xf numFmtId="0" fontId="18" fillId="6" borderId="42" xfId="1" applyFont="1" applyFill="1" applyBorder="1" applyAlignment="1">
      <alignment horizontal="center" vertical="top" wrapText="1"/>
    </xf>
    <xf numFmtId="0" fontId="18" fillId="6" borderId="37" xfId="1" applyFont="1" applyFill="1" applyBorder="1" applyAlignment="1">
      <alignment horizontal="center" vertical="top" wrapText="1"/>
    </xf>
    <xf numFmtId="0" fontId="14" fillId="6" borderId="61" xfId="1" applyFont="1" applyFill="1" applyBorder="1" applyAlignment="1">
      <alignment horizontal="center" vertical="center"/>
    </xf>
    <xf numFmtId="0" fontId="14" fillId="6" borderId="60" xfId="1" applyFont="1" applyFill="1" applyBorder="1" applyAlignment="1">
      <alignment horizontal="center" vertical="center"/>
    </xf>
    <xf numFmtId="0" fontId="14" fillId="6" borderId="59" xfId="1" applyFont="1" applyFill="1" applyBorder="1" applyAlignment="1">
      <alignment horizontal="center" vertical="center"/>
    </xf>
    <xf numFmtId="0" fontId="14" fillId="6" borderId="61" xfId="1" applyFont="1" applyFill="1" applyBorder="1" applyAlignment="1">
      <alignment horizontal="center" vertical="center" wrapText="1"/>
    </xf>
    <xf numFmtId="0" fontId="14" fillId="6" borderId="60" xfId="1" applyFont="1" applyFill="1" applyBorder="1" applyAlignment="1">
      <alignment horizontal="center" vertical="center" wrapText="1"/>
    </xf>
    <xf numFmtId="0" fontId="14" fillId="6" borderId="59" xfId="1" applyFont="1" applyFill="1" applyBorder="1" applyAlignment="1">
      <alignment horizontal="center" vertical="center" wrapText="1"/>
    </xf>
    <xf numFmtId="0" fontId="17" fillId="6" borderId="50" xfId="1" applyFont="1" applyFill="1" applyBorder="1" applyAlignment="1">
      <alignment horizontal="center" vertical="top" wrapText="1"/>
    </xf>
    <xf numFmtId="0" fontId="17" fillId="6" borderId="35" xfId="1" applyFont="1" applyFill="1" applyBorder="1" applyAlignment="1">
      <alignment horizontal="center" vertical="top" wrapText="1"/>
    </xf>
    <xf numFmtId="0" fontId="14" fillId="6" borderId="49" xfId="1" applyFont="1" applyFill="1" applyBorder="1" applyAlignment="1">
      <alignment horizontal="center" vertical="top" wrapText="1"/>
    </xf>
    <xf numFmtId="0" fontId="14" fillId="6" borderId="48" xfId="1" applyFont="1" applyFill="1" applyBorder="1" applyAlignment="1">
      <alignment horizontal="center" vertical="top" wrapText="1"/>
    </xf>
    <xf numFmtId="0" fontId="17" fillId="6" borderId="42" xfId="1" applyFont="1" applyFill="1" applyBorder="1" applyAlignment="1">
      <alignment horizontal="center" vertical="top" wrapText="1"/>
    </xf>
    <xf numFmtId="0" fontId="17" fillId="6" borderId="40" xfId="1" applyFont="1" applyFill="1" applyBorder="1" applyAlignment="1">
      <alignment horizontal="center" vertical="top" wrapText="1"/>
    </xf>
    <xf numFmtId="0" fontId="2" fillId="2" borderId="0" xfId="0" applyFont="1" applyFill="1" applyBorder="1" applyAlignment="1">
      <alignment horizontal="center" wrapText="1"/>
    </xf>
  </cellXfs>
  <cellStyles count="16">
    <cellStyle name="20% - Accent1 2" xfId="2"/>
    <cellStyle name="Accent1 2" xfId="3"/>
    <cellStyle name="Calculations 2" xfId="4"/>
    <cellStyle name="Currency 3" xfId="5"/>
    <cellStyle name="editable 2" xfId="6"/>
    <cellStyle name="Heading 1 2" xfId="7"/>
    <cellStyle name="Heading 2 2" xfId="8"/>
    <cellStyle name="Heading 3 2" xfId="9"/>
    <cellStyle name="Heading 4 2" xfId="10"/>
    <cellStyle name="Hyperlink 2" xfId="11"/>
    <cellStyle name="Normal" xfId="0" builtinId="0"/>
    <cellStyle name="Normal 2" xfId="1"/>
    <cellStyle name="Normal 2 2" xfId="12"/>
    <cellStyle name="Normal 2 2 2" xfId="13"/>
    <cellStyle name="Normal 3" xfId="14"/>
    <cellStyle name="prepopulated 2" xfId="15"/>
  </cellStyles>
  <dxfs count="166">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font>
        <sz val="10"/>
        <color rgb="FF000000"/>
        <name val="Calibri"/>
      </font>
      <numFmt numFmtId="0" formatCode="General"/>
      <fill>
        <patternFill patternType="solid">
          <fgColor rgb="FF000000"/>
          <bgColor rgb="FFCCFFCC"/>
        </patternFill>
      </fill>
    </dxf>
    <dxf>
      <numFmt numFmtId="0" formatCode="General"/>
      <fill>
        <patternFill patternType="none"/>
      </fill>
    </dxf>
    <dxf>
      <font>
        <sz val="10"/>
        <color rgb="FF000000"/>
        <name val="Calibri"/>
      </font>
      <numFmt numFmtId="0" formatCode="General"/>
      <fill>
        <patternFill patternType="solid">
          <fgColor rgb="FF000000"/>
          <bgColor rgb="FFCCFFCC"/>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externalLink" Target="externalLinks/externalLink1.xml"/><Relationship Id="rId6" Type="http://schemas.openxmlformats.org/officeDocument/2006/relationships/externalLink" Target="externalLinks/externalLink2.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RT029%20Report%2031%20March%202013_travis_latest.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NECTAR/Finance/Subprojects%20Stage%201/RT%20Stage%201_new%20template.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1.Header"/>
      <sheetName val="2.Milestones"/>
      <sheetName val="3.Issues"/>
      <sheetName val="4.Risks"/>
      <sheetName val="5.Changes"/>
      <sheetName val="6.Dependencies"/>
      <sheetName val="7.Measures"/>
      <sheetName val="8.Communications"/>
      <sheetName val="9.Finance"/>
      <sheetName val="Legend"/>
      <sheetName val="Data- TO BE HIDDEN"/>
      <sheetName val="ReportInformation"/>
      <sheetName val="10.Assets"/>
      <sheetName val="Sheet1"/>
      <sheetName val="RT029"/>
    </sheetNames>
    <sheetDataSet>
      <sheetData sheetId="0">
        <row r="14">
          <cell r="D14" t="str">
            <v>RT029</v>
          </cell>
          <cell r="G14" t="str">
            <v>Cloud Based Bioinformatics Tools</v>
          </cell>
        </row>
        <row r="15">
          <cell r="G15">
            <v>41244</v>
          </cell>
        </row>
        <row r="16">
          <cell r="G16">
            <v>41334</v>
          </cell>
        </row>
        <row r="32">
          <cell r="AE32" t="str">
            <v>AMBER</v>
          </cell>
        </row>
      </sheetData>
      <sheetData sheetId="1">
        <row r="37">
          <cell r="P37" t="str">
            <v>RED</v>
          </cell>
        </row>
      </sheetData>
      <sheetData sheetId="2">
        <row r="28">
          <cell r="K28" t="str">
            <v>GREEN</v>
          </cell>
        </row>
      </sheetData>
      <sheetData sheetId="3">
        <row r="25">
          <cell r="G25" t="str">
            <v>GREEN</v>
          </cell>
        </row>
      </sheetData>
      <sheetData sheetId="4">
        <row r="28">
          <cell r="M28" t="str">
            <v>GREEN</v>
          </cell>
        </row>
      </sheetData>
      <sheetData sheetId="5">
        <row r="24">
          <cell r="G24" t="str">
            <v/>
          </cell>
        </row>
      </sheetData>
      <sheetData sheetId="6">
        <row r="46">
          <cell r="Q46" t="str">
            <v/>
          </cell>
        </row>
      </sheetData>
      <sheetData sheetId="7">
        <row r="43">
          <cell r="H43" t="str">
            <v>GREEN</v>
          </cell>
        </row>
      </sheetData>
      <sheetData sheetId="8" refreshError="1"/>
      <sheetData sheetId="9" refreshError="1"/>
      <sheetData sheetId="10">
        <row r="2">
          <cell r="B2">
            <v>0</v>
          </cell>
          <cell r="C2" t="str">
            <v>e-news</v>
          </cell>
          <cell r="D2" t="str">
            <v>Green</v>
          </cell>
          <cell r="E2" t="str">
            <v>Yes</v>
          </cell>
          <cell r="F2">
            <v>40909</v>
          </cell>
          <cell r="G2">
            <v>42004</v>
          </cell>
          <cell r="H2" t="str">
            <v>Pilot</v>
          </cell>
          <cell r="I2" t="str">
            <v>Hardware</v>
          </cell>
        </row>
        <row r="3">
          <cell r="B3">
            <v>25</v>
          </cell>
          <cell r="C3" t="str">
            <v>press release</v>
          </cell>
          <cell r="D3" t="str">
            <v>Amber</v>
          </cell>
          <cell r="E3" t="str">
            <v>No</v>
          </cell>
          <cell r="H3" t="str">
            <v>Production</v>
          </cell>
          <cell r="I3" t="str">
            <v>Software</v>
          </cell>
        </row>
        <row r="4">
          <cell r="B4">
            <v>50</v>
          </cell>
          <cell r="C4" t="str">
            <v>radio item</v>
          </cell>
          <cell r="D4" t="str">
            <v>Red</v>
          </cell>
          <cell r="H4" t="str">
            <v>Out of Service</v>
          </cell>
          <cell r="I4" t="str">
            <v>Document</v>
          </cell>
        </row>
        <row r="5">
          <cell r="B5">
            <v>75</v>
          </cell>
          <cell r="C5" t="str">
            <v>television item</v>
          </cell>
        </row>
        <row r="6">
          <cell r="B6">
            <v>100</v>
          </cell>
          <cell r="C6" t="str">
            <v>article</v>
          </cell>
        </row>
        <row r="7">
          <cell r="C7" t="str">
            <v>event</v>
          </cell>
        </row>
        <row r="8">
          <cell r="C8" t="str">
            <v>presentation</v>
          </cell>
        </row>
        <row r="9">
          <cell r="C9" t="str">
            <v>social media</v>
          </cell>
        </row>
      </sheetData>
      <sheetData sheetId="11">
        <row r="11">
          <cell r="W11">
            <v>169000</v>
          </cell>
          <cell r="X11">
            <v>114000</v>
          </cell>
        </row>
      </sheetData>
      <sheetData sheetId="12" refreshError="1"/>
      <sheetData sheetId="13" refreshError="1"/>
      <sheetData sheetId="14"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RT001"/>
      <sheetName val="RT007"/>
      <sheetName val="RT009"/>
      <sheetName val="RT012"/>
      <sheetName val="RT014"/>
      <sheetName val="RT015"/>
      <sheetName val="RT016"/>
      <sheetName val="RT017"/>
      <sheetName val="RT020"/>
      <sheetName val="RT022"/>
      <sheetName val="RT025"/>
      <sheetName val="RT029"/>
      <sheetName val="RT031"/>
      <sheetName val="RT035"/>
      <sheetName val="RT038"/>
      <sheetName val="RT043"/>
      <sheetName val="Sheet2"/>
      <sheetName val="Sheet3"/>
    </sheetNames>
    <sheetDataSet>
      <sheetData sheetId="0"/>
      <sheetData sheetId="1"/>
      <sheetData sheetId="2"/>
      <sheetData sheetId="3"/>
      <sheetData sheetId="4"/>
      <sheetData sheetId="5"/>
      <sheetData sheetId="6"/>
      <sheetData sheetId="7"/>
      <sheetData sheetId="8"/>
      <sheetData sheetId="9"/>
      <sheetData sheetId="10"/>
      <sheetData sheetId="11">
        <row r="13">
          <cell r="C13">
            <v>41274</v>
          </cell>
        </row>
      </sheetData>
      <sheetData sheetId="12"/>
      <sheetData sheetId="13"/>
      <sheetData sheetId="14"/>
      <sheetData sheetId="15"/>
      <sheetData sheetId="16"/>
      <sheetData sheetId="1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rgb="FFCCFFCC"/>
  </sheetPr>
  <dimension ref="A1:WVW57"/>
  <sheetViews>
    <sheetView showGridLines="0" topLeftCell="B10" zoomScale="75" zoomScaleNormal="75" zoomScalePageLayoutView="75" workbookViewId="0">
      <selection activeCell="M26" sqref="M26"/>
    </sheetView>
  </sheetViews>
  <sheetFormatPr baseColWidth="10" defaultColWidth="8.83203125" defaultRowHeight="14" x14ac:dyDescent="0"/>
  <cols>
    <col min="1" max="1" width="8.5" style="28" customWidth="1"/>
    <col min="2" max="2" width="15.83203125" style="28" customWidth="1"/>
    <col min="3" max="3" width="17.6640625" style="28" customWidth="1"/>
    <col min="4" max="4" width="14.33203125" style="28" customWidth="1"/>
    <col min="5" max="5" width="13" style="28" customWidth="1"/>
    <col min="6" max="8" width="14" style="28" customWidth="1"/>
    <col min="9" max="9" width="14.5" style="28" customWidth="1"/>
    <col min="10" max="10" width="17.6640625" style="28" customWidth="1"/>
    <col min="11" max="11" width="16.33203125" style="28" customWidth="1"/>
    <col min="12" max="12" width="14" style="28" customWidth="1"/>
    <col min="13" max="13" width="17" style="28" customWidth="1"/>
    <col min="14" max="14" width="14.5" style="28" hidden="1" customWidth="1"/>
    <col min="15" max="15" width="9.1640625" style="28" hidden="1" customWidth="1"/>
    <col min="16" max="16" width="18" style="28" hidden="1" customWidth="1"/>
    <col min="17" max="17" width="16" style="28" hidden="1" customWidth="1"/>
    <col min="18" max="18" width="9.1640625" style="28" hidden="1" customWidth="1"/>
    <col min="19" max="19" width="34.5" style="28" hidden="1" customWidth="1"/>
    <col min="20" max="20" width="23.33203125" style="28" hidden="1" customWidth="1"/>
    <col min="21" max="21" width="16.6640625" style="28" customWidth="1"/>
    <col min="22" max="258" width="8.83203125" style="28"/>
    <col min="259" max="259" width="9.6640625" style="28" customWidth="1"/>
    <col min="260" max="260" width="21.83203125" style="28" customWidth="1"/>
    <col min="261" max="261" width="13" style="28" customWidth="1"/>
    <col min="262" max="264" width="14" style="28" customWidth="1"/>
    <col min="265" max="265" width="17.1640625" style="28" customWidth="1"/>
    <col min="266" max="266" width="17.6640625" style="28" customWidth="1"/>
    <col min="267" max="267" width="16.33203125" style="28" customWidth="1"/>
    <col min="268" max="268" width="14" style="28" customWidth="1"/>
    <col min="269" max="269" width="17" style="28" customWidth="1"/>
    <col min="270" max="270" width="14.5" style="28" customWidth="1"/>
    <col min="271" max="514" width="8.83203125" style="28"/>
    <col min="515" max="515" width="9.6640625" style="28" customWidth="1"/>
    <col min="516" max="516" width="21.83203125" style="28" customWidth="1"/>
    <col min="517" max="517" width="13" style="28" customWidth="1"/>
    <col min="518" max="520" width="14" style="28" customWidth="1"/>
    <col min="521" max="521" width="17.1640625" style="28" customWidth="1"/>
    <col min="522" max="522" width="17.6640625" style="28" customWidth="1"/>
    <col min="523" max="523" width="16.33203125" style="28" customWidth="1"/>
    <col min="524" max="524" width="14" style="28" customWidth="1"/>
    <col min="525" max="525" width="17" style="28" customWidth="1"/>
    <col min="526" max="526" width="14.5" style="28" customWidth="1"/>
    <col min="527" max="770" width="8.83203125" style="28"/>
    <col min="771" max="771" width="9.6640625" style="28" customWidth="1"/>
    <col min="772" max="772" width="21.83203125" style="28" customWidth="1"/>
    <col min="773" max="773" width="13" style="28" customWidth="1"/>
    <col min="774" max="776" width="14" style="28" customWidth="1"/>
    <col min="777" max="777" width="17.1640625" style="28" customWidth="1"/>
    <col min="778" max="778" width="17.6640625" style="28" customWidth="1"/>
    <col min="779" max="779" width="16.33203125" style="28" customWidth="1"/>
    <col min="780" max="780" width="14" style="28" customWidth="1"/>
    <col min="781" max="781" width="17" style="28" customWidth="1"/>
    <col min="782" max="782" width="14.5" style="28" customWidth="1"/>
    <col min="783" max="1026" width="8.83203125" style="28"/>
    <col min="1027" max="1027" width="9.6640625" style="28" customWidth="1"/>
    <col min="1028" max="1028" width="21.83203125" style="28" customWidth="1"/>
    <col min="1029" max="1029" width="13" style="28" customWidth="1"/>
    <col min="1030" max="1032" width="14" style="28" customWidth="1"/>
    <col min="1033" max="1033" width="17.1640625" style="28" customWidth="1"/>
    <col min="1034" max="1034" width="17.6640625" style="28" customWidth="1"/>
    <col min="1035" max="1035" width="16.33203125" style="28" customWidth="1"/>
    <col min="1036" max="1036" width="14" style="28" customWidth="1"/>
    <col min="1037" max="1037" width="17" style="28" customWidth="1"/>
    <col min="1038" max="1038" width="14.5" style="28" customWidth="1"/>
    <col min="1039" max="1282" width="8.83203125" style="28"/>
    <col min="1283" max="1283" width="9.6640625" style="28" customWidth="1"/>
    <col min="1284" max="1284" width="21.83203125" style="28" customWidth="1"/>
    <col min="1285" max="1285" width="13" style="28" customWidth="1"/>
    <col min="1286" max="1288" width="14" style="28" customWidth="1"/>
    <col min="1289" max="1289" width="17.1640625" style="28" customWidth="1"/>
    <col min="1290" max="1290" width="17.6640625" style="28" customWidth="1"/>
    <col min="1291" max="1291" width="16.33203125" style="28" customWidth="1"/>
    <col min="1292" max="1292" width="14" style="28" customWidth="1"/>
    <col min="1293" max="1293" width="17" style="28" customWidth="1"/>
    <col min="1294" max="1294" width="14.5" style="28" customWidth="1"/>
    <col min="1295" max="1538" width="8.83203125" style="28"/>
    <col min="1539" max="1539" width="9.6640625" style="28" customWidth="1"/>
    <col min="1540" max="1540" width="21.83203125" style="28" customWidth="1"/>
    <col min="1541" max="1541" width="13" style="28" customWidth="1"/>
    <col min="1542" max="1544" width="14" style="28" customWidth="1"/>
    <col min="1545" max="1545" width="17.1640625" style="28" customWidth="1"/>
    <col min="1546" max="1546" width="17.6640625" style="28" customWidth="1"/>
    <col min="1547" max="1547" width="16.33203125" style="28" customWidth="1"/>
    <col min="1548" max="1548" width="14" style="28" customWidth="1"/>
    <col min="1549" max="1549" width="17" style="28" customWidth="1"/>
    <col min="1550" max="1550" width="14.5" style="28" customWidth="1"/>
    <col min="1551" max="1794" width="8.83203125" style="28"/>
    <col min="1795" max="1795" width="9.6640625" style="28" customWidth="1"/>
    <col min="1796" max="1796" width="21.83203125" style="28" customWidth="1"/>
    <col min="1797" max="1797" width="13" style="28" customWidth="1"/>
    <col min="1798" max="1800" width="14" style="28" customWidth="1"/>
    <col min="1801" max="1801" width="17.1640625" style="28" customWidth="1"/>
    <col min="1802" max="1802" width="17.6640625" style="28" customWidth="1"/>
    <col min="1803" max="1803" width="16.33203125" style="28" customWidth="1"/>
    <col min="1804" max="1804" width="14" style="28" customWidth="1"/>
    <col min="1805" max="1805" width="17" style="28" customWidth="1"/>
    <col min="1806" max="1806" width="14.5" style="28" customWidth="1"/>
    <col min="1807" max="2050" width="8.83203125" style="28"/>
    <col min="2051" max="2051" width="9.6640625" style="28" customWidth="1"/>
    <col min="2052" max="2052" width="21.83203125" style="28" customWidth="1"/>
    <col min="2053" max="2053" width="13" style="28" customWidth="1"/>
    <col min="2054" max="2056" width="14" style="28" customWidth="1"/>
    <col min="2057" max="2057" width="17.1640625" style="28" customWidth="1"/>
    <col min="2058" max="2058" width="17.6640625" style="28" customWidth="1"/>
    <col min="2059" max="2059" width="16.33203125" style="28" customWidth="1"/>
    <col min="2060" max="2060" width="14" style="28" customWidth="1"/>
    <col min="2061" max="2061" width="17" style="28" customWidth="1"/>
    <col min="2062" max="2062" width="14.5" style="28" customWidth="1"/>
    <col min="2063" max="2306" width="8.83203125" style="28"/>
    <col min="2307" max="2307" width="9.6640625" style="28" customWidth="1"/>
    <col min="2308" max="2308" width="21.83203125" style="28" customWidth="1"/>
    <col min="2309" max="2309" width="13" style="28" customWidth="1"/>
    <col min="2310" max="2312" width="14" style="28" customWidth="1"/>
    <col min="2313" max="2313" width="17.1640625" style="28" customWidth="1"/>
    <col min="2314" max="2314" width="17.6640625" style="28" customWidth="1"/>
    <col min="2315" max="2315" width="16.33203125" style="28" customWidth="1"/>
    <col min="2316" max="2316" width="14" style="28" customWidth="1"/>
    <col min="2317" max="2317" width="17" style="28" customWidth="1"/>
    <col min="2318" max="2318" width="14.5" style="28" customWidth="1"/>
    <col min="2319" max="2562" width="8.83203125" style="28"/>
    <col min="2563" max="2563" width="9.6640625" style="28" customWidth="1"/>
    <col min="2564" max="2564" width="21.83203125" style="28" customWidth="1"/>
    <col min="2565" max="2565" width="13" style="28" customWidth="1"/>
    <col min="2566" max="2568" width="14" style="28" customWidth="1"/>
    <col min="2569" max="2569" width="17.1640625" style="28" customWidth="1"/>
    <col min="2570" max="2570" width="17.6640625" style="28" customWidth="1"/>
    <col min="2571" max="2571" width="16.33203125" style="28" customWidth="1"/>
    <col min="2572" max="2572" width="14" style="28" customWidth="1"/>
    <col min="2573" max="2573" width="17" style="28" customWidth="1"/>
    <col min="2574" max="2574" width="14.5" style="28" customWidth="1"/>
    <col min="2575" max="2818" width="8.83203125" style="28"/>
    <col min="2819" max="2819" width="9.6640625" style="28" customWidth="1"/>
    <col min="2820" max="2820" width="21.83203125" style="28" customWidth="1"/>
    <col min="2821" max="2821" width="13" style="28" customWidth="1"/>
    <col min="2822" max="2824" width="14" style="28" customWidth="1"/>
    <col min="2825" max="2825" width="17.1640625" style="28" customWidth="1"/>
    <col min="2826" max="2826" width="17.6640625" style="28" customWidth="1"/>
    <col min="2827" max="2827" width="16.33203125" style="28" customWidth="1"/>
    <col min="2828" max="2828" width="14" style="28" customWidth="1"/>
    <col min="2829" max="2829" width="17" style="28" customWidth="1"/>
    <col min="2830" max="2830" width="14.5" style="28" customWidth="1"/>
    <col min="2831" max="3074" width="8.83203125" style="28"/>
    <col min="3075" max="3075" width="9.6640625" style="28" customWidth="1"/>
    <col min="3076" max="3076" width="21.83203125" style="28" customWidth="1"/>
    <col min="3077" max="3077" width="13" style="28" customWidth="1"/>
    <col min="3078" max="3080" width="14" style="28" customWidth="1"/>
    <col min="3081" max="3081" width="17.1640625" style="28" customWidth="1"/>
    <col min="3082" max="3082" width="17.6640625" style="28" customWidth="1"/>
    <col min="3083" max="3083" width="16.33203125" style="28" customWidth="1"/>
    <col min="3084" max="3084" width="14" style="28" customWidth="1"/>
    <col min="3085" max="3085" width="17" style="28" customWidth="1"/>
    <col min="3086" max="3086" width="14.5" style="28" customWidth="1"/>
    <col min="3087" max="3330" width="8.83203125" style="28"/>
    <col min="3331" max="3331" width="9.6640625" style="28" customWidth="1"/>
    <col min="3332" max="3332" width="21.83203125" style="28" customWidth="1"/>
    <col min="3333" max="3333" width="13" style="28" customWidth="1"/>
    <col min="3334" max="3336" width="14" style="28" customWidth="1"/>
    <col min="3337" max="3337" width="17.1640625" style="28" customWidth="1"/>
    <col min="3338" max="3338" width="17.6640625" style="28" customWidth="1"/>
    <col min="3339" max="3339" width="16.33203125" style="28" customWidth="1"/>
    <col min="3340" max="3340" width="14" style="28" customWidth="1"/>
    <col min="3341" max="3341" width="17" style="28" customWidth="1"/>
    <col min="3342" max="3342" width="14.5" style="28" customWidth="1"/>
    <col min="3343" max="3586" width="8.83203125" style="28"/>
    <col min="3587" max="3587" width="9.6640625" style="28" customWidth="1"/>
    <col min="3588" max="3588" width="21.83203125" style="28" customWidth="1"/>
    <col min="3589" max="3589" width="13" style="28" customWidth="1"/>
    <col min="3590" max="3592" width="14" style="28" customWidth="1"/>
    <col min="3593" max="3593" width="17.1640625" style="28" customWidth="1"/>
    <col min="3594" max="3594" width="17.6640625" style="28" customWidth="1"/>
    <col min="3595" max="3595" width="16.33203125" style="28" customWidth="1"/>
    <col min="3596" max="3596" width="14" style="28" customWidth="1"/>
    <col min="3597" max="3597" width="17" style="28" customWidth="1"/>
    <col min="3598" max="3598" width="14.5" style="28" customWidth="1"/>
    <col min="3599" max="3842" width="8.83203125" style="28"/>
    <col min="3843" max="3843" width="9.6640625" style="28" customWidth="1"/>
    <col min="3844" max="3844" width="21.83203125" style="28" customWidth="1"/>
    <col min="3845" max="3845" width="13" style="28" customWidth="1"/>
    <col min="3846" max="3848" width="14" style="28" customWidth="1"/>
    <col min="3849" max="3849" width="17.1640625" style="28" customWidth="1"/>
    <col min="3850" max="3850" width="17.6640625" style="28" customWidth="1"/>
    <col min="3851" max="3851" width="16.33203125" style="28" customWidth="1"/>
    <col min="3852" max="3852" width="14" style="28" customWidth="1"/>
    <col min="3853" max="3853" width="17" style="28" customWidth="1"/>
    <col min="3854" max="3854" width="14.5" style="28" customWidth="1"/>
    <col min="3855" max="4098" width="8.83203125" style="28"/>
    <col min="4099" max="4099" width="9.6640625" style="28" customWidth="1"/>
    <col min="4100" max="4100" width="21.83203125" style="28" customWidth="1"/>
    <col min="4101" max="4101" width="13" style="28" customWidth="1"/>
    <col min="4102" max="4104" width="14" style="28" customWidth="1"/>
    <col min="4105" max="4105" width="17.1640625" style="28" customWidth="1"/>
    <col min="4106" max="4106" width="17.6640625" style="28" customWidth="1"/>
    <col min="4107" max="4107" width="16.33203125" style="28" customWidth="1"/>
    <col min="4108" max="4108" width="14" style="28" customWidth="1"/>
    <col min="4109" max="4109" width="17" style="28" customWidth="1"/>
    <col min="4110" max="4110" width="14.5" style="28" customWidth="1"/>
    <col min="4111" max="4354" width="8.83203125" style="28"/>
    <col min="4355" max="4355" width="9.6640625" style="28" customWidth="1"/>
    <col min="4356" max="4356" width="21.83203125" style="28" customWidth="1"/>
    <col min="4357" max="4357" width="13" style="28" customWidth="1"/>
    <col min="4358" max="4360" width="14" style="28" customWidth="1"/>
    <col min="4361" max="4361" width="17.1640625" style="28" customWidth="1"/>
    <col min="4362" max="4362" width="17.6640625" style="28" customWidth="1"/>
    <col min="4363" max="4363" width="16.33203125" style="28" customWidth="1"/>
    <col min="4364" max="4364" width="14" style="28" customWidth="1"/>
    <col min="4365" max="4365" width="17" style="28" customWidth="1"/>
    <col min="4366" max="4366" width="14.5" style="28" customWidth="1"/>
    <col min="4367" max="4610" width="8.83203125" style="28"/>
    <col min="4611" max="4611" width="9.6640625" style="28" customWidth="1"/>
    <col min="4612" max="4612" width="21.83203125" style="28" customWidth="1"/>
    <col min="4613" max="4613" width="13" style="28" customWidth="1"/>
    <col min="4614" max="4616" width="14" style="28" customWidth="1"/>
    <col min="4617" max="4617" width="17.1640625" style="28" customWidth="1"/>
    <col min="4618" max="4618" width="17.6640625" style="28" customWidth="1"/>
    <col min="4619" max="4619" width="16.33203125" style="28" customWidth="1"/>
    <col min="4620" max="4620" width="14" style="28" customWidth="1"/>
    <col min="4621" max="4621" width="17" style="28" customWidth="1"/>
    <col min="4622" max="4622" width="14.5" style="28" customWidth="1"/>
    <col min="4623" max="4866" width="8.83203125" style="28"/>
    <col min="4867" max="4867" width="9.6640625" style="28" customWidth="1"/>
    <col min="4868" max="4868" width="21.83203125" style="28" customWidth="1"/>
    <col min="4869" max="4869" width="13" style="28" customWidth="1"/>
    <col min="4870" max="4872" width="14" style="28" customWidth="1"/>
    <col min="4873" max="4873" width="17.1640625" style="28" customWidth="1"/>
    <col min="4874" max="4874" width="17.6640625" style="28" customWidth="1"/>
    <col min="4875" max="4875" width="16.33203125" style="28" customWidth="1"/>
    <col min="4876" max="4876" width="14" style="28" customWidth="1"/>
    <col min="4877" max="4877" width="17" style="28" customWidth="1"/>
    <col min="4878" max="4878" width="14.5" style="28" customWidth="1"/>
    <col min="4879" max="5122" width="8.83203125" style="28"/>
    <col min="5123" max="5123" width="9.6640625" style="28" customWidth="1"/>
    <col min="5124" max="5124" width="21.83203125" style="28" customWidth="1"/>
    <col min="5125" max="5125" width="13" style="28" customWidth="1"/>
    <col min="5126" max="5128" width="14" style="28" customWidth="1"/>
    <col min="5129" max="5129" width="17.1640625" style="28" customWidth="1"/>
    <col min="5130" max="5130" width="17.6640625" style="28" customWidth="1"/>
    <col min="5131" max="5131" width="16.33203125" style="28" customWidth="1"/>
    <col min="5132" max="5132" width="14" style="28" customWidth="1"/>
    <col min="5133" max="5133" width="17" style="28" customWidth="1"/>
    <col min="5134" max="5134" width="14.5" style="28" customWidth="1"/>
    <col min="5135" max="5378" width="8.83203125" style="28"/>
    <col min="5379" max="5379" width="9.6640625" style="28" customWidth="1"/>
    <col min="5380" max="5380" width="21.83203125" style="28" customWidth="1"/>
    <col min="5381" max="5381" width="13" style="28" customWidth="1"/>
    <col min="5382" max="5384" width="14" style="28" customWidth="1"/>
    <col min="5385" max="5385" width="17.1640625" style="28" customWidth="1"/>
    <col min="5386" max="5386" width="17.6640625" style="28" customWidth="1"/>
    <col min="5387" max="5387" width="16.33203125" style="28" customWidth="1"/>
    <col min="5388" max="5388" width="14" style="28" customWidth="1"/>
    <col min="5389" max="5389" width="17" style="28" customWidth="1"/>
    <col min="5390" max="5390" width="14.5" style="28" customWidth="1"/>
    <col min="5391" max="5634" width="8.83203125" style="28"/>
    <col min="5635" max="5635" width="9.6640625" style="28" customWidth="1"/>
    <col min="5636" max="5636" width="21.83203125" style="28" customWidth="1"/>
    <col min="5637" max="5637" width="13" style="28" customWidth="1"/>
    <col min="5638" max="5640" width="14" style="28" customWidth="1"/>
    <col min="5641" max="5641" width="17.1640625" style="28" customWidth="1"/>
    <col min="5642" max="5642" width="17.6640625" style="28" customWidth="1"/>
    <col min="5643" max="5643" width="16.33203125" style="28" customWidth="1"/>
    <col min="5644" max="5644" width="14" style="28" customWidth="1"/>
    <col min="5645" max="5645" width="17" style="28" customWidth="1"/>
    <col min="5646" max="5646" width="14.5" style="28" customWidth="1"/>
    <col min="5647" max="5890" width="8.83203125" style="28"/>
    <col min="5891" max="5891" width="9.6640625" style="28" customWidth="1"/>
    <col min="5892" max="5892" width="21.83203125" style="28" customWidth="1"/>
    <col min="5893" max="5893" width="13" style="28" customWidth="1"/>
    <col min="5894" max="5896" width="14" style="28" customWidth="1"/>
    <col min="5897" max="5897" width="17.1640625" style="28" customWidth="1"/>
    <col min="5898" max="5898" width="17.6640625" style="28" customWidth="1"/>
    <col min="5899" max="5899" width="16.33203125" style="28" customWidth="1"/>
    <col min="5900" max="5900" width="14" style="28" customWidth="1"/>
    <col min="5901" max="5901" width="17" style="28" customWidth="1"/>
    <col min="5902" max="5902" width="14.5" style="28" customWidth="1"/>
    <col min="5903" max="6146" width="8.83203125" style="28"/>
    <col min="6147" max="6147" width="9.6640625" style="28" customWidth="1"/>
    <col min="6148" max="6148" width="21.83203125" style="28" customWidth="1"/>
    <col min="6149" max="6149" width="13" style="28" customWidth="1"/>
    <col min="6150" max="6152" width="14" style="28" customWidth="1"/>
    <col min="6153" max="6153" width="17.1640625" style="28" customWidth="1"/>
    <col min="6154" max="6154" width="17.6640625" style="28" customWidth="1"/>
    <col min="6155" max="6155" width="16.33203125" style="28" customWidth="1"/>
    <col min="6156" max="6156" width="14" style="28" customWidth="1"/>
    <col min="6157" max="6157" width="17" style="28" customWidth="1"/>
    <col min="6158" max="6158" width="14.5" style="28" customWidth="1"/>
    <col min="6159" max="6402" width="8.83203125" style="28"/>
    <col min="6403" max="6403" width="9.6640625" style="28" customWidth="1"/>
    <col min="6404" max="6404" width="21.83203125" style="28" customWidth="1"/>
    <col min="6405" max="6405" width="13" style="28" customWidth="1"/>
    <col min="6406" max="6408" width="14" style="28" customWidth="1"/>
    <col min="6409" max="6409" width="17.1640625" style="28" customWidth="1"/>
    <col min="6410" max="6410" width="17.6640625" style="28" customWidth="1"/>
    <col min="6411" max="6411" width="16.33203125" style="28" customWidth="1"/>
    <col min="6412" max="6412" width="14" style="28" customWidth="1"/>
    <col min="6413" max="6413" width="17" style="28" customWidth="1"/>
    <col min="6414" max="6414" width="14.5" style="28" customWidth="1"/>
    <col min="6415" max="6658" width="8.83203125" style="28"/>
    <col min="6659" max="6659" width="9.6640625" style="28" customWidth="1"/>
    <col min="6660" max="6660" width="21.83203125" style="28" customWidth="1"/>
    <col min="6661" max="6661" width="13" style="28" customWidth="1"/>
    <col min="6662" max="6664" width="14" style="28" customWidth="1"/>
    <col min="6665" max="6665" width="17.1640625" style="28" customWidth="1"/>
    <col min="6666" max="6666" width="17.6640625" style="28" customWidth="1"/>
    <col min="6667" max="6667" width="16.33203125" style="28" customWidth="1"/>
    <col min="6668" max="6668" width="14" style="28" customWidth="1"/>
    <col min="6669" max="6669" width="17" style="28" customWidth="1"/>
    <col min="6670" max="6670" width="14.5" style="28" customWidth="1"/>
    <col min="6671" max="6914" width="8.83203125" style="28"/>
    <col min="6915" max="6915" width="9.6640625" style="28" customWidth="1"/>
    <col min="6916" max="6916" width="21.83203125" style="28" customWidth="1"/>
    <col min="6917" max="6917" width="13" style="28" customWidth="1"/>
    <col min="6918" max="6920" width="14" style="28" customWidth="1"/>
    <col min="6921" max="6921" width="17.1640625" style="28" customWidth="1"/>
    <col min="6922" max="6922" width="17.6640625" style="28" customWidth="1"/>
    <col min="6923" max="6923" width="16.33203125" style="28" customWidth="1"/>
    <col min="6924" max="6924" width="14" style="28" customWidth="1"/>
    <col min="6925" max="6925" width="17" style="28" customWidth="1"/>
    <col min="6926" max="6926" width="14.5" style="28" customWidth="1"/>
    <col min="6927" max="7170" width="8.83203125" style="28"/>
    <col min="7171" max="7171" width="9.6640625" style="28" customWidth="1"/>
    <col min="7172" max="7172" width="21.83203125" style="28" customWidth="1"/>
    <col min="7173" max="7173" width="13" style="28" customWidth="1"/>
    <col min="7174" max="7176" width="14" style="28" customWidth="1"/>
    <col min="7177" max="7177" width="17.1640625" style="28" customWidth="1"/>
    <col min="7178" max="7178" width="17.6640625" style="28" customWidth="1"/>
    <col min="7179" max="7179" width="16.33203125" style="28" customWidth="1"/>
    <col min="7180" max="7180" width="14" style="28" customWidth="1"/>
    <col min="7181" max="7181" width="17" style="28" customWidth="1"/>
    <col min="7182" max="7182" width="14.5" style="28" customWidth="1"/>
    <col min="7183" max="7426" width="8.83203125" style="28"/>
    <col min="7427" max="7427" width="9.6640625" style="28" customWidth="1"/>
    <col min="7428" max="7428" width="21.83203125" style="28" customWidth="1"/>
    <col min="7429" max="7429" width="13" style="28" customWidth="1"/>
    <col min="7430" max="7432" width="14" style="28" customWidth="1"/>
    <col min="7433" max="7433" width="17.1640625" style="28" customWidth="1"/>
    <col min="7434" max="7434" width="17.6640625" style="28" customWidth="1"/>
    <col min="7435" max="7435" width="16.33203125" style="28" customWidth="1"/>
    <col min="7436" max="7436" width="14" style="28" customWidth="1"/>
    <col min="7437" max="7437" width="17" style="28" customWidth="1"/>
    <col min="7438" max="7438" width="14.5" style="28" customWidth="1"/>
    <col min="7439" max="7682" width="8.83203125" style="28"/>
    <col min="7683" max="7683" width="9.6640625" style="28" customWidth="1"/>
    <col min="7684" max="7684" width="21.83203125" style="28" customWidth="1"/>
    <col min="7685" max="7685" width="13" style="28" customWidth="1"/>
    <col min="7686" max="7688" width="14" style="28" customWidth="1"/>
    <col min="7689" max="7689" width="17.1640625" style="28" customWidth="1"/>
    <col min="7690" max="7690" width="17.6640625" style="28" customWidth="1"/>
    <col min="7691" max="7691" width="16.33203125" style="28" customWidth="1"/>
    <col min="7692" max="7692" width="14" style="28" customWidth="1"/>
    <col min="7693" max="7693" width="17" style="28" customWidth="1"/>
    <col min="7694" max="7694" width="14.5" style="28" customWidth="1"/>
    <col min="7695" max="7938" width="8.83203125" style="28"/>
    <col min="7939" max="7939" width="9.6640625" style="28" customWidth="1"/>
    <col min="7940" max="7940" width="21.83203125" style="28" customWidth="1"/>
    <col min="7941" max="7941" width="13" style="28" customWidth="1"/>
    <col min="7942" max="7944" width="14" style="28" customWidth="1"/>
    <col min="7945" max="7945" width="17.1640625" style="28" customWidth="1"/>
    <col min="7946" max="7946" width="17.6640625" style="28" customWidth="1"/>
    <col min="7947" max="7947" width="16.33203125" style="28" customWidth="1"/>
    <col min="7948" max="7948" width="14" style="28" customWidth="1"/>
    <col min="7949" max="7949" width="17" style="28" customWidth="1"/>
    <col min="7950" max="7950" width="14.5" style="28" customWidth="1"/>
    <col min="7951" max="8194" width="8.83203125" style="28"/>
    <col min="8195" max="8195" width="9.6640625" style="28" customWidth="1"/>
    <col min="8196" max="8196" width="21.83203125" style="28" customWidth="1"/>
    <col min="8197" max="8197" width="13" style="28" customWidth="1"/>
    <col min="8198" max="8200" width="14" style="28" customWidth="1"/>
    <col min="8201" max="8201" width="17.1640625" style="28" customWidth="1"/>
    <col min="8202" max="8202" width="17.6640625" style="28" customWidth="1"/>
    <col min="8203" max="8203" width="16.33203125" style="28" customWidth="1"/>
    <col min="8204" max="8204" width="14" style="28" customWidth="1"/>
    <col min="8205" max="8205" width="17" style="28" customWidth="1"/>
    <col min="8206" max="8206" width="14.5" style="28" customWidth="1"/>
    <col min="8207" max="8450" width="8.83203125" style="28"/>
    <col min="8451" max="8451" width="9.6640625" style="28" customWidth="1"/>
    <col min="8452" max="8452" width="21.83203125" style="28" customWidth="1"/>
    <col min="8453" max="8453" width="13" style="28" customWidth="1"/>
    <col min="8454" max="8456" width="14" style="28" customWidth="1"/>
    <col min="8457" max="8457" width="17.1640625" style="28" customWidth="1"/>
    <col min="8458" max="8458" width="17.6640625" style="28" customWidth="1"/>
    <col min="8459" max="8459" width="16.33203125" style="28" customWidth="1"/>
    <col min="8460" max="8460" width="14" style="28" customWidth="1"/>
    <col min="8461" max="8461" width="17" style="28" customWidth="1"/>
    <col min="8462" max="8462" width="14.5" style="28" customWidth="1"/>
    <col min="8463" max="8706" width="8.83203125" style="28"/>
    <col min="8707" max="8707" width="9.6640625" style="28" customWidth="1"/>
    <col min="8708" max="8708" width="21.83203125" style="28" customWidth="1"/>
    <col min="8709" max="8709" width="13" style="28" customWidth="1"/>
    <col min="8710" max="8712" width="14" style="28" customWidth="1"/>
    <col min="8713" max="8713" width="17.1640625" style="28" customWidth="1"/>
    <col min="8714" max="8714" width="17.6640625" style="28" customWidth="1"/>
    <col min="8715" max="8715" width="16.33203125" style="28" customWidth="1"/>
    <col min="8716" max="8716" width="14" style="28" customWidth="1"/>
    <col min="8717" max="8717" width="17" style="28" customWidth="1"/>
    <col min="8718" max="8718" width="14.5" style="28" customWidth="1"/>
    <col min="8719" max="8962" width="8.83203125" style="28"/>
    <col min="8963" max="8963" width="9.6640625" style="28" customWidth="1"/>
    <col min="8964" max="8964" width="21.83203125" style="28" customWidth="1"/>
    <col min="8965" max="8965" width="13" style="28" customWidth="1"/>
    <col min="8966" max="8968" width="14" style="28" customWidth="1"/>
    <col min="8969" max="8969" width="17.1640625" style="28" customWidth="1"/>
    <col min="8970" max="8970" width="17.6640625" style="28" customWidth="1"/>
    <col min="8971" max="8971" width="16.33203125" style="28" customWidth="1"/>
    <col min="8972" max="8972" width="14" style="28" customWidth="1"/>
    <col min="8973" max="8973" width="17" style="28" customWidth="1"/>
    <col min="8974" max="8974" width="14.5" style="28" customWidth="1"/>
    <col min="8975" max="9218" width="8.83203125" style="28"/>
    <col min="9219" max="9219" width="9.6640625" style="28" customWidth="1"/>
    <col min="9220" max="9220" width="21.83203125" style="28" customWidth="1"/>
    <col min="9221" max="9221" width="13" style="28" customWidth="1"/>
    <col min="9222" max="9224" width="14" style="28" customWidth="1"/>
    <col min="9225" max="9225" width="17.1640625" style="28" customWidth="1"/>
    <col min="9226" max="9226" width="17.6640625" style="28" customWidth="1"/>
    <col min="9227" max="9227" width="16.33203125" style="28" customWidth="1"/>
    <col min="9228" max="9228" width="14" style="28" customWidth="1"/>
    <col min="9229" max="9229" width="17" style="28" customWidth="1"/>
    <col min="9230" max="9230" width="14.5" style="28" customWidth="1"/>
    <col min="9231" max="9474" width="8.83203125" style="28"/>
    <col min="9475" max="9475" width="9.6640625" style="28" customWidth="1"/>
    <col min="9476" max="9476" width="21.83203125" style="28" customWidth="1"/>
    <col min="9477" max="9477" width="13" style="28" customWidth="1"/>
    <col min="9478" max="9480" width="14" style="28" customWidth="1"/>
    <col min="9481" max="9481" width="17.1640625" style="28" customWidth="1"/>
    <col min="9482" max="9482" width="17.6640625" style="28" customWidth="1"/>
    <col min="9483" max="9483" width="16.33203125" style="28" customWidth="1"/>
    <col min="9484" max="9484" width="14" style="28" customWidth="1"/>
    <col min="9485" max="9485" width="17" style="28" customWidth="1"/>
    <col min="9486" max="9486" width="14.5" style="28" customWidth="1"/>
    <col min="9487" max="9730" width="8.83203125" style="28"/>
    <col min="9731" max="9731" width="9.6640625" style="28" customWidth="1"/>
    <col min="9732" max="9732" width="21.83203125" style="28" customWidth="1"/>
    <col min="9733" max="9733" width="13" style="28" customWidth="1"/>
    <col min="9734" max="9736" width="14" style="28" customWidth="1"/>
    <col min="9737" max="9737" width="17.1640625" style="28" customWidth="1"/>
    <col min="9738" max="9738" width="17.6640625" style="28" customWidth="1"/>
    <col min="9739" max="9739" width="16.33203125" style="28" customWidth="1"/>
    <col min="9740" max="9740" width="14" style="28" customWidth="1"/>
    <col min="9741" max="9741" width="17" style="28" customWidth="1"/>
    <col min="9742" max="9742" width="14.5" style="28" customWidth="1"/>
    <col min="9743" max="9986" width="8.83203125" style="28"/>
    <col min="9987" max="9987" width="9.6640625" style="28" customWidth="1"/>
    <col min="9988" max="9988" width="21.83203125" style="28" customWidth="1"/>
    <col min="9989" max="9989" width="13" style="28" customWidth="1"/>
    <col min="9990" max="9992" width="14" style="28" customWidth="1"/>
    <col min="9993" max="9993" width="17.1640625" style="28" customWidth="1"/>
    <col min="9994" max="9994" width="17.6640625" style="28" customWidth="1"/>
    <col min="9995" max="9995" width="16.33203125" style="28" customWidth="1"/>
    <col min="9996" max="9996" width="14" style="28" customWidth="1"/>
    <col min="9997" max="9997" width="17" style="28" customWidth="1"/>
    <col min="9998" max="9998" width="14.5" style="28" customWidth="1"/>
    <col min="9999" max="10242" width="8.83203125" style="28"/>
    <col min="10243" max="10243" width="9.6640625" style="28" customWidth="1"/>
    <col min="10244" max="10244" width="21.83203125" style="28" customWidth="1"/>
    <col min="10245" max="10245" width="13" style="28" customWidth="1"/>
    <col min="10246" max="10248" width="14" style="28" customWidth="1"/>
    <col min="10249" max="10249" width="17.1640625" style="28" customWidth="1"/>
    <col min="10250" max="10250" width="17.6640625" style="28" customWidth="1"/>
    <col min="10251" max="10251" width="16.33203125" style="28" customWidth="1"/>
    <col min="10252" max="10252" width="14" style="28" customWidth="1"/>
    <col min="10253" max="10253" width="17" style="28" customWidth="1"/>
    <col min="10254" max="10254" width="14.5" style="28" customWidth="1"/>
    <col min="10255" max="10498" width="8.83203125" style="28"/>
    <col min="10499" max="10499" width="9.6640625" style="28" customWidth="1"/>
    <col min="10500" max="10500" width="21.83203125" style="28" customWidth="1"/>
    <col min="10501" max="10501" width="13" style="28" customWidth="1"/>
    <col min="10502" max="10504" width="14" style="28" customWidth="1"/>
    <col min="10505" max="10505" width="17.1640625" style="28" customWidth="1"/>
    <col min="10506" max="10506" width="17.6640625" style="28" customWidth="1"/>
    <col min="10507" max="10507" width="16.33203125" style="28" customWidth="1"/>
    <col min="10508" max="10508" width="14" style="28" customWidth="1"/>
    <col min="10509" max="10509" width="17" style="28" customWidth="1"/>
    <col min="10510" max="10510" width="14.5" style="28" customWidth="1"/>
    <col min="10511" max="10754" width="8.83203125" style="28"/>
    <col min="10755" max="10755" width="9.6640625" style="28" customWidth="1"/>
    <col min="10756" max="10756" width="21.83203125" style="28" customWidth="1"/>
    <col min="10757" max="10757" width="13" style="28" customWidth="1"/>
    <col min="10758" max="10760" width="14" style="28" customWidth="1"/>
    <col min="10761" max="10761" width="17.1640625" style="28" customWidth="1"/>
    <col min="10762" max="10762" width="17.6640625" style="28" customWidth="1"/>
    <col min="10763" max="10763" width="16.33203125" style="28" customWidth="1"/>
    <col min="10764" max="10764" width="14" style="28" customWidth="1"/>
    <col min="10765" max="10765" width="17" style="28" customWidth="1"/>
    <col min="10766" max="10766" width="14.5" style="28" customWidth="1"/>
    <col min="10767" max="11010" width="8.83203125" style="28"/>
    <col min="11011" max="11011" width="9.6640625" style="28" customWidth="1"/>
    <col min="11012" max="11012" width="21.83203125" style="28" customWidth="1"/>
    <col min="11013" max="11013" width="13" style="28" customWidth="1"/>
    <col min="11014" max="11016" width="14" style="28" customWidth="1"/>
    <col min="11017" max="11017" width="17.1640625" style="28" customWidth="1"/>
    <col min="11018" max="11018" width="17.6640625" style="28" customWidth="1"/>
    <col min="11019" max="11019" width="16.33203125" style="28" customWidth="1"/>
    <col min="11020" max="11020" width="14" style="28" customWidth="1"/>
    <col min="11021" max="11021" width="17" style="28" customWidth="1"/>
    <col min="11022" max="11022" width="14.5" style="28" customWidth="1"/>
    <col min="11023" max="11266" width="8.83203125" style="28"/>
    <col min="11267" max="11267" width="9.6640625" style="28" customWidth="1"/>
    <col min="11268" max="11268" width="21.83203125" style="28" customWidth="1"/>
    <col min="11269" max="11269" width="13" style="28" customWidth="1"/>
    <col min="11270" max="11272" width="14" style="28" customWidth="1"/>
    <col min="11273" max="11273" width="17.1640625" style="28" customWidth="1"/>
    <col min="11274" max="11274" width="17.6640625" style="28" customWidth="1"/>
    <col min="11275" max="11275" width="16.33203125" style="28" customWidth="1"/>
    <col min="11276" max="11276" width="14" style="28" customWidth="1"/>
    <col min="11277" max="11277" width="17" style="28" customWidth="1"/>
    <col min="11278" max="11278" width="14.5" style="28" customWidth="1"/>
    <col min="11279" max="11522" width="8.83203125" style="28"/>
    <col min="11523" max="11523" width="9.6640625" style="28" customWidth="1"/>
    <col min="11524" max="11524" width="21.83203125" style="28" customWidth="1"/>
    <col min="11525" max="11525" width="13" style="28" customWidth="1"/>
    <col min="11526" max="11528" width="14" style="28" customWidth="1"/>
    <col min="11529" max="11529" width="17.1640625" style="28" customWidth="1"/>
    <col min="11530" max="11530" width="17.6640625" style="28" customWidth="1"/>
    <col min="11531" max="11531" width="16.33203125" style="28" customWidth="1"/>
    <col min="11532" max="11532" width="14" style="28" customWidth="1"/>
    <col min="11533" max="11533" width="17" style="28" customWidth="1"/>
    <col min="11534" max="11534" width="14.5" style="28" customWidth="1"/>
    <col min="11535" max="11778" width="8.83203125" style="28"/>
    <col min="11779" max="11779" width="9.6640625" style="28" customWidth="1"/>
    <col min="11780" max="11780" width="21.83203125" style="28" customWidth="1"/>
    <col min="11781" max="11781" width="13" style="28" customWidth="1"/>
    <col min="11782" max="11784" width="14" style="28" customWidth="1"/>
    <col min="11785" max="11785" width="17.1640625" style="28" customWidth="1"/>
    <col min="11786" max="11786" width="17.6640625" style="28" customWidth="1"/>
    <col min="11787" max="11787" width="16.33203125" style="28" customWidth="1"/>
    <col min="11788" max="11788" width="14" style="28" customWidth="1"/>
    <col min="11789" max="11789" width="17" style="28" customWidth="1"/>
    <col min="11790" max="11790" width="14.5" style="28" customWidth="1"/>
    <col min="11791" max="12034" width="8.83203125" style="28"/>
    <col min="12035" max="12035" width="9.6640625" style="28" customWidth="1"/>
    <col min="12036" max="12036" width="21.83203125" style="28" customWidth="1"/>
    <col min="12037" max="12037" width="13" style="28" customWidth="1"/>
    <col min="12038" max="12040" width="14" style="28" customWidth="1"/>
    <col min="12041" max="12041" width="17.1640625" style="28" customWidth="1"/>
    <col min="12042" max="12042" width="17.6640625" style="28" customWidth="1"/>
    <col min="12043" max="12043" width="16.33203125" style="28" customWidth="1"/>
    <col min="12044" max="12044" width="14" style="28" customWidth="1"/>
    <col min="12045" max="12045" width="17" style="28" customWidth="1"/>
    <col min="12046" max="12046" width="14.5" style="28" customWidth="1"/>
    <col min="12047" max="12290" width="8.83203125" style="28"/>
    <col min="12291" max="12291" width="9.6640625" style="28" customWidth="1"/>
    <col min="12292" max="12292" width="21.83203125" style="28" customWidth="1"/>
    <col min="12293" max="12293" width="13" style="28" customWidth="1"/>
    <col min="12294" max="12296" width="14" style="28" customWidth="1"/>
    <col min="12297" max="12297" width="17.1640625" style="28" customWidth="1"/>
    <col min="12298" max="12298" width="17.6640625" style="28" customWidth="1"/>
    <col min="12299" max="12299" width="16.33203125" style="28" customWidth="1"/>
    <col min="12300" max="12300" width="14" style="28" customWidth="1"/>
    <col min="12301" max="12301" width="17" style="28" customWidth="1"/>
    <col min="12302" max="12302" width="14.5" style="28" customWidth="1"/>
    <col min="12303" max="12546" width="8.83203125" style="28"/>
    <col min="12547" max="12547" width="9.6640625" style="28" customWidth="1"/>
    <col min="12548" max="12548" width="21.83203125" style="28" customWidth="1"/>
    <col min="12549" max="12549" width="13" style="28" customWidth="1"/>
    <col min="12550" max="12552" width="14" style="28" customWidth="1"/>
    <col min="12553" max="12553" width="17.1640625" style="28" customWidth="1"/>
    <col min="12554" max="12554" width="17.6640625" style="28" customWidth="1"/>
    <col min="12555" max="12555" width="16.33203125" style="28" customWidth="1"/>
    <col min="12556" max="12556" width="14" style="28" customWidth="1"/>
    <col min="12557" max="12557" width="17" style="28" customWidth="1"/>
    <col min="12558" max="12558" width="14.5" style="28" customWidth="1"/>
    <col min="12559" max="12802" width="8.83203125" style="28"/>
    <col min="12803" max="12803" width="9.6640625" style="28" customWidth="1"/>
    <col min="12804" max="12804" width="21.83203125" style="28" customWidth="1"/>
    <col min="12805" max="12805" width="13" style="28" customWidth="1"/>
    <col min="12806" max="12808" width="14" style="28" customWidth="1"/>
    <col min="12809" max="12809" width="17.1640625" style="28" customWidth="1"/>
    <col min="12810" max="12810" width="17.6640625" style="28" customWidth="1"/>
    <col min="12811" max="12811" width="16.33203125" style="28" customWidth="1"/>
    <col min="12812" max="12812" width="14" style="28" customWidth="1"/>
    <col min="12813" max="12813" width="17" style="28" customWidth="1"/>
    <col min="12814" max="12814" width="14.5" style="28" customWidth="1"/>
    <col min="12815" max="13058" width="8.83203125" style="28"/>
    <col min="13059" max="13059" width="9.6640625" style="28" customWidth="1"/>
    <col min="13060" max="13060" width="21.83203125" style="28" customWidth="1"/>
    <col min="13061" max="13061" width="13" style="28" customWidth="1"/>
    <col min="13062" max="13064" width="14" style="28" customWidth="1"/>
    <col min="13065" max="13065" width="17.1640625" style="28" customWidth="1"/>
    <col min="13066" max="13066" width="17.6640625" style="28" customWidth="1"/>
    <col min="13067" max="13067" width="16.33203125" style="28" customWidth="1"/>
    <col min="13068" max="13068" width="14" style="28" customWidth="1"/>
    <col min="13069" max="13069" width="17" style="28" customWidth="1"/>
    <col min="13070" max="13070" width="14.5" style="28" customWidth="1"/>
    <col min="13071" max="13314" width="8.83203125" style="28"/>
    <col min="13315" max="13315" width="9.6640625" style="28" customWidth="1"/>
    <col min="13316" max="13316" width="21.83203125" style="28" customWidth="1"/>
    <col min="13317" max="13317" width="13" style="28" customWidth="1"/>
    <col min="13318" max="13320" width="14" style="28" customWidth="1"/>
    <col min="13321" max="13321" width="17.1640625" style="28" customWidth="1"/>
    <col min="13322" max="13322" width="17.6640625" style="28" customWidth="1"/>
    <col min="13323" max="13323" width="16.33203125" style="28" customWidth="1"/>
    <col min="13324" max="13324" width="14" style="28" customWidth="1"/>
    <col min="13325" max="13325" width="17" style="28" customWidth="1"/>
    <col min="13326" max="13326" width="14.5" style="28" customWidth="1"/>
    <col min="13327" max="13570" width="8.83203125" style="28"/>
    <col min="13571" max="13571" width="9.6640625" style="28" customWidth="1"/>
    <col min="13572" max="13572" width="21.83203125" style="28" customWidth="1"/>
    <col min="13573" max="13573" width="13" style="28" customWidth="1"/>
    <col min="13574" max="13576" width="14" style="28" customWidth="1"/>
    <col min="13577" max="13577" width="17.1640625" style="28" customWidth="1"/>
    <col min="13578" max="13578" width="17.6640625" style="28" customWidth="1"/>
    <col min="13579" max="13579" width="16.33203125" style="28" customWidth="1"/>
    <col min="13580" max="13580" width="14" style="28" customWidth="1"/>
    <col min="13581" max="13581" width="17" style="28" customWidth="1"/>
    <col min="13582" max="13582" width="14.5" style="28" customWidth="1"/>
    <col min="13583" max="13826" width="8.83203125" style="28"/>
    <col min="13827" max="13827" width="9.6640625" style="28" customWidth="1"/>
    <col min="13828" max="13828" width="21.83203125" style="28" customWidth="1"/>
    <col min="13829" max="13829" width="13" style="28" customWidth="1"/>
    <col min="13830" max="13832" width="14" style="28" customWidth="1"/>
    <col min="13833" max="13833" width="17.1640625" style="28" customWidth="1"/>
    <col min="13834" max="13834" width="17.6640625" style="28" customWidth="1"/>
    <col min="13835" max="13835" width="16.33203125" style="28" customWidth="1"/>
    <col min="13836" max="13836" width="14" style="28" customWidth="1"/>
    <col min="13837" max="13837" width="17" style="28" customWidth="1"/>
    <col min="13838" max="13838" width="14.5" style="28" customWidth="1"/>
    <col min="13839" max="14082" width="8.83203125" style="28"/>
    <col min="14083" max="14083" width="9.6640625" style="28" customWidth="1"/>
    <col min="14084" max="14084" width="21.83203125" style="28" customWidth="1"/>
    <col min="14085" max="14085" width="13" style="28" customWidth="1"/>
    <col min="14086" max="14088" width="14" style="28" customWidth="1"/>
    <col min="14089" max="14089" width="17.1640625" style="28" customWidth="1"/>
    <col min="14090" max="14090" width="17.6640625" style="28" customWidth="1"/>
    <col min="14091" max="14091" width="16.33203125" style="28" customWidth="1"/>
    <col min="14092" max="14092" width="14" style="28" customWidth="1"/>
    <col min="14093" max="14093" width="17" style="28" customWidth="1"/>
    <col min="14094" max="14094" width="14.5" style="28" customWidth="1"/>
    <col min="14095" max="14338" width="8.83203125" style="28"/>
    <col min="14339" max="14339" width="9.6640625" style="28" customWidth="1"/>
    <col min="14340" max="14340" width="21.83203125" style="28" customWidth="1"/>
    <col min="14341" max="14341" width="13" style="28" customWidth="1"/>
    <col min="14342" max="14344" width="14" style="28" customWidth="1"/>
    <col min="14345" max="14345" width="17.1640625" style="28" customWidth="1"/>
    <col min="14346" max="14346" width="17.6640625" style="28" customWidth="1"/>
    <col min="14347" max="14347" width="16.33203125" style="28" customWidth="1"/>
    <col min="14348" max="14348" width="14" style="28" customWidth="1"/>
    <col min="14349" max="14349" width="17" style="28" customWidth="1"/>
    <col min="14350" max="14350" width="14.5" style="28" customWidth="1"/>
    <col min="14351" max="14594" width="8.83203125" style="28"/>
    <col min="14595" max="14595" width="9.6640625" style="28" customWidth="1"/>
    <col min="14596" max="14596" width="21.83203125" style="28" customWidth="1"/>
    <col min="14597" max="14597" width="13" style="28" customWidth="1"/>
    <col min="14598" max="14600" width="14" style="28" customWidth="1"/>
    <col min="14601" max="14601" width="17.1640625" style="28" customWidth="1"/>
    <col min="14602" max="14602" width="17.6640625" style="28" customWidth="1"/>
    <col min="14603" max="14603" width="16.33203125" style="28" customWidth="1"/>
    <col min="14604" max="14604" width="14" style="28" customWidth="1"/>
    <col min="14605" max="14605" width="17" style="28" customWidth="1"/>
    <col min="14606" max="14606" width="14.5" style="28" customWidth="1"/>
    <col min="14607" max="14850" width="8.83203125" style="28"/>
    <col min="14851" max="14851" width="9.6640625" style="28" customWidth="1"/>
    <col min="14852" max="14852" width="21.83203125" style="28" customWidth="1"/>
    <col min="14853" max="14853" width="13" style="28" customWidth="1"/>
    <col min="14854" max="14856" width="14" style="28" customWidth="1"/>
    <col min="14857" max="14857" width="17.1640625" style="28" customWidth="1"/>
    <col min="14858" max="14858" width="17.6640625" style="28" customWidth="1"/>
    <col min="14859" max="14859" width="16.33203125" style="28" customWidth="1"/>
    <col min="14860" max="14860" width="14" style="28" customWidth="1"/>
    <col min="14861" max="14861" width="17" style="28" customWidth="1"/>
    <col min="14862" max="14862" width="14.5" style="28" customWidth="1"/>
    <col min="14863" max="15106" width="8.83203125" style="28"/>
    <col min="15107" max="15107" width="9.6640625" style="28" customWidth="1"/>
    <col min="15108" max="15108" width="21.83203125" style="28" customWidth="1"/>
    <col min="15109" max="15109" width="13" style="28" customWidth="1"/>
    <col min="15110" max="15112" width="14" style="28" customWidth="1"/>
    <col min="15113" max="15113" width="17.1640625" style="28" customWidth="1"/>
    <col min="15114" max="15114" width="17.6640625" style="28" customWidth="1"/>
    <col min="15115" max="15115" width="16.33203125" style="28" customWidth="1"/>
    <col min="15116" max="15116" width="14" style="28" customWidth="1"/>
    <col min="15117" max="15117" width="17" style="28" customWidth="1"/>
    <col min="15118" max="15118" width="14.5" style="28" customWidth="1"/>
    <col min="15119" max="15362" width="8.83203125" style="28"/>
    <col min="15363" max="15363" width="9.6640625" style="28" customWidth="1"/>
    <col min="15364" max="15364" width="21.83203125" style="28" customWidth="1"/>
    <col min="15365" max="15365" width="13" style="28" customWidth="1"/>
    <col min="15366" max="15368" width="14" style="28" customWidth="1"/>
    <col min="15369" max="15369" width="17.1640625" style="28" customWidth="1"/>
    <col min="15370" max="15370" width="17.6640625" style="28" customWidth="1"/>
    <col min="15371" max="15371" width="16.33203125" style="28" customWidth="1"/>
    <col min="15372" max="15372" width="14" style="28" customWidth="1"/>
    <col min="15373" max="15373" width="17" style="28" customWidth="1"/>
    <col min="15374" max="15374" width="14.5" style="28" customWidth="1"/>
    <col min="15375" max="15618" width="8.83203125" style="28"/>
    <col min="15619" max="15619" width="9.6640625" style="28" customWidth="1"/>
    <col min="15620" max="15620" width="21.83203125" style="28" customWidth="1"/>
    <col min="15621" max="15621" width="13" style="28" customWidth="1"/>
    <col min="15622" max="15624" width="14" style="28" customWidth="1"/>
    <col min="15625" max="15625" width="17.1640625" style="28" customWidth="1"/>
    <col min="15626" max="15626" width="17.6640625" style="28" customWidth="1"/>
    <col min="15627" max="15627" width="16.33203125" style="28" customWidth="1"/>
    <col min="15628" max="15628" width="14" style="28" customWidth="1"/>
    <col min="15629" max="15629" width="17" style="28" customWidth="1"/>
    <col min="15630" max="15630" width="14.5" style="28" customWidth="1"/>
    <col min="15631" max="15874" width="8.83203125" style="28"/>
    <col min="15875" max="15875" width="9.6640625" style="28" customWidth="1"/>
    <col min="15876" max="15876" width="21.83203125" style="28" customWidth="1"/>
    <col min="15877" max="15877" width="13" style="28" customWidth="1"/>
    <col min="15878" max="15880" width="14" style="28" customWidth="1"/>
    <col min="15881" max="15881" width="17.1640625" style="28" customWidth="1"/>
    <col min="15882" max="15882" width="17.6640625" style="28" customWidth="1"/>
    <col min="15883" max="15883" width="16.33203125" style="28" customWidth="1"/>
    <col min="15884" max="15884" width="14" style="28" customWidth="1"/>
    <col min="15885" max="15885" width="17" style="28" customWidth="1"/>
    <col min="15886" max="15886" width="14.5" style="28" customWidth="1"/>
    <col min="15887" max="16130" width="8.83203125" style="28"/>
    <col min="16131" max="16131" width="9.6640625" style="28" customWidth="1"/>
    <col min="16132" max="16132" width="21.83203125" style="28" customWidth="1"/>
    <col min="16133" max="16133" width="13" style="28" customWidth="1"/>
    <col min="16134" max="16136" width="14" style="28" customWidth="1"/>
    <col min="16137" max="16137" width="17.1640625" style="28" customWidth="1"/>
    <col min="16138" max="16138" width="17.6640625" style="28" customWidth="1"/>
    <col min="16139" max="16139" width="16.33203125" style="28" customWidth="1"/>
    <col min="16140" max="16140" width="14" style="28" customWidth="1"/>
    <col min="16141" max="16141" width="17" style="28" customWidth="1"/>
    <col min="16142" max="16142" width="14.5" style="28" customWidth="1"/>
    <col min="16143" max="16143" width="8.83203125" style="28"/>
    <col min="16144" max="16384" width="8.83203125" style="27"/>
  </cols>
  <sheetData>
    <row r="1" spans="2:13" s="27" customFormat="1">
      <c r="B1" s="121" t="s">
        <v>94</v>
      </c>
      <c r="C1" s="134" t="str">
        <f>OVERALLLIGHT</f>
        <v>AMBER</v>
      </c>
      <c r="D1" s="133"/>
    </row>
    <row r="2" spans="2:13" s="27" customFormat="1">
      <c r="B2" s="121" t="s">
        <v>93</v>
      </c>
      <c r="C2" s="131" t="str">
        <f>MILESTONELIGHT</f>
        <v>RED</v>
      </c>
      <c r="D2" s="128"/>
    </row>
    <row r="3" spans="2:13" s="27" customFormat="1">
      <c r="B3" s="121" t="s">
        <v>92</v>
      </c>
      <c r="C3" s="131" t="str">
        <f>ISSUELIGHT</f>
        <v>GREEN</v>
      </c>
      <c r="D3" s="128"/>
    </row>
    <row r="4" spans="2:13" s="27" customFormat="1">
      <c r="B4" s="121" t="s">
        <v>91</v>
      </c>
      <c r="C4" s="131" t="str">
        <f>RISKLIGHT</f>
        <v>GREEN</v>
      </c>
      <c r="D4" s="128"/>
    </row>
    <row r="5" spans="2:13" s="27" customFormat="1">
      <c r="B5" s="121" t="s">
        <v>90</v>
      </c>
      <c r="C5" s="131" t="str">
        <f>CHANGELIGHT</f>
        <v>GREEN</v>
      </c>
      <c r="D5" s="128"/>
    </row>
    <row r="6" spans="2:13" s="27" customFormat="1">
      <c r="B6" s="121" t="s">
        <v>89</v>
      </c>
      <c r="C6" s="132" t="str">
        <f>DEPENDENCYLIGHT</f>
        <v/>
      </c>
      <c r="D6" s="128"/>
    </row>
    <row r="7" spans="2:13" s="27" customFormat="1">
      <c r="B7" s="121" t="s">
        <v>88</v>
      </c>
      <c r="C7" s="132" t="str">
        <f>MEASURELIGHT</f>
        <v/>
      </c>
      <c r="D7" s="128"/>
    </row>
    <row r="8" spans="2:13" s="27" customFormat="1">
      <c r="B8" s="121" t="s">
        <v>87</v>
      </c>
      <c r="C8" s="131" t="str">
        <f>COMMUNICATIONLIGHT</f>
        <v>GREEN</v>
      </c>
      <c r="D8" s="128"/>
      <c r="F8" s="28"/>
    </row>
    <row r="9" spans="2:13" s="27" customFormat="1">
      <c r="B9" s="121" t="s">
        <v>86</v>
      </c>
      <c r="C9" s="130" t="str">
        <f>FINANCELIGHT</f>
        <v>GREEN</v>
      </c>
      <c r="D9" s="128"/>
      <c r="F9" s="28"/>
    </row>
    <row r="10" spans="2:13" s="27" customFormat="1">
      <c r="B10" s="121"/>
      <c r="C10" s="129"/>
      <c r="D10" s="128"/>
    </row>
    <row r="11" spans="2:13" s="27" customFormat="1" ht="16" customHeight="1">
      <c r="B11" s="121"/>
      <c r="C11" s="127" t="str">
        <f>ProjNo</f>
        <v>RT029</v>
      </c>
      <c r="D11" s="126" t="str">
        <f>ProjName</f>
        <v>Cloud Based Bioinformatics Tools</v>
      </c>
    </row>
    <row r="12" spans="2:13" s="27" customFormat="1" ht="16" customHeight="1">
      <c r="B12" s="121"/>
      <c r="C12" s="125" t="s">
        <v>85</v>
      </c>
      <c r="D12" s="124">
        <f>ReportFrom</f>
        <v>41244</v>
      </c>
      <c r="F12" s="118"/>
    </row>
    <row r="13" spans="2:13" s="27" customFormat="1" ht="16" customHeight="1">
      <c r="B13" s="121"/>
      <c r="C13" s="123" t="s">
        <v>84</v>
      </c>
      <c r="D13" s="122">
        <f>LastDateReport</f>
        <v>41334</v>
      </c>
      <c r="F13" s="118"/>
    </row>
    <row r="14" spans="2:13" s="27" customFormat="1" ht="6" customHeight="1">
      <c r="B14" s="121"/>
      <c r="C14" s="120"/>
      <c r="D14" s="120"/>
      <c r="E14" s="119"/>
      <c r="F14" s="118"/>
    </row>
    <row r="15" spans="2:13" s="27" customFormat="1" ht="19" customHeight="1">
      <c r="C15" s="117" t="s">
        <v>83</v>
      </c>
      <c r="D15" s="117"/>
      <c r="E15" s="117"/>
      <c r="F15" s="117"/>
      <c r="I15" s="117" t="s">
        <v>82</v>
      </c>
      <c r="J15" s="117" t="str">
        <f>FINANCELIGHT</f>
        <v>GREEN</v>
      </c>
      <c r="K15" s="117"/>
      <c r="M15" s="117"/>
    </row>
    <row r="17" spans="1:21" s="27" customFormat="1" ht="15" customHeight="1" thickBot="1">
      <c r="A17" s="28"/>
      <c r="B17" s="28"/>
      <c r="C17" s="28"/>
      <c r="D17" s="28"/>
      <c r="E17" s="28"/>
      <c r="F17" s="28"/>
      <c r="G17" s="28"/>
      <c r="H17" s="28"/>
      <c r="I17" s="28"/>
      <c r="J17" s="28"/>
      <c r="K17" s="28"/>
      <c r="L17" s="28"/>
      <c r="M17" s="28"/>
      <c r="N17" s="28"/>
      <c r="O17" s="28"/>
      <c r="P17" s="28"/>
      <c r="Q17" s="28"/>
      <c r="R17" s="28"/>
      <c r="S17" s="28"/>
      <c r="T17" s="28"/>
      <c r="U17" s="28"/>
    </row>
    <row r="18" spans="1:21" s="27" customFormat="1" ht="15" customHeight="1" thickBot="1">
      <c r="A18" s="28"/>
      <c r="B18" s="28"/>
      <c r="C18" s="116"/>
      <c r="D18" s="115"/>
      <c r="E18" s="153" t="s">
        <v>81</v>
      </c>
      <c r="F18" s="154"/>
      <c r="G18" s="154"/>
      <c r="H18" s="155"/>
      <c r="I18" s="28"/>
      <c r="J18" s="156" t="s">
        <v>80</v>
      </c>
      <c r="K18" s="157"/>
      <c r="L18" s="158"/>
      <c r="M18" s="28"/>
      <c r="N18" s="28"/>
      <c r="O18" s="28"/>
      <c r="P18" s="28"/>
      <c r="Q18" s="28"/>
      <c r="R18" s="28"/>
      <c r="S18" s="28"/>
      <c r="T18" s="28"/>
      <c r="U18" s="28"/>
    </row>
    <row r="19" spans="1:21" s="27" customFormat="1" ht="57" customHeight="1" thickBot="1">
      <c r="A19" s="28"/>
      <c r="B19" s="28"/>
      <c r="C19" s="114" t="s">
        <v>79</v>
      </c>
      <c r="D19" s="28"/>
      <c r="E19" s="113" t="s">
        <v>78</v>
      </c>
      <c r="F19" s="112" t="s">
        <v>77</v>
      </c>
      <c r="G19" s="112" t="s">
        <v>76</v>
      </c>
      <c r="H19" s="111" t="s">
        <v>75</v>
      </c>
      <c r="I19" s="110" t="s">
        <v>74</v>
      </c>
      <c r="J19" s="109" t="s">
        <v>73</v>
      </c>
      <c r="K19" s="108" t="s">
        <v>72</v>
      </c>
      <c r="L19" s="107" t="s">
        <v>71</v>
      </c>
      <c r="M19" s="28"/>
      <c r="N19" s="28"/>
      <c r="O19" s="28"/>
      <c r="P19" s="28"/>
      <c r="Q19" s="28"/>
      <c r="R19" s="28"/>
      <c r="S19" s="28"/>
      <c r="T19" s="28"/>
      <c r="U19" s="28"/>
    </row>
    <row r="20" spans="1:21" s="27" customFormat="1" ht="15" customHeight="1" thickBot="1">
      <c r="A20" s="28"/>
      <c r="B20" s="28"/>
      <c r="C20" s="106"/>
      <c r="D20" s="105"/>
      <c r="E20" s="104">
        <f>R46</f>
        <v>289000</v>
      </c>
      <c r="F20" s="103">
        <f>D38</f>
        <v>104000</v>
      </c>
      <c r="G20" s="103">
        <f>H38</f>
        <v>152482</v>
      </c>
      <c r="H20" s="102">
        <f>E20-F20</f>
        <v>185000</v>
      </c>
      <c r="I20" s="101">
        <f>E20-I38</f>
        <v>0</v>
      </c>
      <c r="J20" s="100">
        <f>R52</f>
        <v>323892</v>
      </c>
      <c r="K20" s="99">
        <f>L38</f>
        <v>102384</v>
      </c>
      <c r="L20" s="98">
        <f>J20-K20</f>
        <v>221508</v>
      </c>
      <c r="M20" s="28"/>
      <c r="N20" s="28"/>
      <c r="O20" s="28"/>
      <c r="P20" s="28"/>
      <c r="Q20" s="28"/>
      <c r="R20" s="28"/>
      <c r="S20" s="28"/>
      <c r="T20" s="28"/>
      <c r="U20" s="28"/>
    </row>
    <row r="22" spans="1:21" s="27" customFormat="1" ht="15.75" customHeight="1" thickBot="1">
      <c r="A22" s="28"/>
      <c r="B22" s="28"/>
      <c r="C22" s="28"/>
      <c r="D22" s="28"/>
      <c r="E22" s="28"/>
      <c r="F22" s="28"/>
      <c r="G22" s="28"/>
      <c r="H22" s="28"/>
      <c r="I22" s="28"/>
      <c r="J22" s="28"/>
      <c r="K22" s="28"/>
      <c r="L22" s="28"/>
      <c r="M22" s="28"/>
      <c r="N22" s="28" t="s">
        <v>70</v>
      </c>
      <c r="O22" s="28"/>
      <c r="P22" s="28"/>
      <c r="Q22" s="28"/>
      <c r="R22" s="28"/>
      <c r="S22" s="97" t="s">
        <v>69</v>
      </c>
      <c r="T22" s="97" t="s">
        <v>68</v>
      </c>
      <c r="U22" s="96"/>
    </row>
    <row r="23" spans="1:21" s="87" customFormat="1" ht="20.25" customHeight="1">
      <c r="A23" s="159" t="s">
        <v>67</v>
      </c>
      <c r="B23" s="161" t="s">
        <v>66</v>
      </c>
      <c r="C23" s="162"/>
      <c r="D23" s="147" t="s">
        <v>65</v>
      </c>
      <c r="E23" s="149" t="s">
        <v>64</v>
      </c>
      <c r="F23" s="147"/>
      <c r="G23" s="147"/>
      <c r="H23" s="150"/>
      <c r="I23" s="151" t="s">
        <v>63</v>
      </c>
      <c r="J23" s="141" t="s">
        <v>62</v>
      </c>
      <c r="K23" s="142"/>
      <c r="L23" s="143"/>
      <c r="M23" s="144" t="s">
        <v>61</v>
      </c>
      <c r="N23" s="89"/>
      <c r="P23" s="146" t="s">
        <v>60</v>
      </c>
      <c r="Q23" s="146" t="s">
        <v>59</v>
      </c>
      <c r="S23" s="95" t="s">
        <v>58</v>
      </c>
      <c r="T23" s="94" t="str">
        <f>IF(I38&lt;&gt;I39,"RED","Correct "&amp;I38&amp;" = "&amp;I39)</f>
        <v>Correct 289000 = 289000</v>
      </c>
      <c r="U23" s="163" t="s">
        <v>57</v>
      </c>
    </row>
    <row r="24" spans="1:21" s="87" customFormat="1" ht="38.25" customHeight="1" thickBot="1">
      <c r="A24" s="160"/>
      <c r="B24" s="93" t="s">
        <v>56</v>
      </c>
      <c r="C24" s="90" t="s">
        <v>55</v>
      </c>
      <c r="D24" s="148"/>
      <c r="E24" s="92" t="s">
        <v>54</v>
      </c>
      <c r="F24" s="91" t="s">
        <v>53</v>
      </c>
      <c r="G24" s="91" t="s">
        <v>52</v>
      </c>
      <c r="H24" s="90" t="s">
        <v>42</v>
      </c>
      <c r="I24" s="152"/>
      <c r="J24" s="92" t="s">
        <v>51</v>
      </c>
      <c r="K24" s="91" t="s">
        <v>50</v>
      </c>
      <c r="L24" s="90" t="s">
        <v>42</v>
      </c>
      <c r="M24" s="145"/>
      <c r="N24" s="89"/>
      <c r="P24" s="146"/>
      <c r="Q24" s="146"/>
      <c r="S24" s="87" t="s">
        <v>49</v>
      </c>
      <c r="T24" s="88">
        <f>I39*0.3</f>
        <v>86700</v>
      </c>
      <c r="U24" s="164"/>
    </row>
    <row r="25" spans="1:21" s="27" customFormat="1" ht="15.75" customHeight="1">
      <c r="A25" s="71">
        <v>1</v>
      </c>
      <c r="B25" s="86">
        <v>41091</v>
      </c>
      <c r="C25" s="85">
        <v>41274</v>
      </c>
      <c r="D25" s="84">
        <v>104000</v>
      </c>
      <c r="E25" s="78">
        <v>122279</v>
      </c>
      <c r="F25" s="72">
        <v>0</v>
      </c>
      <c r="G25" s="72"/>
      <c r="H25" s="64">
        <f t="shared" ref="H25:H37" si="0">SUM(E25:G25)</f>
        <v>122279</v>
      </c>
      <c r="I25" s="79">
        <f>H25</f>
        <v>122279</v>
      </c>
      <c r="J25" s="78">
        <v>2364</v>
      </c>
      <c r="K25" s="72">
        <v>72474</v>
      </c>
      <c r="L25" s="64">
        <f t="shared" ref="L25:L37" si="1">SUM(J25:K25)</f>
        <v>74838</v>
      </c>
      <c r="M25" s="77">
        <f>L25</f>
        <v>74838</v>
      </c>
      <c r="N25" s="28" t="str">
        <f>IF(H25&gt;0,IF(I25&lt;&gt;H25,"WARNING!! UPDATE: I25 $"&amp;I25&amp;" WITH ACTUAL SPEND:$ "&amp;H25,""),"")</f>
        <v/>
      </c>
      <c r="O25" s="28"/>
      <c r="P25" s="54">
        <f t="shared" ref="P25:P37" si="2">IF(H25&gt;0,H25,I25)</f>
        <v>122279</v>
      </c>
      <c r="Q25" s="53">
        <f t="shared" ref="Q25:Q37" si="3">IF(L25&gt;0,L25,M25)</f>
        <v>74838</v>
      </c>
      <c r="R25" s="28"/>
      <c r="S25" s="28" t="str">
        <f>S24&amp;" or more in last quarter"</f>
        <v>30% of funds or more in last quarter</v>
      </c>
      <c r="T25" s="28" t="str">
        <f>IF(LASTQUARTER&gt;T24-1,"RED","Less than "&amp; S24&amp;" in last quarter: "&amp;LASTQUARTER)</f>
        <v>Less than 30% of funds in last quarter: 15552</v>
      </c>
      <c r="U25" s="83">
        <f t="shared" ref="U25:U37" si="4">M25+I25</f>
        <v>197117</v>
      </c>
    </row>
    <row r="26" spans="1:21" s="27" customFormat="1" ht="15.75" customHeight="1">
      <c r="A26" s="71">
        <v>2</v>
      </c>
      <c r="B26" s="82">
        <f t="shared" ref="B26:B37" si="5">C25+1</f>
        <v>41275</v>
      </c>
      <c r="C26" s="81">
        <v>41364</v>
      </c>
      <c r="D26" s="80"/>
      <c r="E26" s="78">
        <v>30203</v>
      </c>
      <c r="F26" s="72"/>
      <c r="G26" s="72"/>
      <c r="H26" s="64">
        <f t="shared" si="0"/>
        <v>30203</v>
      </c>
      <c r="I26" s="79">
        <f>H26</f>
        <v>30203</v>
      </c>
      <c r="J26" s="78"/>
      <c r="K26" s="72">
        <v>9910</v>
      </c>
      <c r="L26" s="64">
        <f t="shared" si="1"/>
        <v>9910</v>
      </c>
      <c r="M26" s="77">
        <f>L26</f>
        <v>9910</v>
      </c>
      <c r="N26" s="28" t="str">
        <f>IF(H26&gt;0,IF(I26&lt;&gt;H26,"WARNING!! UPDATE: I26 $"&amp;I26&amp;" WITH ACTUAL SPEND:$ "&amp;H26,""),"")</f>
        <v/>
      </c>
      <c r="O26" s="28"/>
      <c r="P26" s="54">
        <f t="shared" si="2"/>
        <v>30203</v>
      </c>
      <c r="Q26" s="53">
        <f t="shared" si="3"/>
        <v>9910</v>
      </c>
      <c r="R26" s="28"/>
      <c r="S26" s="28" t="s">
        <v>48</v>
      </c>
      <c r="T26" s="28">
        <f>LASTQUARTER</f>
        <v>15552</v>
      </c>
      <c r="U26" s="67">
        <f t="shared" si="4"/>
        <v>40113</v>
      </c>
    </row>
    <row r="27" spans="1:21" s="27" customFormat="1" ht="15" customHeight="1">
      <c r="A27" s="71">
        <v>3</v>
      </c>
      <c r="B27" s="82">
        <f t="shared" si="5"/>
        <v>41365</v>
      </c>
      <c r="C27" s="81">
        <v>41455</v>
      </c>
      <c r="D27" s="80"/>
      <c r="E27" s="78"/>
      <c r="F27" s="72"/>
      <c r="G27" s="72"/>
      <c r="H27" s="64">
        <f t="shared" si="0"/>
        <v>0</v>
      </c>
      <c r="I27" s="79">
        <v>60141</v>
      </c>
      <c r="J27" s="78">
        <v>6000</v>
      </c>
      <c r="K27" s="72"/>
      <c r="L27" s="64">
        <f t="shared" si="1"/>
        <v>6000</v>
      </c>
      <c r="M27" s="77">
        <v>2825</v>
      </c>
      <c r="N27" s="28" t="str">
        <f>IF(H27&gt;0,IF(I27&lt;&gt;H27,"WARNING!! UPDATE: I27 $"&amp;I27&amp;" WITH ACTUAL SPEND:$ "&amp;H27,""),"")</f>
        <v/>
      </c>
      <c r="O27" s="28"/>
      <c r="P27" s="54">
        <f t="shared" si="2"/>
        <v>60141</v>
      </c>
      <c r="Q27" s="53">
        <f t="shared" si="3"/>
        <v>6000</v>
      </c>
      <c r="R27" s="28"/>
      <c r="S27" s="28" t="s">
        <v>47</v>
      </c>
      <c r="T27" s="39">
        <f>I39*0.2</f>
        <v>57800</v>
      </c>
      <c r="U27" s="67">
        <f t="shared" si="4"/>
        <v>62966</v>
      </c>
    </row>
    <row r="28" spans="1:21" s="27" customFormat="1" ht="15.75" customHeight="1">
      <c r="A28" s="71">
        <v>4</v>
      </c>
      <c r="B28" s="82">
        <f t="shared" si="5"/>
        <v>41456</v>
      </c>
      <c r="C28" s="81">
        <v>41547</v>
      </c>
      <c r="D28" s="80"/>
      <c r="E28" s="78"/>
      <c r="F28" s="72"/>
      <c r="G28" s="72"/>
      <c r="H28" s="64">
        <f t="shared" si="0"/>
        <v>0</v>
      </c>
      <c r="I28" s="79">
        <v>60825</v>
      </c>
      <c r="J28" s="78">
        <v>6000</v>
      </c>
      <c r="K28" s="72"/>
      <c r="L28" s="64">
        <f t="shared" si="1"/>
        <v>6000</v>
      </c>
      <c r="M28" s="77">
        <v>16637</v>
      </c>
      <c r="N28" s="28" t="str">
        <f>IF(H28&gt;0,IF(I28&lt;&gt;H28,"WARNING!! UPDATE: I28 $"&amp;I28&amp;" WITH ACTUAL SPEND:$ "&amp;H28,""),"")</f>
        <v/>
      </c>
      <c r="O28" s="28"/>
      <c r="P28" s="54">
        <f t="shared" si="2"/>
        <v>60825</v>
      </c>
      <c r="Q28" s="53">
        <f t="shared" si="3"/>
        <v>6000</v>
      </c>
      <c r="R28" s="28"/>
      <c r="S28" s="28" t="str">
        <f>S27&amp; " or more in last quarter"</f>
        <v>20% of funds or more in last quarter</v>
      </c>
      <c r="T28" s="28" t="str">
        <f>IF(LASTQUARTER&gt;T27-1,"AMBER","Less than "&amp;S27&amp;" in last quarter: "&amp;LASTQUARTER)</f>
        <v>Less than 20% of funds in last quarter: 15552</v>
      </c>
      <c r="U28" s="67">
        <f t="shared" si="4"/>
        <v>77462</v>
      </c>
    </row>
    <row r="29" spans="1:21" s="27" customFormat="1" ht="15.75" customHeight="1">
      <c r="A29" s="71">
        <v>5</v>
      </c>
      <c r="B29" s="82">
        <f t="shared" si="5"/>
        <v>41548</v>
      </c>
      <c r="C29" s="81">
        <v>41639</v>
      </c>
      <c r="D29" s="80"/>
      <c r="E29" s="78"/>
      <c r="F29" s="72"/>
      <c r="G29" s="72"/>
      <c r="H29" s="64">
        <f t="shared" si="0"/>
        <v>0</v>
      </c>
      <c r="I29" s="79">
        <v>15552</v>
      </c>
      <c r="J29" s="78">
        <v>5636</v>
      </c>
      <c r="K29" s="72"/>
      <c r="L29" s="64">
        <f t="shared" si="1"/>
        <v>5636</v>
      </c>
      <c r="M29" s="77">
        <v>4927</v>
      </c>
      <c r="N29" s="28" t="str">
        <f>IF(H29&gt;0,IF(I29&lt;&gt;H29,"WARNING!! UPDATE: I29 $"&amp;I29&amp;" WITH ACTUAL SPEND:$ "&amp;H29,""),"")</f>
        <v/>
      </c>
      <c r="O29" s="28"/>
      <c r="P29" s="54">
        <f t="shared" si="2"/>
        <v>15552</v>
      </c>
      <c r="Q29" s="53">
        <f t="shared" si="3"/>
        <v>5636</v>
      </c>
      <c r="R29" s="28"/>
      <c r="S29" s="28" t="s">
        <v>46</v>
      </c>
      <c r="T29" s="28" t="str">
        <f>IF(T23="RED","RED",IF(T25="RED","RED",IF(T28="AMBER","AMBER","GREEN")))</f>
        <v>GREEN</v>
      </c>
      <c r="U29" s="67">
        <f t="shared" si="4"/>
        <v>20479</v>
      </c>
    </row>
    <row r="30" spans="1:21" s="27" customFormat="1" ht="15" customHeight="1">
      <c r="A30" s="71">
        <v>6</v>
      </c>
      <c r="B30" s="70">
        <f t="shared" si="5"/>
        <v>41640</v>
      </c>
      <c r="C30" s="69">
        <v>41729</v>
      </c>
      <c r="D30" s="74"/>
      <c r="E30" s="66"/>
      <c r="F30" s="65"/>
      <c r="G30" s="65"/>
      <c r="H30" s="64">
        <f t="shared" si="0"/>
        <v>0</v>
      </c>
      <c r="I30" s="67">
        <f t="shared" ref="I30:I37" si="6">H30</f>
        <v>0</v>
      </c>
      <c r="J30" s="66"/>
      <c r="K30" s="65"/>
      <c r="L30" s="64">
        <f t="shared" si="1"/>
        <v>0</v>
      </c>
      <c r="M30" s="72">
        <v>110637</v>
      </c>
      <c r="N30" s="28" t="str">
        <f>IF(H30&gt;0,IF(I30&lt;&gt;H30,"WARNING!! UPDATE: I30 $"&amp;I30&amp;" WITH ACTUAL SPEND:$ "&amp;H30,""),"")</f>
        <v/>
      </c>
      <c r="O30" s="28"/>
      <c r="P30" s="54">
        <f t="shared" si="2"/>
        <v>0</v>
      </c>
      <c r="Q30" s="53">
        <f t="shared" si="3"/>
        <v>110637</v>
      </c>
      <c r="R30" s="28"/>
      <c r="S30" s="28"/>
      <c r="T30" s="28"/>
      <c r="U30" s="67">
        <f t="shared" si="4"/>
        <v>110637</v>
      </c>
    </row>
    <row r="31" spans="1:21" s="27" customFormat="1" ht="15.75" customHeight="1" thickBot="1">
      <c r="A31" s="71">
        <v>7</v>
      </c>
      <c r="B31" s="70">
        <f t="shared" si="5"/>
        <v>41730</v>
      </c>
      <c r="C31" s="69">
        <v>41820</v>
      </c>
      <c r="D31" s="74"/>
      <c r="E31" s="76"/>
      <c r="F31" s="65"/>
      <c r="G31" s="65"/>
      <c r="H31" s="64">
        <f t="shared" si="0"/>
        <v>0</v>
      </c>
      <c r="I31" s="67">
        <f t="shared" si="6"/>
        <v>0</v>
      </c>
      <c r="J31" s="66"/>
      <c r="K31" s="65"/>
      <c r="L31" s="64">
        <f t="shared" si="1"/>
        <v>0</v>
      </c>
      <c r="M31" s="72">
        <v>110638</v>
      </c>
      <c r="N31" s="28" t="str">
        <f>IF(H31&gt;0,IF(I31&lt;&gt;H31,"WARNING!! UPDATE: I31 $"&amp;I31&amp;" WITH ACTUAL SPEND:$ "&amp;H31,""),"")</f>
        <v/>
      </c>
      <c r="O31" s="28"/>
      <c r="P31" s="54">
        <f t="shared" si="2"/>
        <v>0</v>
      </c>
      <c r="Q31" s="53">
        <f t="shared" si="3"/>
        <v>110638</v>
      </c>
      <c r="R31" s="28"/>
      <c r="S31" s="28"/>
      <c r="T31" s="28"/>
      <c r="U31" s="67">
        <f t="shared" si="4"/>
        <v>110638</v>
      </c>
    </row>
    <row r="32" spans="1:21" s="27" customFormat="1" ht="15.75" hidden="1" customHeight="1">
      <c r="A32" s="71">
        <v>8</v>
      </c>
      <c r="B32" s="70">
        <f t="shared" si="5"/>
        <v>41821</v>
      </c>
      <c r="C32" s="69">
        <v>41912</v>
      </c>
      <c r="D32" s="74"/>
      <c r="E32" s="66"/>
      <c r="F32" s="75"/>
      <c r="G32" s="65"/>
      <c r="H32" s="64">
        <f t="shared" si="0"/>
        <v>0</v>
      </c>
      <c r="I32" s="67">
        <f t="shared" si="6"/>
        <v>0</v>
      </c>
      <c r="J32" s="66"/>
      <c r="K32" s="65"/>
      <c r="L32" s="64">
        <f t="shared" si="1"/>
        <v>0</v>
      </c>
      <c r="M32" s="72">
        <f t="shared" ref="M32:M37" si="7">L32</f>
        <v>0</v>
      </c>
      <c r="N32" s="28" t="str">
        <f>IF(H32&gt;0,IF(I32&lt;&gt;H32,"WARNING!! UPDATE: I32 $"&amp;I32&amp;" WITH ACTUAL SPEND:$ "&amp;H32,""),"")</f>
        <v/>
      </c>
      <c r="O32" s="28"/>
      <c r="P32" s="54">
        <f t="shared" si="2"/>
        <v>0</v>
      </c>
      <c r="Q32" s="53">
        <f t="shared" si="3"/>
        <v>0</v>
      </c>
      <c r="R32" s="28"/>
      <c r="S32" s="28"/>
      <c r="T32" s="28"/>
      <c r="U32" s="67">
        <f t="shared" si="4"/>
        <v>0</v>
      </c>
    </row>
    <row r="33" spans="1:21" s="27" customFormat="1" ht="15.75" hidden="1" customHeight="1">
      <c r="A33" s="71">
        <v>9</v>
      </c>
      <c r="B33" s="70">
        <f t="shared" si="5"/>
        <v>41913</v>
      </c>
      <c r="C33" s="69">
        <v>42004</v>
      </c>
      <c r="D33" s="74"/>
      <c r="E33" s="66"/>
      <c r="F33" s="65"/>
      <c r="G33" s="65"/>
      <c r="H33" s="64">
        <f t="shared" si="0"/>
        <v>0</v>
      </c>
      <c r="I33" s="67">
        <f t="shared" si="6"/>
        <v>0</v>
      </c>
      <c r="J33" s="66"/>
      <c r="K33" s="65"/>
      <c r="L33" s="64">
        <f t="shared" si="1"/>
        <v>0</v>
      </c>
      <c r="M33" s="72">
        <f t="shared" si="7"/>
        <v>0</v>
      </c>
      <c r="N33" s="28" t="str">
        <f>IF(H33&gt;0,IF(I33&lt;&gt;H33,"WARNING!! UPDATE: I33 $"&amp;I33&amp;" WITH ACTUAL SPEND:$ "&amp;H33,""),"")</f>
        <v/>
      </c>
      <c r="O33" s="28"/>
      <c r="P33" s="54">
        <f t="shared" si="2"/>
        <v>0</v>
      </c>
      <c r="Q33" s="53">
        <f t="shared" si="3"/>
        <v>0</v>
      </c>
      <c r="R33" s="28"/>
      <c r="S33" s="28"/>
      <c r="T33" s="28"/>
      <c r="U33" s="67">
        <f t="shared" si="4"/>
        <v>0</v>
      </c>
    </row>
    <row r="34" spans="1:21" s="27" customFormat="1" ht="15.75" hidden="1" customHeight="1">
      <c r="A34" s="71">
        <v>10</v>
      </c>
      <c r="B34" s="70">
        <f t="shared" si="5"/>
        <v>42005</v>
      </c>
      <c r="C34" s="69">
        <v>42094</v>
      </c>
      <c r="D34" s="73"/>
      <c r="E34" s="66"/>
      <c r="F34" s="65"/>
      <c r="G34" s="65"/>
      <c r="H34" s="64">
        <f t="shared" si="0"/>
        <v>0</v>
      </c>
      <c r="I34" s="67">
        <f t="shared" si="6"/>
        <v>0</v>
      </c>
      <c r="J34" s="66"/>
      <c r="K34" s="65"/>
      <c r="L34" s="64">
        <f t="shared" si="1"/>
        <v>0</v>
      </c>
      <c r="M34" s="72">
        <f t="shared" si="7"/>
        <v>0</v>
      </c>
      <c r="N34" s="28" t="str">
        <f>IF(H34&gt;0,IF(I34&lt;&gt;H34,"WARNING!! UPDATE: I34 $"&amp;I34&amp;" WITH ACTUAL SPEND:$ "&amp;H34,""),"")</f>
        <v/>
      </c>
      <c r="O34" s="28"/>
      <c r="P34" s="54">
        <f t="shared" si="2"/>
        <v>0</v>
      </c>
      <c r="Q34" s="53">
        <f t="shared" si="3"/>
        <v>0</v>
      </c>
      <c r="R34" s="28"/>
      <c r="S34" s="28"/>
      <c r="T34" s="28"/>
      <c r="U34" s="67">
        <f t="shared" si="4"/>
        <v>0</v>
      </c>
    </row>
    <row r="35" spans="1:21" s="27" customFormat="1" ht="15.75" hidden="1" customHeight="1">
      <c r="A35" s="71">
        <v>11</v>
      </c>
      <c r="B35" s="70">
        <f t="shared" si="5"/>
        <v>42095</v>
      </c>
      <c r="C35" s="69">
        <v>42185</v>
      </c>
      <c r="D35" s="73"/>
      <c r="E35" s="66"/>
      <c r="F35" s="65"/>
      <c r="G35" s="65"/>
      <c r="H35" s="64">
        <f t="shared" si="0"/>
        <v>0</v>
      </c>
      <c r="I35" s="67">
        <f t="shared" si="6"/>
        <v>0</v>
      </c>
      <c r="J35" s="66"/>
      <c r="K35" s="65"/>
      <c r="L35" s="64">
        <f t="shared" si="1"/>
        <v>0</v>
      </c>
      <c r="M35" s="72">
        <f t="shared" si="7"/>
        <v>0</v>
      </c>
      <c r="N35" s="28" t="str">
        <f>IF(H35&gt;0,IF(I35&lt;&gt;H35,"WARNING!! UPDATE: I35 $"&amp;I35&amp;" WITH ACTUAL SPEND:$ "&amp;H35,""),"")</f>
        <v/>
      </c>
      <c r="O35" s="28"/>
      <c r="P35" s="54">
        <f t="shared" si="2"/>
        <v>0</v>
      </c>
      <c r="Q35" s="53">
        <f t="shared" si="3"/>
        <v>0</v>
      </c>
      <c r="R35" s="28"/>
      <c r="S35" s="28"/>
      <c r="T35" s="28"/>
      <c r="U35" s="67">
        <f t="shared" si="4"/>
        <v>0</v>
      </c>
    </row>
    <row r="36" spans="1:21" s="27" customFormat="1" ht="15.75" hidden="1" customHeight="1">
      <c r="A36" s="71">
        <v>12</v>
      </c>
      <c r="B36" s="70">
        <f t="shared" si="5"/>
        <v>42186</v>
      </c>
      <c r="C36" s="69">
        <v>42277</v>
      </c>
      <c r="D36" s="68"/>
      <c r="E36" s="66"/>
      <c r="F36" s="65"/>
      <c r="G36" s="65"/>
      <c r="H36" s="64">
        <f t="shared" si="0"/>
        <v>0</v>
      </c>
      <c r="I36" s="67">
        <f t="shared" si="6"/>
        <v>0</v>
      </c>
      <c r="J36" s="66"/>
      <c r="K36" s="65"/>
      <c r="L36" s="64">
        <f t="shared" si="1"/>
        <v>0</v>
      </c>
      <c r="M36" s="53">
        <f t="shared" si="7"/>
        <v>0</v>
      </c>
      <c r="N36" s="30" t="str">
        <f>IF(H36&gt;0,IF(I36&lt;&gt;H36,"WARNING!! UPDATE: I36 $"&amp;I36&amp;" WITH ACTUAL SPEND:$ "&amp;H36,""),"")</f>
        <v/>
      </c>
      <c r="O36" s="30"/>
      <c r="P36" s="54">
        <f t="shared" si="2"/>
        <v>0</v>
      </c>
      <c r="Q36" s="53">
        <f t="shared" si="3"/>
        <v>0</v>
      </c>
      <c r="R36" s="28"/>
      <c r="S36" s="28"/>
      <c r="T36" s="28"/>
      <c r="U36" s="59">
        <f t="shared" si="4"/>
        <v>0</v>
      </c>
    </row>
    <row r="37" spans="1:21" s="27" customFormat="1" ht="15.75" hidden="1" customHeight="1">
      <c r="A37" s="63">
        <v>13</v>
      </c>
      <c r="B37" s="62">
        <f t="shared" si="5"/>
        <v>42278</v>
      </c>
      <c r="C37" s="61">
        <v>42369</v>
      </c>
      <c r="D37" s="60"/>
      <c r="E37" s="58"/>
      <c r="F37" s="57"/>
      <c r="G37" s="57"/>
      <c r="H37" s="56">
        <f t="shared" si="0"/>
        <v>0</v>
      </c>
      <c r="I37" s="59">
        <f t="shared" si="6"/>
        <v>0</v>
      </c>
      <c r="J37" s="58"/>
      <c r="K37" s="57"/>
      <c r="L37" s="56">
        <f t="shared" si="1"/>
        <v>0</v>
      </c>
      <c r="M37" s="55">
        <f t="shared" si="7"/>
        <v>0</v>
      </c>
      <c r="N37" s="30" t="str">
        <f>IF(H37&gt;0,IF(I37&lt;&gt;H37,"WARNING!! UPDATE: I37 $"&amp;I37&amp;" WITH ACTUAL SPEND:$ "&amp;H37,""),"")</f>
        <v/>
      </c>
      <c r="O37" s="30"/>
      <c r="P37" s="54">
        <f t="shared" si="2"/>
        <v>0</v>
      </c>
      <c r="Q37" s="53">
        <f t="shared" si="3"/>
        <v>0</v>
      </c>
      <c r="R37" s="28"/>
      <c r="S37" s="28"/>
      <c r="T37" s="28"/>
      <c r="U37" s="52">
        <f t="shared" si="4"/>
        <v>0</v>
      </c>
    </row>
    <row r="38" spans="1:21" s="27" customFormat="1" ht="15.75" customHeight="1" thickBot="1">
      <c r="A38" s="28"/>
      <c r="B38" s="51"/>
      <c r="C38" s="50" t="s">
        <v>45</v>
      </c>
      <c r="D38" s="49">
        <f t="shared" ref="D38:M38" si="8">SUM(D25:D37)</f>
        <v>104000</v>
      </c>
      <c r="E38" s="47">
        <f t="shared" si="8"/>
        <v>152482</v>
      </c>
      <c r="F38" s="46">
        <f t="shared" si="8"/>
        <v>0</v>
      </c>
      <c r="G38" s="46">
        <f t="shared" si="8"/>
        <v>0</v>
      </c>
      <c r="H38" s="45">
        <f t="shared" si="8"/>
        <v>152482</v>
      </c>
      <c r="I38" s="48">
        <f t="shared" si="8"/>
        <v>289000</v>
      </c>
      <c r="J38" s="47">
        <f t="shared" si="8"/>
        <v>20000</v>
      </c>
      <c r="K38" s="46">
        <f t="shared" si="8"/>
        <v>82384</v>
      </c>
      <c r="L38" s="45">
        <f t="shared" si="8"/>
        <v>102384</v>
      </c>
      <c r="M38" s="44">
        <f t="shared" si="8"/>
        <v>330412</v>
      </c>
      <c r="N38" s="43"/>
      <c r="O38" s="28"/>
      <c r="P38" s="42">
        <f>SUM(P25:P37)</f>
        <v>289000</v>
      </c>
      <c r="Q38" s="41">
        <f>SUM(Q25:Q37)</f>
        <v>323659</v>
      </c>
      <c r="R38" s="28"/>
      <c r="S38" s="28"/>
      <c r="T38" s="28"/>
      <c r="U38" s="28"/>
    </row>
    <row r="39" spans="1:21" s="27" customFormat="1">
      <c r="A39" s="28"/>
      <c r="B39" s="28"/>
      <c r="C39" s="28"/>
      <c r="D39" s="28"/>
      <c r="E39" s="28"/>
      <c r="F39" s="28"/>
      <c r="G39" s="28"/>
      <c r="H39" s="30" t="s">
        <v>44</v>
      </c>
      <c r="I39" s="40">
        <f>E20</f>
        <v>289000</v>
      </c>
      <c r="J39" s="28"/>
      <c r="K39" s="28"/>
      <c r="L39" s="28"/>
      <c r="M39" s="28"/>
      <c r="N39" s="28"/>
      <c r="O39" s="28"/>
      <c r="P39" s="28"/>
      <c r="Q39" s="28"/>
      <c r="R39" s="28"/>
      <c r="S39" s="28"/>
      <c r="T39" s="28"/>
      <c r="U39" s="28"/>
    </row>
    <row r="40" spans="1:21" s="27" customFormat="1">
      <c r="A40" s="28"/>
      <c r="B40" s="28"/>
      <c r="C40" s="28"/>
      <c r="D40" s="28"/>
      <c r="E40" s="28"/>
      <c r="F40" s="28"/>
      <c r="G40" s="28"/>
      <c r="H40" s="28"/>
      <c r="I40" s="39"/>
      <c r="J40" s="28"/>
      <c r="K40" s="28"/>
      <c r="L40" s="28"/>
      <c r="M40" s="28"/>
      <c r="N40" s="28"/>
      <c r="O40" s="28"/>
      <c r="P40" s="28"/>
      <c r="Q40" s="28"/>
      <c r="R40" s="28"/>
      <c r="S40" s="28"/>
      <c r="T40" s="28"/>
      <c r="U40" s="28"/>
    </row>
    <row r="41" spans="1:21" s="27" customFormat="1" ht="36.75" customHeight="1">
      <c r="A41" s="28"/>
      <c r="B41" s="28"/>
      <c r="C41" s="28"/>
      <c r="D41" s="28"/>
      <c r="E41" s="28"/>
      <c r="F41" s="138" t="str">
        <f>IF(N25&gt;"",N25,IF(N26&gt;"",N26,IF(N27&gt;"",N27,IF(N28&gt;"",N28,IF(N29&gt;"",N29,IF(N30&gt;"",N30,IF(N31&gt;"",N31,IF(N32&gt;"",N32,IF(N33&gt;"",N33,IF(N34&gt;"",N34,IF(N35&gt;"",N35,IF(N36&gt;"",N36,IF(N37&gt;"",N37,IF(I38&lt;&gt;I39,"Your total estimate in cell I38 does not yet equal the Nectar Funds Allocated",""))))))))))))))</f>
        <v/>
      </c>
      <c r="G41" s="139"/>
      <c r="H41" s="139"/>
      <c r="I41" s="139"/>
      <c r="J41" s="139"/>
      <c r="K41" s="139"/>
      <c r="L41" s="140"/>
      <c r="M41" s="28"/>
      <c r="N41" s="28"/>
      <c r="O41" s="28"/>
      <c r="P41" s="28"/>
      <c r="Q41" s="28"/>
      <c r="R41" s="28"/>
      <c r="S41" s="28"/>
      <c r="T41" s="28"/>
      <c r="U41" s="28"/>
    </row>
    <row r="42" spans="1:21" s="27" customFormat="1" ht="14.25" customHeight="1" thickBot="1">
      <c r="A42" s="28"/>
      <c r="B42" s="28"/>
      <c r="C42" s="38" t="s">
        <v>43</v>
      </c>
      <c r="D42" s="37"/>
      <c r="E42" s="28"/>
      <c r="F42" s="36"/>
      <c r="G42" s="36"/>
      <c r="H42" s="36"/>
      <c r="I42" s="36"/>
      <c r="J42" s="36"/>
      <c r="K42" s="36"/>
      <c r="L42" s="36"/>
      <c r="M42" s="28"/>
      <c r="N42" s="28"/>
      <c r="O42" s="28"/>
      <c r="P42" s="28"/>
      <c r="Q42" s="28"/>
      <c r="R42" s="28"/>
      <c r="S42" s="28"/>
      <c r="T42" s="28"/>
      <c r="U42" s="28"/>
    </row>
    <row r="43" spans="1:21" s="27" customFormat="1" ht="54" customHeight="1" thickBot="1">
      <c r="A43" s="28"/>
      <c r="B43" s="28"/>
      <c r="C43" s="135"/>
      <c r="D43" s="136"/>
      <c r="E43" s="136"/>
      <c r="F43" s="136"/>
      <c r="G43" s="136"/>
      <c r="H43" s="136"/>
      <c r="I43" s="136"/>
      <c r="J43" s="136"/>
      <c r="K43" s="136"/>
      <c r="L43" s="136"/>
      <c r="M43" s="137"/>
      <c r="N43" s="28"/>
      <c r="O43" s="28"/>
      <c r="P43" s="28"/>
      <c r="Q43" s="28"/>
      <c r="R43" s="28"/>
      <c r="S43" s="28"/>
      <c r="T43" s="28"/>
      <c r="U43" s="28"/>
    </row>
    <row r="45" spans="1:21" s="27" customFormat="1" ht="15" hidden="1" customHeight="1">
      <c r="A45" s="28"/>
      <c r="B45" s="28"/>
      <c r="C45" s="28"/>
      <c r="D45" s="28"/>
      <c r="E45" s="35">
        <f>C25</f>
        <v>41274</v>
      </c>
      <c r="F45" s="35">
        <f>C26</f>
        <v>41364</v>
      </c>
      <c r="G45" s="35">
        <f>C27</f>
        <v>41455</v>
      </c>
      <c r="H45" s="35">
        <f>C28</f>
        <v>41547</v>
      </c>
      <c r="I45" s="35">
        <f>C29</f>
        <v>41639</v>
      </c>
      <c r="J45" s="35">
        <f>C30</f>
        <v>41729</v>
      </c>
      <c r="K45" s="35">
        <f>C31</f>
        <v>41820</v>
      </c>
      <c r="L45" s="35">
        <f>C32</f>
        <v>41912</v>
      </c>
      <c r="M45" s="35">
        <f>C33</f>
        <v>42004</v>
      </c>
      <c r="N45" s="35">
        <f>C34</f>
        <v>42094</v>
      </c>
      <c r="O45" s="35">
        <f>C35</f>
        <v>42185</v>
      </c>
      <c r="P45" s="35">
        <f>C36</f>
        <v>42277</v>
      </c>
      <c r="Q45" s="35">
        <f>C37</f>
        <v>42369</v>
      </c>
      <c r="R45" s="34" t="s">
        <v>42</v>
      </c>
      <c r="S45" s="28"/>
      <c r="T45" s="28"/>
      <c r="U45" s="28"/>
    </row>
    <row r="46" spans="1:21" s="27" customFormat="1" hidden="1">
      <c r="A46" s="28"/>
      <c r="B46" s="28"/>
      <c r="C46" s="33" t="s">
        <v>41</v>
      </c>
      <c r="D46" s="33"/>
      <c r="E46" s="32">
        <v>208000</v>
      </c>
      <c r="F46" s="32">
        <v>260000</v>
      </c>
      <c r="G46" s="32">
        <v>260000</v>
      </c>
      <c r="H46" s="32">
        <v>289000</v>
      </c>
      <c r="I46" s="32">
        <v>289000</v>
      </c>
      <c r="J46" s="32">
        <v>289000</v>
      </c>
      <c r="K46" s="32">
        <v>289000</v>
      </c>
      <c r="L46" s="32">
        <v>289000</v>
      </c>
      <c r="M46" s="32">
        <v>289000</v>
      </c>
      <c r="N46" s="32">
        <v>289000</v>
      </c>
      <c r="O46" s="32">
        <v>289000</v>
      </c>
      <c r="P46" s="32">
        <v>289000</v>
      </c>
      <c r="Q46" s="32">
        <v>289000</v>
      </c>
      <c r="R46" s="31">
        <f>Q46</f>
        <v>289000</v>
      </c>
      <c r="S46" s="28"/>
      <c r="T46" s="28"/>
      <c r="U46" s="28"/>
    </row>
    <row r="47" spans="1:21" s="27" customFormat="1" hidden="1">
      <c r="A47" s="28"/>
      <c r="B47" s="28"/>
      <c r="C47" s="30" t="s">
        <v>40</v>
      </c>
      <c r="D47" s="30"/>
      <c r="E47" s="29">
        <f>I25</f>
        <v>122279</v>
      </c>
      <c r="F47" s="29">
        <f>I26</f>
        <v>30203</v>
      </c>
      <c r="G47" s="29">
        <f>I27</f>
        <v>60141</v>
      </c>
      <c r="H47" s="29">
        <f>I28</f>
        <v>60825</v>
      </c>
      <c r="I47" s="29">
        <f>I29</f>
        <v>15552</v>
      </c>
      <c r="J47" s="29">
        <f>I30</f>
        <v>0</v>
      </c>
      <c r="K47" s="29">
        <f>I31</f>
        <v>0</v>
      </c>
      <c r="L47" s="29">
        <f>I32</f>
        <v>0</v>
      </c>
      <c r="M47" s="29">
        <f>I33</f>
        <v>0</v>
      </c>
      <c r="N47" s="29">
        <f>I34</f>
        <v>0</v>
      </c>
      <c r="O47" s="29">
        <f>I35</f>
        <v>0</v>
      </c>
      <c r="P47" s="29">
        <f>I36</f>
        <v>0</v>
      </c>
      <c r="Q47" s="29">
        <f>I37</f>
        <v>0</v>
      </c>
      <c r="R47" s="29">
        <f>SUM(E47:Q47)</f>
        <v>289000</v>
      </c>
      <c r="S47" s="28"/>
      <c r="T47" s="28"/>
      <c r="U47" s="28"/>
    </row>
    <row r="48" spans="1:21" s="27" customFormat="1" hidden="1">
      <c r="A48" s="28"/>
      <c r="B48" s="28"/>
      <c r="C48" s="30" t="s">
        <v>39</v>
      </c>
      <c r="D48" s="30"/>
      <c r="E48" s="29">
        <f>E47</f>
        <v>122279</v>
      </c>
      <c r="F48" s="29">
        <f t="shared" ref="F48:Q48" si="9">E48+F47</f>
        <v>152482</v>
      </c>
      <c r="G48" s="29">
        <f t="shared" si="9"/>
        <v>212623</v>
      </c>
      <c r="H48" s="29">
        <f t="shared" si="9"/>
        <v>273448</v>
      </c>
      <c r="I48" s="29">
        <f t="shared" si="9"/>
        <v>289000</v>
      </c>
      <c r="J48" s="29">
        <f t="shared" si="9"/>
        <v>289000</v>
      </c>
      <c r="K48" s="29">
        <f t="shared" si="9"/>
        <v>289000</v>
      </c>
      <c r="L48" s="29">
        <f t="shared" si="9"/>
        <v>289000</v>
      </c>
      <c r="M48" s="29">
        <f t="shared" si="9"/>
        <v>289000</v>
      </c>
      <c r="N48" s="29">
        <f t="shared" si="9"/>
        <v>289000</v>
      </c>
      <c r="O48" s="29">
        <f t="shared" si="9"/>
        <v>289000</v>
      </c>
      <c r="P48" s="29">
        <f t="shared" si="9"/>
        <v>289000</v>
      </c>
      <c r="Q48" s="29">
        <f t="shared" si="9"/>
        <v>289000</v>
      </c>
      <c r="R48" s="29">
        <f>Q48</f>
        <v>289000</v>
      </c>
      <c r="S48" s="28"/>
      <c r="T48" s="28"/>
      <c r="U48" s="28"/>
    </row>
    <row r="49" spans="3:18" s="27" customFormat="1" hidden="1">
      <c r="C49" s="30" t="s">
        <v>38</v>
      </c>
      <c r="D49" s="30"/>
      <c r="E49" s="29">
        <f>H25</f>
        <v>122279</v>
      </c>
      <c r="F49" s="29">
        <f>H26</f>
        <v>30203</v>
      </c>
      <c r="G49" s="29">
        <f>H27</f>
        <v>0</v>
      </c>
      <c r="H49" s="29">
        <f>H28</f>
        <v>0</v>
      </c>
      <c r="I49" s="29">
        <f>H29</f>
        <v>0</v>
      </c>
      <c r="J49" s="29">
        <f>H30</f>
        <v>0</v>
      </c>
      <c r="K49" s="29">
        <f>H31</f>
        <v>0</v>
      </c>
      <c r="L49" s="29">
        <f>H32</f>
        <v>0</v>
      </c>
      <c r="M49" s="29">
        <f>H33</f>
        <v>0</v>
      </c>
      <c r="N49" s="29">
        <f>H34</f>
        <v>0</v>
      </c>
      <c r="O49" s="29">
        <f>H35</f>
        <v>0</v>
      </c>
      <c r="P49" s="29">
        <f>H36</f>
        <v>0</v>
      </c>
      <c r="Q49" s="29">
        <f>H37</f>
        <v>0</v>
      </c>
      <c r="R49" s="29">
        <f>SUM(E49:Q49)</f>
        <v>152482</v>
      </c>
    </row>
    <row r="50" spans="3:18" s="27" customFormat="1" hidden="1">
      <c r="C50" s="30" t="s">
        <v>37</v>
      </c>
      <c r="D50" s="30"/>
      <c r="E50" s="29">
        <f>IF(E45&gt;LastDateReport,NA(),E49)</f>
        <v>122279</v>
      </c>
      <c r="F50" s="29" t="e">
        <f t="shared" ref="F50:Q50" si="10">IF(F45&gt;LastDateReport,NA(),E50+F49)</f>
        <v>#N/A</v>
      </c>
      <c r="G50" s="29" t="e">
        <f t="shared" si="10"/>
        <v>#N/A</v>
      </c>
      <c r="H50" s="29" t="e">
        <f t="shared" si="10"/>
        <v>#N/A</v>
      </c>
      <c r="I50" s="29" t="e">
        <f t="shared" si="10"/>
        <v>#N/A</v>
      </c>
      <c r="J50" s="29" t="e">
        <f t="shared" si="10"/>
        <v>#N/A</v>
      </c>
      <c r="K50" s="29" t="e">
        <f t="shared" si="10"/>
        <v>#N/A</v>
      </c>
      <c r="L50" s="29" t="e">
        <f t="shared" si="10"/>
        <v>#N/A</v>
      </c>
      <c r="M50" s="29" t="e">
        <f t="shared" si="10"/>
        <v>#N/A</v>
      </c>
      <c r="N50" s="29" t="e">
        <f t="shared" si="10"/>
        <v>#N/A</v>
      </c>
      <c r="O50" s="29" t="e">
        <f t="shared" si="10"/>
        <v>#N/A</v>
      </c>
      <c r="P50" s="29" t="e">
        <f t="shared" si="10"/>
        <v>#N/A</v>
      </c>
      <c r="Q50" s="29" t="e">
        <f t="shared" si="10"/>
        <v>#N/A</v>
      </c>
      <c r="R50" s="29">
        <f>H38</f>
        <v>152482</v>
      </c>
    </row>
    <row r="51" spans="3:18" s="27" customFormat="1" ht="15" hidden="1" customHeight="1">
      <c r="C51" s="30" t="s">
        <v>36</v>
      </c>
      <c r="D51" s="30"/>
      <c r="E51" s="29">
        <f>IF(E45&gt;LastDateReport,NA(),D25)</f>
        <v>104000</v>
      </c>
      <c r="F51" s="29" t="e">
        <f>IF(F45&gt;LastDateReport,NA(),$D26+E51)</f>
        <v>#N/A</v>
      </c>
      <c r="G51" s="29" t="e">
        <f>IF(G45&gt;LastDateReport,NA(),D27+F51)</f>
        <v>#N/A</v>
      </c>
      <c r="H51" s="29" t="e">
        <f>IF(H45&gt;LastDateReport,NA(),D28+G51)</f>
        <v>#N/A</v>
      </c>
      <c r="I51" s="29" t="e">
        <f>IF(I45&gt;LastDateReport,NA(),D29+H51)</f>
        <v>#N/A</v>
      </c>
      <c r="J51" s="29" t="e">
        <f>IF(J45&gt;LastDateReport,NA(),D30+I51)</f>
        <v>#N/A</v>
      </c>
      <c r="K51" s="29" t="e">
        <f>IF(K45&gt;LastDateReport,NA(),D31+J51)</f>
        <v>#N/A</v>
      </c>
      <c r="L51" s="29" t="e">
        <f>IF(L45&gt;LastDateReport,NA(),D32+K51)</f>
        <v>#N/A</v>
      </c>
      <c r="M51" s="29" t="e">
        <f>IF(M45&gt;LastDateReport,NA(),D33+L51)</f>
        <v>#N/A</v>
      </c>
      <c r="N51" s="29" t="e">
        <f>IF(N45&gt;LastDateReport,NA(),D34+M51)</f>
        <v>#N/A</v>
      </c>
      <c r="O51" s="29" t="e">
        <f>IF(O45&gt;LastDateReport,NA(),D35+N51)</f>
        <v>#N/A</v>
      </c>
      <c r="P51" s="29" t="e">
        <f>IF(P45&gt;LastDateReport,NA(),D36+O51)</f>
        <v>#N/A</v>
      </c>
      <c r="Q51" s="29" t="e">
        <f>IF(Q45&gt;LastDateReport,NA(),D37+P51)</f>
        <v>#N/A</v>
      </c>
      <c r="R51" s="29">
        <f>D38</f>
        <v>104000</v>
      </c>
    </row>
    <row r="52" spans="3:18" s="27" customFormat="1" hidden="1">
      <c r="C52" s="33" t="s">
        <v>35</v>
      </c>
      <c r="D52" s="33"/>
      <c r="E52" s="32">
        <v>66426</v>
      </c>
      <c r="F52" s="32">
        <v>114892</v>
      </c>
      <c r="G52" s="32">
        <v>323892</v>
      </c>
      <c r="H52" s="32">
        <v>323892</v>
      </c>
      <c r="I52" s="32">
        <v>323892</v>
      </c>
      <c r="J52" s="32">
        <v>323892</v>
      </c>
      <c r="K52" s="32">
        <v>323892</v>
      </c>
      <c r="L52" s="32">
        <v>323892</v>
      </c>
      <c r="M52" s="32">
        <v>323892</v>
      </c>
      <c r="N52" s="32">
        <v>323892</v>
      </c>
      <c r="O52" s="32">
        <v>323892</v>
      </c>
      <c r="P52" s="32">
        <v>323892</v>
      </c>
      <c r="Q52" s="32">
        <v>323892</v>
      </c>
      <c r="R52" s="31">
        <f>Q52</f>
        <v>323892</v>
      </c>
    </row>
    <row r="53" spans="3:18" s="27" customFormat="1" hidden="1">
      <c r="C53" s="30" t="s">
        <v>34</v>
      </c>
      <c r="D53" s="30"/>
      <c r="E53" s="29">
        <f>$M25</f>
        <v>74838</v>
      </c>
      <c r="F53" s="29">
        <f>$M26</f>
        <v>9910</v>
      </c>
      <c r="G53" s="29">
        <f>M$27</f>
        <v>2825</v>
      </c>
      <c r="H53" s="29">
        <f>$M28</f>
        <v>16637</v>
      </c>
      <c r="I53" s="29">
        <f>M29</f>
        <v>4927</v>
      </c>
      <c r="J53" s="29">
        <f>M30</f>
        <v>110637</v>
      </c>
      <c r="K53" s="29">
        <f>M31</f>
        <v>110638</v>
      </c>
      <c r="L53" s="29">
        <f>M32</f>
        <v>0</v>
      </c>
      <c r="M53" s="29">
        <f>M33</f>
        <v>0</v>
      </c>
      <c r="N53" s="29">
        <f>M34</f>
        <v>0</v>
      </c>
      <c r="O53" s="29">
        <f>M35</f>
        <v>0</v>
      </c>
      <c r="P53" s="29">
        <f>M36</f>
        <v>0</v>
      </c>
      <c r="Q53" s="29">
        <f>M37</f>
        <v>0</v>
      </c>
      <c r="R53" s="29">
        <f>SUM(E53:Q53)</f>
        <v>330412</v>
      </c>
    </row>
    <row r="54" spans="3:18" s="27" customFormat="1" hidden="1">
      <c r="C54" s="30" t="s">
        <v>33</v>
      </c>
      <c r="D54" s="30"/>
      <c r="E54" s="29">
        <f>IF(E45&gt;LastDateReport,NA(),E53)</f>
        <v>74838</v>
      </c>
      <c r="F54" s="29">
        <f t="shared" ref="F54:Q54" si="11">E54+F53</f>
        <v>84748</v>
      </c>
      <c r="G54" s="29">
        <f t="shared" si="11"/>
        <v>87573</v>
      </c>
      <c r="H54" s="29">
        <f t="shared" si="11"/>
        <v>104210</v>
      </c>
      <c r="I54" s="29">
        <f t="shared" si="11"/>
        <v>109137</v>
      </c>
      <c r="J54" s="29">
        <f t="shared" si="11"/>
        <v>219774</v>
      </c>
      <c r="K54" s="29">
        <f t="shared" si="11"/>
        <v>330412</v>
      </c>
      <c r="L54" s="29">
        <f t="shared" si="11"/>
        <v>330412</v>
      </c>
      <c r="M54" s="29">
        <f t="shared" si="11"/>
        <v>330412</v>
      </c>
      <c r="N54" s="29">
        <f t="shared" si="11"/>
        <v>330412</v>
      </c>
      <c r="O54" s="29">
        <f t="shared" si="11"/>
        <v>330412</v>
      </c>
      <c r="P54" s="29">
        <f t="shared" si="11"/>
        <v>330412</v>
      </c>
      <c r="Q54" s="29">
        <f t="shared" si="11"/>
        <v>330412</v>
      </c>
      <c r="R54" s="29">
        <f>L38</f>
        <v>102384</v>
      </c>
    </row>
    <row r="55" spans="3:18" s="27" customFormat="1" hidden="1">
      <c r="C55" s="30" t="s">
        <v>32</v>
      </c>
      <c r="D55" s="30"/>
      <c r="E55" s="29">
        <f>L25</f>
        <v>74838</v>
      </c>
      <c r="F55" s="29">
        <f>L26</f>
        <v>9910</v>
      </c>
      <c r="G55" s="29">
        <f>L27</f>
        <v>6000</v>
      </c>
      <c r="H55" s="29">
        <f>L28</f>
        <v>6000</v>
      </c>
      <c r="I55" s="29">
        <f>L29</f>
        <v>5636</v>
      </c>
      <c r="J55" s="29">
        <f>L30</f>
        <v>0</v>
      </c>
      <c r="K55" s="29">
        <f>L31</f>
        <v>0</v>
      </c>
      <c r="L55" s="29">
        <f>L32</f>
        <v>0</v>
      </c>
      <c r="M55" s="29">
        <f>L33</f>
        <v>0</v>
      </c>
      <c r="N55" s="29">
        <f>L34</f>
        <v>0</v>
      </c>
      <c r="O55" s="29">
        <f>L35</f>
        <v>0</v>
      </c>
      <c r="P55" s="29">
        <f>L36</f>
        <v>0</v>
      </c>
      <c r="Q55" s="29">
        <f>L37</f>
        <v>0</v>
      </c>
      <c r="R55" s="29">
        <f>SUM(E55:Q55)</f>
        <v>102384</v>
      </c>
    </row>
    <row r="56" spans="3:18" s="27" customFormat="1" hidden="1">
      <c r="C56" s="30" t="s">
        <v>31</v>
      </c>
      <c r="D56" s="30"/>
      <c r="E56" s="29">
        <f>IF(E45&gt;LastDateReport,NA(),E55)</f>
        <v>74838</v>
      </c>
      <c r="F56" s="29" t="e">
        <f t="shared" ref="F56:Q56" si="12">IF(F45&gt;LastDateReport,NA(),E56+F55)</f>
        <v>#N/A</v>
      </c>
      <c r="G56" s="29" t="e">
        <f t="shared" si="12"/>
        <v>#N/A</v>
      </c>
      <c r="H56" s="29" t="e">
        <f t="shared" si="12"/>
        <v>#N/A</v>
      </c>
      <c r="I56" s="29" t="e">
        <f t="shared" si="12"/>
        <v>#N/A</v>
      </c>
      <c r="J56" s="29" t="e">
        <f t="shared" si="12"/>
        <v>#N/A</v>
      </c>
      <c r="K56" s="29" t="e">
        <f t="shared" si="12"/>
        <v>#N/A</v>
      </c>
      <c r="L56" s="29" t="e">
        <f t="shared" si="12"/>
        <v>#N/A</v>
      </c>
      <c r="M56" s="29" t="e">
        <f t="shared" si="12"/>
        <v>#N/A</v>
      </c>
      <c r="N56" s="29" t="e">
        <f t="shared" si="12"/>
        <v>#N/A</v>
      </c>
      <c r="O56" s="29" t="e">
        <f t="shared" si="12"/>
        <v>#N/A</v>
      </c>
      <c r="P56" s="29" t="e">
        <f t="shared" si="12"/>
        <v>#N/A</v>
      </c>
      <c r="Q56" s="29" t="e">
        <f t="shared" si="12"/>
        <v>#N/A</v>
      </c>
      <c r="R56" s="29">
        <f>L38</f>
        <v>102384</v>
      </c>
    </row>
    <row r="57" spans="3:18" s="27" customFormat="1" hidden="1">
      <c r="C57" s="28"/>
      <c r="D57" s="28"/>
      <c r="E57" s="28"/>
      <c r="F57" s="28"/>
      <c r="G57" s="28"/>
      <c r="H57" s="28"/>
      <c r="I57" s="28"/>
      <c r="J57" s="28"/>
      <c r="K57" s="28"/>
      <c r="L57" s="28"/>
      <c r="M57" s="28"/>
      <c r="N57" s="28"/>
      <c r="O57" s="28"/>
      <c r="P57" s="28"/>
      <c r="Q57" s="28"/>
      <c r="R57" s="28"/>
    </row>
  </sheetData>
  <sheetProtection sheet="1" formatColumns="0" selectLockedCells="1"/>
  <mergeCells count="14">
    <mergeCell ref="E18:H18"/>
    <mergeCell ref="J18:L18"/>
    <mergeCell ref="A23:A24"/>
    <mergeCell ref="B23:C23"/>
    <mergeCell ref="U23:U24"/>
    <mergeCell ref="C43:M43"/>
    <mergeCell ref="F41:L41"/>
    <mergeCell ref="J23:L23"/>
    <mergeCell ref="M23:M24"/>
    <mergeCell ref="Q23:Q24"/>
    <mergeCell ref="D23:D24"/>
    <mergeCell ref="P23:P24"/>
    <mergeCell ref="E23:H23"/>
    <mergeCell ref="I23:I24"/>
  </mergeCells>
  <conditionalFormatting sqref="C1">
    <cfRule type="cellIs" dxfId="165" priority="164" operator="equal">
      <formula>"AMBER"</formula>
    </cfRule>
  </conditionalFormatting>
  <conditionalFormatting sqref="C1">
    <cfRule type="cellIs" dxfId="164" priority="163" operator="equal">
      <formula>"RED"</formula>
    </cfRule>
  </conditionalFormatting>
  <conditionalFormatting sqref="C1">
    <cfRule type="cellIs" dxfId="163" priority="162" operator="equal">
      <formula>"GREEN"</formula>
    </cfRule>
  </conditionalFormatting>
  <conditionalFormatting sqref="C2">
    <cfRule type="cellIs" dxfId="162" priority="161" operator="equal">
      <formula>"AMBER"</formula>
    </cfRule>
  </conditionalFormatting>
  <conditionalFormatting sqref="C2">
    <cfRule type="cellIs" dxfId="161" priority="160" operator="equal">
      <formula>"RED"</formula>
    </cfRule>
  </conditionalFormatting>
  <conditionalFormatting sqref="C2">
    <cfRule type="cellIs" dxfId="160" priority="159" operator="equal">
      <formula>"GREEN"</formula>
    </cfRule>
  </conditionalFormatting>
  <conditionalFormatting sqref="C3">
    <cfRule type="cellIs" dxfId="159" priority="158" operator="equal">
      <formula>"AMBER"</formula>
    </cfRule>
  </conditionalFormatting>
  <conditionalFormatting sqref="C3">
    <cfRule type="cellIs" dxfId="158" priority="157" operator="equal">
      <formula>"RED"</formula>
    </cfRule>
  </conditionalFormatting>
  <conditionalFormatting sqref="C3">
    <cfRule type="cellIs" dxfId="157" priority="156" operator="equal">
      <formula>"GREEN"</formula>
    </cfRule>
  </conditionalFormatting>
  <conditionalFormatting sqref="C4">
    <cfRule type="cellIs" dxfId="156" priority="155" operator="equal">
      <formula>"AMBER"</formula>
    </cfRule>
  </conditionalFormatting>
  <conditionalFormatting sqref="C4">
    <cfRule type="cellIs" dxfId="155" priority="154" operator="equal">
      <formula>"RED"</formula>
    </cfRule>
  </conditionalFormatting>
  <conditionalFormatting sqref="C4">
    <cfRule type="cellIs" dxfId="154" priority="153" operator="equal">
      <formula>"GREEN"</formula>
    </cfRule>
  </conditionalFormatting>
  <conditionalFormatting sqref="C5">
    <cfRule type="cellIs" dxfId="153" priority="152" operator="equal">
      <formula>"AMBER"</formula>
    </cfRule>
  </conditionalFormatting>
  <conditionalFormatting sqref="C5">
    <cfRule type="cellIs" dxfId="152" priority="151" operator="equal">
      <formula>"RED"</formula>
    </cfRule>
  </conditionalFormatting>
  <conditionalFormatting sqref="C5">
    <cfRule type="cellIs" dxfId="151" priority="150" operator="equal">
      <formula>"GREEN"</formula>
    </cfRule>
  </conditionalFormatting>
  <conditionalFormatting sqref="C6">
    <cfRule type="cellIs" dxfId="150" priority="149" operator="equal">
      <formula>"AMBER"</formula>
    </cfRule>
  </conditionalFormatting>
  <conditionalFormatting sqref="C6">
    <cfRule type="cellIs" dxfId="149" priority="148" operator="equal">
      <formula>"RED"</formula>
    </cfRule>
  </conditionalFormatting>
  <conditionalFormatting sqref="C6">
    <cfRule type="cellIs" dxfId="148" priority="147" operator="equal">
      <formula>"GREEN"</formula>
    </cfRule>
  </conditionalFormatting>
  <conditionalFormatting sqref="C7">
    <cfRule type="cellIs" dxfId="147" priority="146" operator="equal">
      <formula>"AMBER"</formula>
    </cfRule>
  </conditionalFormatting>
  <conditionalFormatting sqref="C7">
    <cfRule type="cellIs" dxfId="146" priority="145" operator="equal">
      <formula>"RED"</formula>
    </cfRule>
  </conditionalFormatting>
  <conditionalFormatting sqref="C7">
    <cfRule type="cellIs" dxfId="145" priority="144" operator="equal">
      <formula>"GREEN"</formula>
    </cfRule>
  </conditionalFormatting>
  <conditionalFormatting sqref="C8">
    <cfRule type="cellIs" dxfId="144" priority="143" operator="equal">
      <formula>"AMBER"</formula>
    </cfRule>
  </conditionalFormatting>
  <conditionalFormatting sqref="C8">
    <cfRule type="cellIs" dxfId="143" priority="142" operator="equal">
      <formula>"RED"</formula>
    </cfRule>
  </conditionalFormatting>
  <conditionalFormatting sqref="C8">
    <cfRule type="cellIs" dxfId="142" priority="141" operator="equal">
      <formula>"GREEN"</formula>
    </cfRule>
  </conditionalFormatting>
  <conditionalFormatting sqref="C9">
    <cfRule type="cellIs" dxfId="141" priority="140" operator="equal">
      <formula>"AMBER"</formula>
    </cfRule>
  </conditionalFormatting>
  <conditionalFormatting sqref="C9">
    <cfRule type="cellIs" dxfId="140" priority="139" operator="equal">
      <formula>"RED"</formula>
    </cfRule>
  </conditionalFormatting>
  <conditionalFormatting sqref="C9">
    <cfRule type="cellIs" dxfId="139" priority="138" operator="equal">
      <formula>"GREEN"</formula>
    </cfRule>
  </conditionalFormatting>
  <conditionalFormatting sqref="D1">
    <cfRule type="cellIs" dxfId="138" priority="137" operator="equal">
      <formula>"AMBER"</formula>
    </cfRule>
  </conditionalFormatting>
  <conditionalFormatting sqref="D1">
    <cfRule type="cellIs" dxfId="137" priority="136" operator="equal">
      <formula>"RED"</formula>
    </cfRule>
  </conditionalFormatting>
  <conditionalFormatting sqref="D1">
    <cfRule type="cellIs" dxfId="136" priority="135" operator="equal">
      <formula>"GREEN"</formula>
    </cfRule>
  </conditionalFormatting>
  <conditionalFormatting sqref="D2">
    <cfRule type="cellIs" dxfId="135" priority="134" operator="equal">
      <formula>"AMBER"</formula>
    </cfRule>
  </conditionalFormatting>
  <conditionalFormatting sqref="D2">
    <cfRule type="cellIs" dxfId="134" priority="133" operator="equal">
      <formula>"RED"</formula>
    </cfRule>
  </conditionalFormatting>
  <conditionalFormatting sqref="D2">
    <cfRule type="cellIs" dxfId="133" priority="132" operator="equal">
      <formula>"GREEN"</formula>
    </cfRule>
  </conditionalFormatting>
  <conditionalFormatting sqref="D3">
    <cfRule type="cellIs" dxfId="132" priority="131" operator="equal">
      <formula>"AMBER"</formula>
    </cfRule>
  </conditionalFormatting>
  <conditionalFormatting sqref="D3">
    <cfRule type="cellIs" dxfId="131" priority="130" operator="equal">
      <formula>"RED"</formula>
    </cfRule>
  </conditionalFormatting>
  <conditionalFormatting sqref="D3">
    <cfRule type="cellIs" dxfId="130" priority="129" operator="equal">
      <formula>"GREEN"</formula>
    </cfRule>
  </conditionalFormatting>
  <conditionalFormatting sqref="D4">
    <cfRule type="cellIs" dxfId="129" priority="128" operator="equal">
      <formula>"AMBER"</formula>
    </cfRule>
  </conditionalFormatting>
  <conditionalFormatting sqref="D4">
    <cfRule type="cellIs" dxfId="128" priority="127" operator="equal">
      <formula>"RED"</formula>
    </cfRule>
  </conditionalFormatting>
  <conditionalFormatting sqref="D4">
    <cfRule type="cellIs" dxfId="127" priority="126" operator="equal">
      <formula>"GREEN"</formula>
    </cfRule>
  </conditionalFormatting>
  <conditionalFormatting sqref="D5">
    <cfRule type="cellIs" dxfId="126" priority="125" operator="equal">
      <formula>"AMBER"</formula>
    </cfRule>
  </conditionalFormatting>
  <conditionalFormatting sqref="D5">
    <cfRule type="cellIs" dxfId="125" priority="124" operator="equal">
      <formula>"RED"</formula>
    </cfRule>
  </conditionalFormatting>
  <conditionalFormatting sqref="D5">
    <cfRule type="cellIs" dxfId="124" priority="123" operator="equal">
      <formula>"GREEN"</formula>
    </cfRule>
  </conditionalFormatting>
  <conditionalFormatting sqref="D6">
    <cfRule type="cellIs" dxfId="123" priority="122" operator="equal">
      <formula>"AMBER"</formula>
    </cfRule>
  </conditionalFormatting>
  <conditionalFormatting sqref="D6">
    <cfRule type="cellIs" dxfId="122" priority="121" operator="equal">
      <formula>"RED"</formula>
    </cfRule>
  </conditionalFormatting>
  <conditionalFormatting sqref="D6">
    <cfRule type="cellIs" dxfId="121" priority="120" operator="equal">
      <formula>"GREEN"</formula>
    </cfRule>
  </conditionalFormatting>
  <conditionalFormatting sqref="D7">
    <cfRule type="cellIs" dxfId="120" priority="119" operator="equal">
      <formula>"AMBER"</formula>
    </cfRule>
  </conditionalFormatting>
  <conditionalFormatting sqref="D7">
    <cfRule type="cellIs" dxfId="119" priority="118" operator="equal">
      <formula>"RED"</formula>
    </cfRule>
  </conditionalFormatting>
  <conditionalFormatting sqref="D7">
    <cfRule type="cellIs" dxfId="118" priority="117" operator="equal">
      <formula>"GREEN"</formula>
    </cfRule>
  </conditionalFormatting>
  <conditionalFormatting sqref="D8">
    <cfRule type="cellIs" dxfId="117" priority="116" operator="equal">
      <formula>"AMBER"</formula>
    </cfRule>
  </conditionalFormatting>
  <conditionalFormatting sqref="D8">
    <cfRule type="cellIs" dxfId="116" priority="115" operator="equal">
      <formula>"RED"</formula>
    </cfRule>
  </conditionalFormatting>
  <conditionalFormatting sqref="D8">
    <cfRule type="cellIs" dxfId="115" priority="114" operator="equal">
      <formula>"GREEN"</formula>
    </cfRule>
  </conditionalFormatting>
  <conditionalFormatting sqref="D9">
    <cfRule type="cellIs" dxfId="114" priority="113" operator="equal">
      <formula>"AMBER"</formula>
    </cfRule>
  </conditionalFormatting>
  <conditionalFormatting sqref="D9">
    <cfRule type="cellIs" dxfId="113" priority="112" operator="equal">
      <formula>"RED"</formula>
    </cfRule>
  </conditionalFormatting>
  <conditionalFormatting sqref="D9">
    <cfRule type="cellIs" dxfId="112" priority="111" operator="equal">
      <formula>"GREEN"</formula>
    </cfRule>
  </conditionalFormatting>
  <conditionalFormatting sqref="J15">
    <cfRule type="cellIs" dxfId="111" priority="110" operator="equal">
      <formula>"AMBER"</formula>
    </cfRule>
  </conditionalFormatting>
  <conditionalFormatting sqref="J15">
    <cfRule type="cellIs" dxfId="110" priority="109" operator="equal">
      <formula>"RED"</formula>
    </cfRule>
  </conditionalFormatting>
  <conditionalFormatting sqref="J15">
    <cfRule type="cellIs" dxfId="109" priority="108" operator="equal">
      <formula>"GREEN"</formula>
    </cfRule>
  </conditionalFormatting>
  <conditionalFormatting sqref="M25">
    <cfRule type="expression" dxfId="108" priority="107">
      <formula>M25&lt;&gt;Q25</formula>
    </cfRule>
  </conditionalFormatting>
  <conditionalFormatting sqref="M26">
    <cfRule type="expression" dxfId="107" priority="106">
      <formula>M25&lt;&gt;Q25</formula>
    </cfRule>
  </conditionalFormatting>
  <conditionalFormatting sqref="M27">
    <cfRule type="expression" dxfId="106" priority="105">
      <formula>M25&lt;&gt;Q25</formula>
    </cfRule>
  </conditionalFormatting>
  <conditionalFormatting sqref="M28">
    <cfRule type="expression" dxfId="105" priority="104">
      <formula>M25&lt;&gt;Q25</formula>
    </cfRule>
  </conditionalFormatting>
  <conditionalFormatting sqref="M29">
    <cfRule type="expression" dxfId="104" priority="103">
      <formula>M25&lt;&gt;Q25</formula>
    </cfRule>
  </conditionalFormatting>
  <conditionalFormatting sqref="M30">
    <cfRule type="expression" dxfId="103" priority="102">
      <formula>M25&lt;&gt;Q25</formula>
    </cfRule>
  </conditionalFormatting>
  <conditionalFormatting sqref="M31">
    <cfRule type="expression" dxfId="102" priority="101">
      <formula>M25&lt;&gt;Q25</formula>
    </cfRule>
  </conditionalFormatting>
  <conditionalFormatting sqref="M32">
    <cfRule type="expression" dxfId="101" priority="100">
      <formula>M25&lt;&gt;Q25</formula>
    </cfRule>
  </conditionalFormatting>
  <conditionalFormatting sqref="M33">
    <cfRule type="expression" dxfId="100" priority="99">
      <formula>M25&lt;&gt;Q25</formula>
    </cfRule>
  </conditionalFormatting>
  <conditionalFormatting sqref="M34">
    <cfRule type="expression" dxfId="99" priority="98">
      <formula>M25&lt;&gt;Q25</formula>
    </cfRule>
  </conditionalFormatting>
  <conditionalFormatting sqref="M35">
    <cfRule type="expression" dxfId="98" priority="97">
      <formula>M25&lt;&gt;Q25</formula>
    </cfRule>
  </conditionalFormatting>
  <conditionalFormatting sqref="M36">
    <cfRule type="expression" dxfId="97" priority="96">
      <formula>M25&lt;&gt;Q25</formula>
    </cfRule>
  </conditionalFormatting>
  <conditionalFormatting sqref="M37">
    <cfRule type="expression" dxfId="96" priority="95">
      <formula>M25&lt;&gt;Q25</formula>
    </cfRule>
  </conditionalFormatting>
  <conditionalFormatting sqref="I25">
    <cfRule type="expression" dxfId="95" priority="94">
      <formula>I25&lt;&gt;P25</formula>
    </cfRule>
  </conditionalFormatting>
  <conditionalFormatting sqref="I26">
    <cfRule type="expression" dxfId="94" priority="93">
      <formula>I25&lt;&gt;P25</formula>
    </cfRule>
  </conditionalFormatting>
  <conditionalFormatting sqref="I27">
    <cfRule type="expression" dxfId="93" priority="92">
      <formula>I25&lt;&gt;P25</formula>
    </cfRule>
  </conditionalFormatting>
  <conditionalFormatting sqref="I28">
    <cfRule type="expression" dxfId="92" priority="91">
      <formula>I25&lt;&gt;P25</formula>
    </cfRule>
  </conditionalFormatting>
  <conditionalFormatting sqref="I29">
    <cfRule type="expression" dxfId="91" priority="90">
      <formula>I25&lt;&gt;P25</formula>
    </cfRule>
  </conditionalFormatting>
  <conditionalFormatting sqref="I30">
    <cfRule type="expression" dxfId="90" priority="89">
      <formula>I25&lt;&gt;P25</formula>
    </cfRule>
  </conditionalFormatting>
  <conditionalFormatting sqref="I31">
    <cfRule type="expression" dxfId="89" priority="88">
      <formula>I25&lt;&gt;P25</formula>
    </cfRule>
  </conditionalFormatting>
  <conditionalFormatting sqref="I32">
    <cfRule type="expression" dxfId="88" priority="87">
      <formula>I25&lt;&gt;P25</formula>
    </cfRule>
  </conditionalFormatting>
  <conditionalFormatting sqref="I33">
    <cfRule type="expression" dxfId="87" priority="86">
      <formula>I25&lt;&gt;P25</formula>
    </cfRule>
  </conditionalFormatting>
  <conditionalFormatting sqref="I34">
    <cfRule type="expression" dxfId="86" priority="85">
      <formula>I25&lt;&gt;P25</formula>
    </cfRule>
  </conditionalFormatting>
  <conditionalFormatting sqref="I35">
    <cfRule type="expression" dxfId="85" priority="84">
      <formula>I25&lt;&gt;P25</formula>
    </cfRule>
  </conditionalFormatting>
  <conditionalFormatting sqref="I36">
    <cfRule type="expression" dxfId="84" priority="83">
      <formula>I25&lt;&gt;P25</formula>
    </cfRule>
  </conditionalFormatting>
  <conditionalFormatting sqref="I37">
    <cfRule type="expression" dxfId="83" priority="82">
      <formula>I25&lt;&gt;P25</formula>
    </cfRule>
  </conditionalFormatting>
  <conditionalFormatting sqref="I38">
    <cfRule type="expression" dxfId="82" priority="81">
      <formula>$I$38=$I$39</formula>
    </cfRule>
  </conditionalFormatting>
  <conditionalFormatting sqref="I20">
    <cfRule type="cellIs" dxfId="81" priority="80" operator="lessThan">
      <formula>1</formula>
    </cfRule>
  </conditionalFormatting>
  <conditionalFormatting sqref="M38">
    <cfRule type="expression" dxfId="80" priority="79">
      <formula>$M$38&gt;($J$20-1)</formula>
    </cfRule>
  </conditionalFormatting>
  <conditionalFormatting sqref="D25">
    <cfRule type="expression" dxfId="79" priority="78">
      <formula>$C25&gt;LastDateReport</formula>
    </cfRule>
  </conditionalFormatting>
  <conditionalFormatting sqref="D26">
    <cfRule type="expression" dxfId="78" priority="77">
      <formula>$C25&gt;LastDateReport</formula>
    </cfRule>
  </conditionalFormatting>
  <conditionalFormatting sqref="D27">
    <cfRule type="expression" dxfId="77" priority="76">
      <formula>$C25&gt;LastDateReport</formula>
    </cfRule>
  </conditionalFormatting>
  <conditionalFormatting sqref="D28">
    <cfRule type="expression" dxfId="76" priority="75">
      <formula>$C25&gt;LastDateReport</formula>
    </cfRule>
  </conditionalFormatting>
  <conditionalFormatting sqref="D29">
    <cfRule type="expression" dxfId="75" priority="74">
      <formula>$C25&gt;LastDateReport</formula>
    </cfRule>
  </conditionalFormatting>
  <conditionalFormatting sqref="D30">
    <cfRule type="expression" dxfId="74" priority="73">
      <formula>$C25&gt;LastDateReport</formula>
    </cfRule>
  </conditionalFormatting>
  <conditionalFormatting sqref="D31">
    <cfRule type="expression" dxfId="73" priority="72">
      <formula>$C25&gt;LastDateReport</formula>
    </cfRule>
  </conditionalFormatting>
  <conditionalFormatting sqref="D32">
    <cfRule type="expression" dxfId="72" priority="71">
      <formula>$C25&gt;LastDateReport</formula>
    </cfRule>
  </conditionalFormatting>
  <conditionalFormatting sqref="D33">
    <cfRule type="expression" dxfId="71" priority="70">
      <formula>$C25&gt;LastDateReport</formula>
    </cfRule>
  </conditionalFormatting>
  <conditionalFormatting sqref="D34">
    <cfRule type="expression" dxfId="70" priority="69">
      <formula>$C25&gt;LastDateReport</formula>
    </cfRule>
  </conditionalFormatting>
  <conditionalFormatting sqref="D35">
    <cfRule type="expression" dxfId="69" priority="68">
      <formula>$C25&gt;LastDateReport</formula>
    </cfRule>
  </conditionalFormatting>
  <conditionalFormatting sqref="D36">
    <cfRule type="expression" dxfId="68" priority="67">
      <formula>$C25&gt;LastDateReport</formula>
    </cfRule>
  </conditionalFormatting>
  <conditionalFormatting sqref="D37">
    <cfRule type="expression" dxfId="67" priority="66">
      <formula>$C25&gt;LastDateReport</formula>
    </cfRule>
  </conditionalFormatting>
  <conditionalFormatting sqref="E25">
    <cfRule type="expression" dxfId="66" priority="65">
      <formula>$C25&gt;LastDateReport</formula>
    </cfRule>
  </conditionalFormatting>
  <conditionalFormatting sqref="E26">
    <cfRule type="expression" dxfId="65" priority="64">
      <formula>$C25&gt;LastDateReport</formula>
    </cfRule>
  </conditionalFormatting>
  <conditionalFormatting sqref="E27">
    <cfRule type="expression" dxfId="64" priority="63">
      <formula>$C25&gt;LastDateReport</formula>
    </cfRule>
  </conditionalFormatting>
  <conditionalFormatting sqref="E28">
    <cfRule type="expression" dxfId="63" priority="62">
      <formula>$C25&gt;LastDateReport</formula>
    </cfRule>
  </conditionalFormatting>
  <conditionalFormatting sqref="E29">
    <cfRule type="expression" dxfId="62" priority="61">
      <formula>$C25&gt;LastDateReport</formula>
    </cfRule>
  </conditionalFormatting>
  <conditionalFormatting sqref="E30">
    <cfRule type="expression" dxfId="61" priority="60">
      <formula>$C25&gt;LastDateReport</formula>
    </cfRule>
  </conditionalFormatting>
  <conditionalFormatting sqref="E31">
    <cfRule type="expression" dxfId="60" priority="59">
      <formula>$C25&gt;LastDateReport</formula>
    </cfRule>
  </conditionalFormatting>
  <conditionalFormatting sqref="E32">
    <cfRule type="expression" dxfId="59" priority="58">
      <formula>$C25&gt;LastDateReport</formula>
    </cfRule>
  </conditionalFormatting>
  <conditionalFormatting sqref="E33">
    <cfRule type="expression" dxfId="58" priority="57">
      <formula>$C25&gt;LastDateReport</formula>
    </cfRule>
  </conditionalFormatting>
  <conditionalFormatting sqref="E34">
    <cfRule type="expression" dxfId="57" priority="56">
      <formula>$C25&gt;LastDateReport</formula>
    </cfRule>
  </conditionalFormatting>
  <conditionalFormatting sqref="E35">
    <cfRule type="expression" dxfId="56" priority="55">
      <formula>$C25&gt;LastDateReport</formula>
    </cfRule>
  </conditionalFormatting>
  <conditionalFormatting sqref="E36">
    <cfRule type="expression" dxfId="55" priority="54">
      <formula>$C25&gt;LastDateReport</formula>
    </cfRule>
  </conditionalFormatting>
  <conditionalFormatting sqref="E37">
    <cfRule type="expression" dxfId="54" priority="53">
      <formula>$C25&gt;LastDateReport</formula>
    </cfRule>
  </conditionalFormatting>
  <conditionalFormatting sqref="F25">
    <cfRule type="expression" dxfId="53" priority="52">
      <formula>$C25&gt;LastDateReport</formula>
    </cfRule>
  </conditionalFormatting>
  <conditionalFormatting sqref="F26">
    <cfRule type="expression" dxfId="52" priority="51">
      <formula>$C25&gt;LastDateReport</formula>
    </cfRule>
  </conditionalFormatting>
  <conditionalFormatting sqref="F27">
    <cfRule type="expression" dxfId="51" priority="50">
      <formula>$C25&gt;LastDateReport</formula>
    </cfRule>
  </conditionalFormatting>
  <conditionalFormatting sqref="F28">
    <cfRule type="expression" dxfId="50" priority="49">
      <formula>$C25&gt;LastDateReport</formula>
    </cfRule>
  </conditionalFormatting>
  <conditionalFormatting sqref="F29">
    <cfRule type="expression" dxfId="49" priority="48">
      <formula>$C25&gt;LastDateReport</formula>
    </cfRule>
  </conditionalFormatting>
  <conditionalFormatting sqref="F30">
    <cfRule type="expression" dxfId="48" priority="47">
      <formula>$C25&gt;LastDateReport</formula>
    </cfRule>
  </conditionalFormatting>
  <conditionalFormatting sqref="F31">
    <cfRule type="expression" dxfId="47" priority="46">
      <formula>$C25&gt;LastDateReport</formula>
    </cfRule>
  </conditionalFormatting>
  <conditionalFormatting sqref="F32">
    <cfRule type="expression" dxfId="46" priority="45">
      <formula>$C25&gt;LastDateReport</formula>
    </cfRule>
  </conditionalFormatting>
  <conditionalFormatting sqref="F33">
    <cfRule type="expression" dxfId="45" priority="44">
      <formula>$C25&gt;LastDateReport</formula>
    </cfRule>
  </conditionalFormatting>
  <conditionalFormatting sqref="F34">
    <cfRule type="expression" dxfId="44" priority="43">
      <formula>$C25&gt;LastDateReport</formula>
    </cfRule>
  </conditionalFormatting>
  <conditionalFormatting sqref="F35">
    <cfRule type="expression" dxfId="43" priority="42">
      <formula>$C25&gt;LastDateReport</formula>
    </cfRule>
  </conditionalFormatting>
  <conditionalFormatting sqref="F36">
    <cfRule type="expression" dxfId="42" priority="41">
      <formula>$C25&gt;LastDateReport</formula>
    </cfRule>
  </conditionalFormatting>
  <conditionalFormatting sqref="F37">
    <cfRule type="expression" dxfId="41" priority="40">
      <formula>$C25&gt;LastDateReport</formula>
    </cfRule>
  </conditionalFormatting>
  <conditionalFormatting sqref="G25">
    <cfRule type="expression" dxfId="40" priority="39">
      <formula>$C25&gt;LastDateReport</formula>
    </cfRule>
  </conditionalFormatting>
  <conditionalFormatting sqref="G26">
    <cfRule type="expression" dxfId="39" priority="38">
      <formula>$C25&gt;LastDateReport</formula>
    </cfRule>
  </conditionalFormatting>
  <conditionalFormatting sqref="G27">
    <cfRule type="expression" dxfId="38" priority="37">
      <formula>$C25&gt;LastDateReport</formula>
    </cfRule>
  </conditionalFormatting>
  <conditionalFormatting sqref="G28">
    <cfRule type="expression" dxfId="37" priority="36">
      <formula>$C25&gt;LastDateReport</formula>
    </cfRule>
  </conditionalFormatting>
  <conditionalFormatting sqref="G29">
    <cfRule type="expression" dxfId="36" priority="35">
      <formula>$C25&gt;LastDateReport</formula>
    </cfRule>
  </conditionalFormatting>
  <conditionalFormatting sqref="G30">
    <cfRule type="expression" dxfId="35" priority="34">
      <formula>$C25&gt;LastDateReport</formula>
    </cfRule>
  </conditionalFormatting>
  <conditionalFormatting sqref="G31">
    <cfRule type="expression" dxfId="34" priority="33">
      <formula>$C25&gt;LastDateReport</formula>
    </cfRule>
  </conditionalFormatting>
  <conditionalFormatting sqref="G32">
    <cfRule type="expression" dxfId="33" priority="32">
      <formula>$C25&gt;LastDateReport</formula>
    </cfRule>
  </conditionalFormatting>
  <conditionalFormatting sqref="G33">
    <cfRule type="expression" dxfId="32" priority="31">
      <formula>$C25&gt;LastDateReport</formula>
    </cfRule>
  </conditionalFormatting>
  <conditionalFormatting sqref="G34">
    <cfRule type="expression" dxfId="31" priority="30">
      <formula>$C25&gt;LastDateReport</formula>
    </cfRule>
  </conditionalFormatting>
  <conditionalFormatting sqref="G35">
    <cfRule type="expression" dxfId="30" priority="29">
      <formula>$C25&gt;LastDateReport</formula>
    </cfRule>
  </conditionalFormatting>
  <conditionalFormatting sqref="G36">
    <cfRule type="expression" dxfId="29" priority="28">
      <formula>$C25&gt;LastDateReport</formula>
    </cfRule>
  </conditionalFormatting>
  <conditionalFormatting sqref="G37">
    <cfRule type="expression" dxfId="28" priority="27">
      <formula>$C25&gt;LastDateReport</formula>
    </cfRule>
  </conditionalFormatting>
  <conditionalFormatting sqref="J25">
    <cfRule type="expression" dxfId="27" priority="26">
      <formula>$C25&gt;LastDateReport</formula>
    </cfRule>
  </conditionalFormatting>
  <conditionalFormatting sqref="J26">
    <cfRule type="expression" dxfId="26" priority="25">
      <formula>$C25&gt;LastDateReport</formula>
    </cfRule>
  </conditionalFormatting>
  <conditionalFormatting sqref="J27">
    <cfRule type="expression" dxfId="25" priority="24">
      <formula>$C25&gt;LastDateReport</formula>
    </cfRule>
  </conditionalFormatting>
  <conditionalFormatting sqref="J28">
    <cfRule type="expression" dxfId="24" priority="23">
      <formula>$C25&gt;LastDateReport</formula>
    </cfRule>
  </conditionalFormatting>
  <conditionalFormatting sqref="J29">
    <cfRule type="expression" dxfId="23" priority="22">
      <formula>$C25&gt;LastDateReport</formula>
    </cfRule>
  </conditionalFormatting>
  <conditionalFormatting sqref="J30">
    <cfRule type="expression" dxfId="22" priority="21">
      <formula>$C25&gt;LastDateReport</formula>
    </cfRule>
  </conditionalFormatting>
  <conditionalFormatting sqref="J31">
    <cfRule type="expression" dxfId="21" priority="20">
      <formula>$C25&gt;LastDateReport</formula>
    </cfRule>
  </conditionalFormatting>
  <conditionalFormatting sqref="J32">
    <cfRule type="expression" dxfId="20" priority="19">
      <formula>$C25&gt;LastDateReport</formula>
    </cfRule>
  </conditionalFormatting>
  <conditionalFormatting sqref="J33">
    <cfRule type="expression" dxfId="19" priority="18">
      <formula>$C25&gt;LastDateReport</formula>
    </cfRule>
  </conditionalFormatting>
  <conditionalFormatting sqref="J34">
    <cfRule type="expression" dxfId="18" priority="17">
      <formula>$C25&gt;LastDateReport</formula>
    </cfRule>
  </conditionalFormatting>
  <conditionalFormatting sqref="J35">
    <cfRule type="expression" dxfId="17" priority="16">
      <formula>$C25&gt;LastDateReport</formula>
    </cfRule>
  </conditionalFormatting>
  <conditionalFormatting sqref="J36">
    <cfRule type="expression" dxfId="16" priority="15">
      <formula>$C25&gt;LastDateReport</formula>
    </cfRule>
  </conditionalFormatting>
  <conditionalFormatting sqref="J37">
    <cfRule type="expression" dxfId="15" priority="14">
      <formula>$C25&gt;LastDateReport</formula>
    </cfRule>
  </conditionalFormatting>
  <conditionalFormatting sqref="K25">
    <cfRule type="expression" dxfId="14" priority="13">
      <formula>$C25&gt;LastDateReport</formula>
    </cfRule>
  </conditionalFormatting>
  <conditionalFormatting sqref="K26">
    <cfRule type="expression" dxfId="13" priority="12">
      <formula>$C25&gt;LastDateReport</formula>
    </cfRule>
  </conditionalFormatting>
  <conditionalFormatting sqref="K27">
    <cfRule type="expression" dxfId="12" priority="11">
      <formula>$C25&gt;LastDateReport</formula>
    </cfRule>
  </conditionalFormatting>
  <conditionalFormatting sqref="K28">
    <cfRule type="expression" dxfId="11" priority="10">
      <formula>$C25&gt;LastDateReport</formula>
    </cfRule>
  </conditionalFormatting>
  <conditionalFormatting sqref="K29">
    <cfRule type="expression" dxfId="10" priority="9">
      <formula>$C25&gt;LastDateReport</formula>
    </cfRule>
  </conditionalFormatting>
  <conditionalFormatting sqref="K30">
    <cfRule type="expression" dxfId="9" priority="8">
      <formula>$C25&gt;LastDateReport</formula>
    </cfRule>
  </conditionalFormatting>
  <conditionalFormatting sqref="K31">
    <cfRule type="expression" dxfId="8" priority="7">
      <formula>$C25&gt;LastDateReport</formula>
    </cfRule>
  </conditionalFormatting>
  <conditionalFormatting sqref="K32">
    <cfRule type="expression" dxfId="7" priority="6">
      <formula>$C25&gt;LastDateReport</formula>
    </cfRule>
  </conditionalFormatting>
  <conditionalFormatting sqref="K33">
    <cfRule type="expression" dxfId="6" priority="5">
      <formula>$C25&gt;LastDateReport</formula>
    </cfRule>
  </conditionalFormatting>
  <conditionalFormatting sqref="K34">
    <cfRule type="expression" dxfId="5" priority="4">
      <formula>$C25&gt;LastDateReport</formula>
    </cfRule>
  </conditionalFormatting>
  <conditionalFormatting sqref="K35">
    <cfRule type="expression" dxfId="4" priority="3">
      <formula>$C25&gt;LastDateReport</formula>
    </cfRule>
  </conditionalFormatting>
  <conditionalFormatting sqref="K36">
    <cfRule type="expression" dxfId="3" priority="2">
      <formula>$C25&gt;LastDateReport</formula>
    </cfRule>
  </conditionalFormatting>
  <conditionalFormatting sqref="K37">
    <cfRule type="expression" dxfId="2" priority="1">
      <formula>$C25&gt;LastDateReport</formula>
    </cfRule>
  </conditionalFormatting>
  <dataValidations disablePrompts="1" count="4">
    <dataValidation type="decimal" allowBlank="1" showErrorMessage="1" errorTitle="AMOUNT ERROR" error="The amount entered must be positive (no negative numbers), and must not be greater than the total EIF allocated to the project." sqref="E25:G37">
      <formula1>0</formula1>
      <formula2>TOTALEIF</formula2>
    </dataValidation>
    <dataValidation type="decimal" allowBlank="1" showInputMessage="1" showErrorMessage="1" errorTitle="AMOUNT ERROR" error="Amount entered must be positive (no negative numbers.) No single amount can be greater than the Total EIF allocated to the project." promptTitle="Show ACTUAL where available" prompt="If the cell is red, please update it with the actual value for period shown in the cell to the left._x000a_HINT: You can move this box so it does not obscure the column, or click away from the column to hide it." sqref="I25:I37">
      <formula1>0</formula1>
      <formula2>TOTALEIF</formula2>
    </dataValidation>
    <dataValidation allowBlank="1" showInputMessage="1" showErrorMessage="1" promptTitle="TOTAL to equal EIF Total" prompt="The Project Manager is to modify the projected cash flow as appropriate, ensuring ACTUAL spend is listed where available, and best estimate is used for future spend. The total should equal the EIF allocated. The total will be red if it is not equal to EIF" sqref="I38"/>
    <dataValidation type="decimal" allowBlank="1" showErrorMessage="1" errorTitle="AMOUNT ERROR" error="Amount entered must be positive (no negative numbers.) No single amount can be greater than the Total EIF allocated to the project." sqref="J25:K37">
      <formula1>0</formula1>
      <formula2>TOTALEIF</formula2>
    </dataValidation>
  </dataValidations>
  <hyperlinks>
    <hyperlink ref="B1" location="'1.Header'!A1" display="1.Header"/>
    <hyperlink ref="B2" location="'2.Milestones'!MILESTONESTART" display="2.Deliverables"/>
    <hyperlink ref="B3" location="'2.Milestones'!ISSUESTART" display="3.Issues"/>
    <hyperlink ref="B4" location="'4.Risks'!RISKSTART" display="4.Risks"/>
    <hyperlink ref="B5" location="'5.Changes'!CHANGESTART" display="5.Changes"/>
    <hyperlink ref="B6" location="'6.Dependencies'!DEPENDENCYSTART" display="6.Dependencies"/>
    <hyperlink ref="B7" location="'7.Measures'!MEASURESTART" display="7.Measures"/>
    <hyperlink ref="B8" location="'8.Communications'!COMMUNICATIONSTART" display="8.Communications"/>
    <hyperlink ref="B9" location="'9.Finance'!FINANCESTART" display="9.Finance"/>
  </hyperlinks>
  <pageMargins left="0.23622047244094491" right="0.23622047244094491" top="0.74803149606299213" bottom="0.74803149606299213" header="0.31496062992125978" footer="0.31496062992125978"/>
  <pageSetup paperSize="9" scale="70" orientation="landscape"/>
  <headerFooter>
    <oddHeader>&amp;F</oddHeader>
  </headerFooter>
  <legacy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9"/>
  <sheetViews>
    <sheetView tabSelected="1" zoomScale="88" zoomScaleNormal="88" zoomScalePageLayoutView="88" workbookViewId="0">
      <selection activeCell="T21" sqref="T21"/>
    </sheetView>
  </sheetViews>
  <sheetFormatPr baseColWidth="10" defaultColWidth="8.83203125" defaultRowHeight="14" x14ac:dyDescent="0"/>
  <cols>
    <col min="1" max="1" width="36.83203125" customWidth="1"/>
    <col min="2" max="2" width="0.6640625" customWidth="1"/>
    <col min="3" max="3" width="9.5" bestFit="1" customWidth="1"/>
    <col min="4" max="4" width="9.5" customWidth="1"/>
    <col min="5" max="5" width="10.1640625" customWidth="1"/>
    <col min="6" max="6" width="9.33203125" bestFit="1" customWidth="1"/>
    <col min="7" max="7" width="9.5" customWidth="1"/>
    <col min="8" max="8" width="11.1640625" customWidth="1"/>
    <col min="9" max="9" width="11" customWidth="1"/>
    <col min="10" max="10" width="10" customWidth="1"/>
    <col min="11" max="11" width="12.1640625" customWidth="1"/>
    <col min="12" max="12" width="12" customWidth="1"/>
    <col min="13" max="14" width="9.5" bestFit="1" customWidth="1"/>
    <col min="15" max="15" width="12.33203125" customWidth="1"/>
    <col min="16" max="17" width="9.5" bestFit="1" customWidth="1"/>
    <col min="18" max="18" width="11.1640625" customWidth="1"/>
    <col min="19" max="19" width="9.5" bestFit="1" customWidth="1"/>
    <col min="20" max="20" width="9.5" customWidth="1"/>
  </cols>
  <sheetData>
    <row r="1" spans="1:20" ht="49" customHeight="1" thickBot="1">
      <c r="A1" s="1" t="s">
        <v>0</v>
      </c>
      <c r="B1" s="2" t="s">
        <v>1</v>
      </c>
      <c r="C1" s="2" t="s">
        <v>2</v>
      </c>
      <c r="D1" s="2" t="s">
        <v>3</v>
      </c>
      <c r="E1" s="2" t="s">
        <v>4</v>
      </c>
      <c r="G1" s="165" t="s">
        <v>25</v>
      </c>
      <c r="H1" s="165"/>
      <c r="I1" s="22"/>
      <c r="J1" s="165" t="s">
        <v>26</v>
      </c>
      <c r="K1" s="165"/>
      <c r="L1" s="22"/>
      <c r="M1" s="165" t="s">
        <v>96</v>
      </c>
      <c r="N1" s="165"/>
      <c r="O1" s="22"/>
      <c r="P1" s="165" t="s">
        <v>97</v>
      </c>
      <c r="Q1" s="165"/>
      <c r="R1" s="22"/>
      <c r="S1" s="165" t="s">
        <v>98</v>
      </c>
      <c r="T1" s="165"/>
    </row>
    <row r="2" spans="1:20" ht="15" thickBot="1">
      <c r="A2" s="3" t="s">
        <v>5</v>
      </c>
      <c r="B2" s="4"/>
      <c r="C2" s="6">
        <v>40939</v>
      </c>
      <c r="D2" s="7"/>
      <c r="E2" s="7"/>
      <c r="F2" s="5">
        <v>41244</v>
      </c>
      <c r="I2" s="5">
        <v>41364</v>
      </c>
      <c r="L2" s="5">
        <v>41455</v>
      </c>
      <c r="O2" s="5">
        <v>41547</v>
      </c>
      <c r="R2" s="5">
        <v>41639</v>
      </c>
    </row>
    <row r="3" spans="1:20" ht="15" thickBot="1">
      <c r="A3" s="8" t="s">
        <v>6</v>
      </c>
      <c r="B3" s="9"/>
      <c r="C3" s="10">
        <v>40999</v>
      </c>
      <c r="D3" s="12">
        <v>55000</v>
      </c>
      <c r="E3" s="13"/>
      <c r="G3" t="s">
        <v>28</v>
      </c>
      <c r="H3" t="s">
        <v>29</v>
      </c>
      <c r="J3" t="s">
        <v>28</v>
      </c>
      <c r="K3" t="s">
        <v>29</v>
      </c>
      <c r="M3" t="s">
        <v>28</v>
      </c>
      <c r="N3" t="s">
        <v>29</v>
      </c>
      <c r="P3" t="s">
        <v>28</v>
      </c>
      <c r="Q3" t="s">
        <v>29</v>
      </c>
      <c r="S3" t="s">
        <v>28</v>
      </c>
      <c r="T3" t="s">
        <v>29</v>
      </c>
    </row>
    <row r="4" spans="1:20" ht="15" thickBot="1">
      <c r="A4" s="3" t="s">
        <v>7</v>
      </c>
      <c r="B4" s="6">
        <v>40969</v>
      </c>
      <c r="C4" s="6">
        <v>40983</v>
      </c>
      <c r="D4" s="14">
        <v>6944</v>
      </c>
      <c r="E4" s="14">
        <v>406</v>
      </c>
      <c r="F4" s="21">
        <v>1</v>
      </c>
      <c r="G4" s="11">
        <f>$F4*D4</f>
        <v>6944</v>
      </c>
      <c r="H4" s="11">
        <f>$F4*E4</f>
        <v>406</v>
      </c>
      <c r="I4" s="21">
        <v>1</v>
      </c>
      <c r="J4" s="11">
        <f>($I4-$F4)*D4</f>
        <v>0</v>
      </c>
      <c r="K4" s="11">
        <f>($I4-$F4)*E4</f>
        <v>0</v>
      </c>
      <c r="L4" s="21">
        <v>1</v>
      </c>
      <c r="M4" s="11">
        <f>($L4-$I4)*D4</f>
        <v>0</v>
      </c>
      <c r="N4" s="11">
        <f t="shared" ref="N4:N12" si="0">($L4-$I4)*E4</f>
        <v>0</v>
      </c>
      <c r="O4" s="21">
        <v>1</v>
      </c>
      <c r="P4" s="11">
        <f>($O4-$L4)*D4</f>
        <v>0</v>
      </c>
      <c r="Q4" s="11">
        <f>($O4-$L4)*E4</f>
        <v>0</v>
      </c>
      <c r="R4" s="21">
        <v>1</v>
      </c>
      <c r="S4" s="11">
        <f>($R4-$O4)*D4</f>
        <v>0</v>
      </c>
      <c r="T4" s="11">
        <f>($R4-$O4)*E4</f>
        <v>0</v>
      </c>
    </row>
    <row r="5" spans="1:20" ht="15" thickBot="1">
      <c r="A5" s="8" t="s">
        <v>8</v>
      </c>
      <c r="B5" s="9"/>
      <c r="C5" s="10">
        <v>40999</v>
      </c>
      <c r="D5" s="12">
        <v>55000</v>
      </c>
      <c r="E5" s="13"/>
      <c r="G5" s="11"/>
      <c r="H5" s="11"/>
      <c r="J5" s="11"/>
      <c r="K5" s="11"/>
      <c r="M5" s="11">
        <f t="shared" ref="M5:M15" si="1">($L5-$I5)*D5</f>
        <v>0</v>
      </c>
      <c r="N5" s="11">
        <f t="shared" si="0"/>
        <v>0</v>
      </c>
      <c r="P5" s="11">
        <f t="shared" ref="P5:P15" si="2">($O5-$L5)*D5</f>
        <v>0</v>
      </c>
      <c r="Q5" s="11">
        <f t="shared" ref="Q5:Q14" si="3">($O5-$L5)*E5</f>
        <v>0</v>
      </c>
      <c r="S5" s="11">
        <f t="shared" ref="S5:S15" si="4">($R5-$O5)*D5</f>
        <v>0</v>
      </c>
      <c r="T5" s="11">
        <f t="shared" ref="T5:T15" si="5">($R5-$O5)*E5</f>
        <v>0</v>
      </c>
    </row>
    <row r="6" spans="1:20" ht="15" thickBot="1">
      <c r="A6" s="3" t="s">
        <v>9</v>
      </c>
      <c r="B6" s="6">
        <v>40983</v>
      </c>
      <c r="C6" s="6">
        <v>41029</v>
      </c>
      <c r="D6" s="14">
        <v>20833</v>
      </c>
      <c r="E6" s="14">
        <v>3331</v>
      </c>
      <c r="F6" s="21">
        <v>1</v>
      </c>
      <c r="G6" s="11">
        <f t="shared" ref="G6:G15" si="6">$F6*D6</f>
        <v>20833</v>
      </c>
      <c r="H6" s="11">
        <f t="shared" ref="H6:H15" si="7">$F6*E6</f>
        <v>3331</v>
      </c>
      <c r="I6" s="21">
        <v>1</v>
      </c>
      <c r="J6" s="11">
        <f t="shared" ref="J6:J15" si="8">($I6-$F6)*D6</f>
        <v>0</v>
      </c>
      <c r="K6" s="11">
        <f t="shared" ref="K6:K15" si="9">($I6-$F6)*E6</f>
        <v>0</v>
      </c>
      <c r="L6" s="21">
        <v>1</v>
      </c>
      <c r="M6" s="11">
        <f t="shared" si="1"/>
        <v>0</v>
      </c>
      <c r="N6" s="11">
        <f t="shared" si="0"/>
        <v>0</v>
      </c>
      <c r="O6" s="21">
        <v>1</v>
      </c>
      <c r="P6" s="11">
        <f t="shared" si="2"/>
        <v>0</v>
      </c>
      <c r="Q6" s="11">
        <f t="shared" si="3"/>
        <v>0</v>
      </c>
      <c r="R6" s="21">
        <v>1</v>
      </c>
      <c r="S6" s="11">
        <f t="shared" si="4"/>
        <v>0</v>
      </c>
      <c r="T6" s="11">
        <f t="shared" si="5"/>
        <v>0</v>
      </c>
    </row>
    <row r="7" spans="1:20" ht="15" thickBot="1">
      <c r="A7" s="3" t="s">
        <v>10</v>
      </c>
      <c r="B7" s="6">
        <v>40969</v>
      </c>
      <c r="C7" s="6">
        <v>41090</v>
      </c>
      <c r="D7" s="14">
        <v>14605</v>
      </c>
      <c r="E7" s="14">
        <v>40163</v>
      </c>
      <c r="F7" s="21">
        <v>1</v>
      </c>
      <c r="G7" s="11">
        <f t="shared" si="6"/>
        <v>14605</v>
      </c>
      <c r="H7" s="11">
        <f t="shared" si="7"/>
        <v>40163</v>
      </c>
      <c r="I7" s="21">
        <v>1</v>
      </c>
      <c r="J7" s="11">
        <f t="shared" si="8"/>
        <v>0</v>
      </c>
      <c r="K7" s="11">
        <f t="shared" si="9"/>
        <v>0</v>
      </c>
      <c r="L7" s="21">
        <v>1</v>
      </c>
      <c r="M7" s="11">
        <f t="shared" si="1"/>
        <v>0</v>
      </c>
      <c r="N7" s="11">
        <f t="shared" si="0"/>
        <v>0</v>
      </c>
      <c r="O7" s="21">
        <v>1</v>
      </c>
      <c r="P7" s="11">
        <f t="shared" si="2"/>
        <v>0</v>
      </c>
      <c r="Q7" s="11">
        <f t="shared" si="3"/>
        <v>0</v>
      </c>
      <c r="R7" s="21">
        <v>1</v>
      </c>
      <c r="S7" s="11">
        <f t="shared" si="4"/>
        <v>0</v>
      </c>
      <c r="T7" s="11">
        <f t="shared" si="5"/>
        <v>0</v>
      </c>
    </row>
    <row r="8" spans="1:20" ht="15" thickBot="1">
      <c r="A8" s="3" t="s">
        <v>11</v>
      </c>
      <c r="B8" s="6">
        <v>40969</v>
      </c>
      <c r="C8" s="6">
        <v>41090</v>
      </c>
      <c r="D8" s="14">
        <v>46911</v>
      </c>
      <c r="E8" s="14">
        <v>9462</v>
      </c>
      <c r="F8" s="21">
        <v>0.75</v>
      </c>
      <c r="G8" s="11">
        <f t="shared" si="6"/>
        <v>35183.25</v>
      </c>
      <c r="H8" s="11">
        <f t="shared" si="7"/>
        <v>7096.5</v>
      </c>
      <c r="I8" s="23">
        <v>1</v>
      </c>
      <c r="J8" s="11">
        <f t="shared" si="8"/>
        <v>11727.75</v>
      </c>
      <c r="K8" s="11">
        <f t="shared" si="9"/>
        <v>2365.5</v>
      </c>
      <c r="L8" s="23">
        <v>1</v>
      </c>
      <c r="M8" s="11">
        <f t="shared" si="1"/>
        <v>0</v>
      </c>
      <c r="N8" s="11">
        <f t="shared" si="0"/>
        <v>0</v>
      </c>
      <c r="O8" s="23">
        <v>1</v>
      </c>
      <c r="P8" s="11">
        <f t="shared" si="2"/>
        <v>0</v>
      </c>
      <c r="Q8" s="11">
        <f t="shared" si="3"/>
        <v>0</v>
      </c>
      <c r="R8" s="23">
        <v>1</v>
      </c>
      <c r="S8" s="11">
        <f t="shared" si="4"/>
        <v>0</v>
      </c>
      <c r="T8" s="11">
        <f t="shared" si="5"/>
        <v>0</v>
      </c>
    </row>
    <row r="9" spans="1:20" ht="15" thickBot="1">
      <c r="A9" s="8" t="s">
        <v>12</v>
      </c>
      <c r="B9" s="9"/>
      <c r="C9" s="10">
        <v>41090</v>
      </c>
      <c r="D9" s="12">
        <v>55000</v>
      </c>
      <c r="E9" s="13"/>
      <c r="G9" s="11"/>
      <c r="H9" s="11"/>
      <c r="J9" s="11"/>
      <c r="K9" s="11"/>
      <c r="M9" s="11">
        <f t="shared" si="1"/>
        <v>0</v>
      </c>
      <c r="N9" s="11">
        <f t="shared" si="0"/>
        <v>0</v>
      </c>
      <c r="P9" s="11">
        <f t="shared" si="2"/>
        <v>0</v>
      </c>
      <c r="Q9" s="11">
        <f t="shared" si="3"/>
        <v>0</v>
      </c>
      <c r="S9" s="11">
        <f t="shared" si="4"/>
        <v>0</v>
      </c>
      <c r="T9" s="11">
        <f t="shared" si="5"/>
        <v>0</v>
      </c>
    </row>
    <row r="10" spans="1:20" ht="15" thickBot="1">
      <c r="A10" s="3" t="s">
        <v>13</v>
      </c>
      <c r="B10" s="6">
        <v>41075</v>
      </c>
      <c r="C10" s="6">
        <v>41136</v>
      </c>
      <c r="D10" s="14">
        <v>26680</v>
      </c>
      <c r="E10" s="14">
        <v>1420</v>
      </c>
      <c r="F10" s="21">
        <v>0.5</v>
      </c>
      <c r="G10" s="11">
        <f t="shared" si="6"/>
        <v>13340</v>
      </c>
      <c r="H10" s="11">
        <f t="shared" si="7"/>
        <v>710</v>
      </c>
      <c r="I10" s="23">
        <v>0.75</v>
      </c>
      <c r="J10" s="11">
        <f t="shared" si="8"/>
        <v>6670</v>
      </c>
      <c r="K10" s="11">
        <f t="shared" si="9"/>
        <v>355</v>
      </c>
      <c r="L10" s="24">
        <v>1</v>
      </c>
      <c r="M10" s="11">
        <f t="shared" si="1"/>
        <v>6670</v>
      </c>
      <c r="N10" s="11">
        <f t="shared" si="0"/>
        <v>355</v>
      </c>
      <c r="O10" s="24">
        <v>1</v>
      </c>
      <c r="P10" s="11">
        <f t="shared" si="2"/>
        <v>0</v>
      </c>
      <c r="Q10" s="11">
        <f t="shared" si="3"/>
        <v>0</v>
      </c>
      <c r="R10" s="24">
        <v>1</v>
      </c>
      <c r="S10" s="11">
        <f t="shared" si="4"/>
        <v>0</v>
      </c>
      <c r="T10" s="11">
        <f t="shared" si="5"/>
        <v>0</v>
      </c>
    </row>
    <row r="11" spans="1:20" ht="15" thickBot="1">
      <c r="A11" s="3" t="s">
        <v>14</v>
      </c>
      <c r="B11" s="6">
        <v>41030</v>
      </c>
      <c r="C11" s="6">
        <v>41151</v>
      </c>
      <c r="D11" s="14">
        <v>58800</v>
      </c>
      <c r="E11" s="14">
        <v>11645</v>
      </c>
      <c r="F11" s="21">
        <v>0.25</v>
      </c>
      <c r="G11" s="11">
        <f t="shared" si="6"/>
        <v>14700</v>
      </c>
      <c r="H11" s="11">
        <f t="shared" si="7"/>
        <v>2911.25</v>
      </c>
      <c r="I11" s="21">
        <v>0.25</v>
      </c>
      <c r="J11" s="11">
        <f t="shared" si="8"/>
        <v>0</v>
      </c>
      <c r="K11" s="11">
        <f t="shared" si="9"/>
        <v>0</v>
      </c>
      <c r="L11" s="24">
        <v>0.75</v>
      </c>
      <c r="M11" s="11">
        <f t="shared" si="1"/>
        <v>29400</v>
      </c>
      <c r="N11" s="11">
        <f t="shared" si="0"/>
        <v>5822.5</v>
      </c>
      <c r="O11" s="24">
        <v>0.75</v>
      </c>
      <c r="P11" s="11">
        <f t="shared" si="2"/>
        <v>0</v>
      </c>
      <c r="Q11" s="11">
        <f t="shared" si="3"/>
        <v>0</v>
      </c>
      <c r="R11" s="24">
        <v>1</v>
      </c>
      <c r="S11" s="11">
        <f t="shared" si="4"/>
        <v>14700</v>
      </c>
      <c r="T11" s="11">
        <f t="shared" si="5"/>
        <v>2911.25</v>
      </c>
    </row>
    <row r="12" spans="1:20" ht="15" thickBot="1">
      <c r="A12" s="8" t="s">
        <v>15</v>
      </c>
      <c r="B12" s="9"/>
      <c r="C12" s="10">
        <v>41182</v>
      </c>
      <c r="D12" s="12">
        <v>55000</v>
      </c>
      <c r="E12" s="15"/>
      <c r="G12" s="11"/>
      <c r="H12" s="11"/>
      <c r="J12" s="11"/>
      <c r="K12" s="11"/>
      <c r="M12" s="11">
        <f t="shared" si="1"/>
        <v>0</v>
      </c>
      <c r="N12" s="11">
        <f t="shared" si="0"/>
        <v>0</v>
      </c>
      <c r="P12" s="11">
        <f t="shared" si="2"/>
        <v>0</v>
      </c>
      <c r="Q12" s="11">
        <f t="shared" si="3"/>
        <v>0</v>
      </c>
      <c r="S12" s="11">
        <f t="shared" si="4"/>
        <v>0</v>
      </c>
      <c r="T12" s="11">
        <f t="shared" si="5"/>
        <v>0</v>
      </c>
    </row>
    <row r="13" spans="1:20" ht="15" thickBot="1">
      <c r="A13" s="3" t="s">
        <v>16</v>
      </c>
      <c r="B13" s="6">
        <v>41153</v>
      </c>
      <c r="C13" s="6">
        <v>41243</v>
      </c>
      <c r="D13" s="14">
        <v>37485</v>
      </c>
      <c r="E13" s="14">
        <v>7424</v>
      </c>
      <c r="F13" s="21">
        <v>0.25</v>
      </c>
      <c r="G13" s="11">
        <f t="shared" si="6"/>
        <v>9371.25</v>
      </c>
      <c r="H13" s="11">
        <f t="shared" si="7"/>
        <v>1856</v>
      </c>
      <c r="I13" s="23">
        <v>0.5</v>
      </c>
      <c r="J13" s="11">
        <f t="shared" si="8"/>
        <v>9371.25</v>
      </c>
      <c r="K13" s="11">
        <f t="shared" si="9"/>
        <v>1856</v>
      </c>
      <c r="L13" s="23">
        <v>1</v>
      </c>
      <c r="M13" s="11">
        <f t="shared" si="1"/>
        <v>18742.5</v>
      </c>
      <c r="N13" s="11">
        <f>($L13-$I13)*E13</f>
        <v>3712</v>
      </c>
      <c r="O13" s="24">
        <v>1</v>
      </c>
      <c r="P13" s="11">
        <f t="shared" si="2"/>
        <v>0</v>
      </c>
      <c r="Q13" s="11">
        <f>($O13-$L13)*E13</f>
        <v>0</v>
      </c>
      <c r="R13" s="24">
        <v>1</v>
      </c>
      <c r="S13" s="11">
        <f t="shared" si="4"/>
        <v>0</v>
      </c>
      <c r="T13" s="11">
        <f t="shared" si="5"/>
        <v>0</v>
      </c>
    </row>
    <row r="14" spans="1:20" ht="15" thickBot="1">
      <c r="A14" s="3" t="s">
        <v>17</v>
      </c>
      <c r="B14" s="6">
        <v>41091</v>
      </c>
      <c r="C14" s="6">
        <v>41243</v>
      </c>
      <c r="D14" s="14">
        <v>9736</v>
      </c>
      <c r="E14" s="14">
        <v>21334</v>
      </c>
      <c r="F14" s="21">
        <v>0.75</v>
      </c>
      <c r="G14" s="11">
        <f t="shared" si="6"/>
        <v>7302</v>
      </c>
      <c r="H14" s="11">
        <f t="shared" si="7"/>
        <v>16000.5</v>
      </c>
      <c r="I14" s="23">
        <v>1</v>
      </c>
      <c r="J14" s="11">
        <f t="shared" si="8"/>
        <v>2434</v>
      </c>
      <c r="K14" s="11">
        <f>($I14-$F14)*E14</f>
        <v>5333.5</v>
      </c>
      <c r="L14" s="23">
        <v>1</v>
      </c>
      <c r="M14" s="11">
        <f t="shared" si="1"/>
        <v>0</v>
      </c>
      <c r="N14" s="11">
        <f t="shared" ref="N14:N15" si="10">($L14-$I14)*E14</f>
        <v>0</v>
      </c>
      <c r="O14" s="23">
        <v>1</v>
      </c>
      <c r="P14" s="11">
        <f t="shared" si="2"/>
        <v>0</v>
      </c>
      <c r="Q14" s="11">
        <f t="shared" si="3"/>
        <v>0</v>
      </c>
      <c r="R14" s="23">
        <v>1</v>
      </c>
      <c r="S14" s="11">
        <f t="shared" si="4"/>
        <v>0</v>
      </c>
      <c r="T14" s="11">
        <f t="shared" si="5"/>
        <v>0</v>
      </c>
    </row>
    <row r="15" spans="1:20" ht="15" thickBot="1">
      <c r="A15" s="3" t="s">
        <v>18</v>
      </c>
      <c r="B15" s="6">
        <v>41136</v>
      </c>
      <c r="C15" s="6">
        <v>41274</v>
      </c>
      <c r="D15" s="14">
        <v>68605</v>
      </c>
      <c r="E15" s="14">
        <v>19708</v>
      </c>
      <c r="F15" s="21">
        <v>0</v>
      </c>
      <c r="G15" s="11">
        <f t="shared" si="6"/>
        <v>0</v>
      </c>
      <c r="H15" s="11">
        <f t="shared" si="7"/>
        <v>0</v>
      </c>
      <c r="I15" s="21">
        <v>0</v>
      </c>
      <c r="J15" s="11">
        <f t="shared" si="8"/>
        <v>0</v>
      </c>
      <c r="K15" s="11">
        <f t="shared" si="9"/>
        <v>0</v>
      </c>
      <c r="L15" s="21">
        <v>0.25</v>
      </c>
      <c r="M15" s="11">
        <f t="shared" si="1"/>
        <v>17151.25</v>
      </c>
      <c r="N15" s="11">
        <f t="shared" si="10"/>
        <v>4927</v>
      </c>
      <c r="O15" s="23">
        <v>0.75</v>
      </c>
      <c r="P15" s="11">
        <f t="shared" si="2"/>
        <v>34302.5</v>
      </c>
      <c r="Q15" s="11">
        <f>($O15-$L15)*E15</f>
        <v>9854</v>
      </c>
      <c r="R15" s="23">
        <v>1</v>
      </c>
      <c r="S15" s="11">
        <f t="shared" si="4"/>
        <v>17151.25</v>
      </c>
      <c r="T15" s="11">
        <f t="shared" si="5"/>
        <v>4927</v>
      </c>
    </row>
    <row r="16" spans="1:20" ht="15" thickBot="1">
      <c r="A16" s="8" t="s">
        <v>19</v>
      </c>
      <c r="B16" s="9"/>
      <c r="C16" s="10">
        <v>41274</v>
      </c>
      <c r="D16" s="12">
        <v>55000</v>
      </c>
      <c r="E16" s="15"/>
      <c r="S16" t="s">
        <v>30</v>
      </c>
    </row>
    <row r="17" spans="1:20" ht="15" thickBot="1">
      <c r="A17" s="8" t="s">
        <v>20</v>
      </c>
      <c r="B17" s="16"/>
      <c r="C17" s="10">
        <v>41547</v>
      </c>
      <c r="D17" s="12">
        <v>31000</v>
      </c>
      <c r="E17" s="15"/>
    </row>
    <row r="18" spans="1:20" ht="15" thickBot="1">
      <c r="A18" s="3" t="s">
        <v>21</v>
      </c>
      <c r="B18" s="6">
        <v>41275</v>
      </c>
      <c r="C18" s="6">
        <v>41820</v>
      </c>
      <c r="D18" s="17"/>
      <c r="E18" s="14">
        <v>189000</v>
      </c>
    </row>
    <row r="19" spans="1:20" ht="15" thickBot="1">
      <c r="A19" s="18" t="s">
        <v>22</v>
      </c>
      <c r="B19" s="17"/>
      <c r="C19" s="17"/>
      <c r="D19" s="17"/>
      <c r="E19" s="19">
        <v>10000</v>
      </c>
      <c r="H19" s="26">
        <v>2364</v>
      </c>
    </row>
    <row r="20" spans="1:20" ht="15" thickBot="1">
      <c r="A20" s="18" t="s">
        <v>23</v>
      </c>
      <c r="B20" s="17"/>
      <c r="C20" s="17"/>
      <c r="D20" s="17"/>
      <c r="E20" s="19">
        <v>10000</v>
      </c>
    </row>
    <row r="21" spans="1:20" ht="15" thickBot="1">
      <c r="A21" s="3" t="s">
        <v>24</v>
      </c>
      <c r="B21" s="20"/>
      <c r="C21" s="20"/>
      <c r="D21" s="14">
        <v>290598</v>
      </c>
      <c r="E21" s="20"/>
      <c r="G21" s="11">
        <f>SUM(G4:G15)</f>
        <v>122278.5</v>
      </c>
      <c r="H21" s="11">
        <f>SUM(H4:H20)</f>
        <v>74838.25</v>
      </c>
      <c r="I21" s="11"/>
      <c r="J21" s="11">
        <f>SUM(J4:J15)</f>
        <v>30203</v>
      </c>
      <c r="K21" s="11">
        <f>SUM(K4:K15)</f>
        <v>9910</v>
      </c>
      <c r="M21" s="11">
        <f>SUM(M4:M15)</f>
        <v>71963.75</v>
      </c>
      <c r="N21" s="11">
        <f>SUM(N4:N15)</f>
        <v>14816.5</v>
      </c>
      <c r="P21" s="11">
        <f>SUM(P4:P15)</f>
        <v>34302.5</v>
      </c>
      <c r="Q21" s="11">
        <f>SUM(Q4:Q15)</f>
        <v>9854</v>
      </c>
      <c r="S21" s="11">
        <f>SUM(S4:S15)</f>
        <v>31851.25</v>
      </c>
      <c r="T21" s="11">
        <f>SUM(T4:T15)</f>
        <v>7838.25</v>
      </c>
    </row>
    <row r="22" spans="1:20">
      <c r="F22" t="s">
        <v>27</v>
      </c>
      <c r="J22" s="11">
        <f>G21+J21</f>
        <v>152481.5</v>
      </c>
      <c r="K22" s="11">
        <f>H21+K21</f>
        <v>84748.25</v>
      </c>
      <c r="M22" s="11">
        <f>M21+J22</f>
        <v>224445.25</v>
      </c>
      <c r="N22" s="11">
        <f>N21+K22</f>
        <v>99564.75</v>
      </c>
      <c r="P22" s="11">
        <f>P21+M22</f>
        <v>258747.75</v>
      </c>
      <c r="Q22" s="11">
        <f>Q21+N22</f>
        <v>109418.75</v>
      </c>
      <c r="S22" s="11">
        <f>S21+P22</f>
        <v>290599</v>
      </c>
      <c r="T22" s="11">
        <f>T21+Q22</f>
        <v>117257</v>
      </c>
    </row>
    <row r="23" spans="1:20">
      <c r="F23" t="s">
        <v>95</v>
      </c>
      <c r="H23" s="11">
        <f>G21+H21</f>
        <v>197116.75</v>
      </c>
      <c r="I23" s="11"/>
      <c r="J23" s="11"/>
      <c r="K23" s="11">
        <f>J22+K22</f>
        <v>237229.75</v>
      </c>
      <c r="L23" s="11"/>
      <c r="M23" s="11"/>
      <c r="N23" s="11">
        <f t="shared" ref="N23:T23" si="11">M22+N22</f>
        <v>324010</v>
      </c>
      <c r="O23" s="11"/>
      <c r="P23" s="11"/>
      <c r="Q23" s="11">
        <f t="shared" si="11"/>
        <v>368166.5</v>
      </c>
      <c r="R23" s="11"/>
      <c r="S23" s="11"/>
      <c r="T23" s="11">
        <f t="shared" si="11"/>
        <v>407856</v>
      </c>
    </row>
    <row r="24" spans="1:20">
      <c r="E24">
        <f>SUM(E2:E20)</f>
        <v>323893</v>
      </c>
    </row>
    <row r="25" spans="1:20">
      <c r="J25" s="11">
        <v>102617</v>
      </c>
      <c r="K25">
        <v>323892</v>
      </c>
      <c r="L25" s="11">
        <f>K25-J25</f>
        <v>221275</v>
      </c>
      <c r="O25" s="25">
        <f>(K25-(H21+K21+N21+Q21+T21))</f>
        <v>206635</v>
      </c>
      <c r="R25" s="11">
        <f>S21+P21+M21+J21+G21</f>
        <v>290599</v>
      </c>
    </row>
    <row r="26" spans="1:20">
      <c r="L26" s="25">
        <f>L25/2</f>
        <v>110637.5</v>
      </c>
      <c r="O26" s="25">
        <f>O25/2</f>
        <v>103317.5</v>
      </c>
      <c r="S26" s="11"/>
    </row>
    <row r="27" spans="1:20">
      <c r="S27" t="s">
        <v>99</v>
      </c>
    </row>
    <row r="28" spans="1:20">
      <c r="K28" s="11">
        <f>K23-54768-97714</f>
        <v>84747.75</v>
      </c>
    </row>
    <row r="29" spans="1:20">
      <c r="K29" s="25">
        <f>K28/2</f>
        <v>42373.875</v>
      </c>
    </row>
  </sheetData>
  <mergeCells count="5">
    <mergeCell ref="G1:H1"/>
    <mergeCell ref="J1:K1"/>
    <mergeCell ref="M1:N1"/>
    <mergeCell ref="P1:Q1"/>
    <mergeCell ref="S1:T1"/>
  </mergeCells>
  <conditionalFormatting sqref="H19">
    <cfRule type="expression" dxfId="1" priority="2">
      <formula>$C19&gt;LastDateReport</formula>
    </cfRule>
  </conditionalFormatting>
  <conditionalFormatting sqref="H19">
    <cfRule type="expression" dxfId="0" priority="1">
      <formula>$C19&gt;LastDateReport</formula>
    </cfRule>
  </conditionalFormatting>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ColWidth="8.83203125" defaultRowHeight="14" x14ac:dyDescent="0"/>
  <sheetData/>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ColWidth="8.83203125" defaultRowHeight="14" x14ac:dyDescent="0"/>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Finance 2</vt:lpstr>
      <vt:lpstr>Sheet1</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pwhite</dc:creator>
  <cp:lastModifiedBy>Raelene Endersby</cp:lastModifiedBy>
  <dcterms:created xsi:type="dcterms:W3CDTF">2013-02-18T02:36:49Z</dcterms:created>
  <dcterms:modified xsi:type="dcterms:W3CDTF">2014-01-16T05:38:49Z</dcterms:modified>
</cp:coreProperties>
</file>