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C:\Users\chris\Downloads\"/>
    </mc:Choice>
  </mc:AlternateContent>
  <xr:revisionPtr revIDLastSave="0" documentId="13_ncr:2000001_{EDB41D24-A779-4B0D-A38E-DC076962585E}" xr6:coauthVersionLast="47" xr6:coauthVersionMax="47" xr10:uidLastSave="{00000000-0000-0000-0000-000000000000}"/>
  <bookViews>
    <workbookView xWindow="-23148" yWindow="-84" windowWidth="23256" windowHeight="12456" xr2:uid="{00000000-000D-0000-FFFF-FFFF00000000}"/>
  </bookViews>
  <sheets>
    <sheet name="CFO Guide" sheetId="1" r:id="rId1"/>
    <sheet name="Reasoning" sheetId="6" r:id="rId2"/>
    <sheet name="1. Assumptions" sheetId="2" r:id="rId3"/>
    <sheet name="2. Calculations" sheetId="3" r:id="rId4"/>
    <sheet name="3. Dashboard" sheetId="4" r:id="rId5"/>
    <sheet name="Bonus Token Breakeven" sheetId="5" r:id="rId6"/>
    <sheet name="Bonus Pyth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 i="3" l="1"/>
  <c r="P16" i="3"/>
  <c r="O16" i="3"/>
  <c r="Q16" i="3" s="1"/>
  <c r="L16" i="3"/>
  <c r="K16" i="3"/>
  <c r="J16" i="3"/>
  <c r="I16" i="3"/>
  <c r="H16" i="3"/>
  <c r="F16" i="3"/>
  <c r="G16" i="3" s="1"/>
  <c r="E16" i="3"/>
  <c r="D16" i="3"/>
  <c r="S16" i="3" s="1"/>
  <c r="Y16" i="3" s="1"/>
  <c r="AA16" i="3" s="1"/>
  <c r="E17" i="5" s="1"/>
  <c r="C16" i="3"/>
  <c r="B16" i="3"/>
  <c r="B17" i="5" s="1"/>
  <c r="A16" i="3"/>
  <c r="A17" i="5" s="1"/>
  <c r="R15" i="3"/>
  <c r="P15" i="3"/>
  <c r="O15" i="3"/>
  <c r="Q15" i="3" s="1"/>
  <c r="L15" i="3"/>
  <c r="K15" i="3"/>
  <c r="J15" i="3"/>
  <c r="I15" i="3"/>
  <c r="H15" i="3"/>
  <c r="F15" i="3"/>
  <c r="G15" i="3" s="1"/>
  <c r="E15" i="3"/>
  <c r="D15" i="3"/>
  <c r="S15" i="3" s="1"/>
  <c r="Y15" i="3" s="1"/>
  <c r="AA15" i="3" s="1"/>
  <c r="E16" i="5" s="1"/>
  <c r="C15" i="3"/>
  <c r="B15" i="3"/>
  <c r="B16" i="5" s="1"/>
  <c r="A15" i="3"/>
  <c r="A16" i="5" s="1"/>
  <c r="R14" i="3"/>
  <c r="P14" i="3"/>
  <c r="O14" i="3"/>
  <c r="Q14" i="3" s="1"/>
  <c r="L14" i="3"/>
  <c r="K14" i="3"/>
  <c r="J14" i="3"/>
  <c r="I14" i="3"/>
  <c r="H14" i="3"/>
  <c r="F14" i="3"/>
  <c r="G14" i="3" s="1"/>
  <c r="E14" i="3"/>
  <c r="D14" i="3"/>
  <c r="S14" i="3" s="1"/>
  <c r="Y14" i="3" s="1"/>
  <c r="AA14" i="3" s="1"/>
  <c r="E15" i="5" s="1"/>
  <c r="C14" i="3"/>
  <c r="B14" i="3"/>
  <c r="B15" i="5" s="1"/>
  <c r="A14" i="3"/>
  <c r="A15" i="5" s="1"/>
  <c r="Z13" i="3"/>
  <c r="D14" i="5" s="1"/>
  <c r="R13" i="3"/>
  <c r="P13" i="3"/>
  <c r="O13" i="3"/>
  <c r="Q13" i="3" s="1"/>
  <c r="L13" i="3"/>
  <c r="K13" i="3"/>
  <c r="J13" i="3"/>
  <c r="I13" i="3"/>
  <c r="H13" i="3"/>
  <c r="M13" i="3" s="1"/>
  <c r="F13" i="3"/>
  <c r="G13" i="3" s="1"/>
  <c r="E13" i="3"/>
  <c r="D13" i="3"/>
  <c r="S13" i="3" s="1"/>
  <c r="Y13" i="3" s="1"/>
  <c r="C13" i="3"/>
  <c r="B13" i="3"/>
  <c r="B14" i="5" s="1"/>
  <c r="A13" i="3"/>
  <c r="A14" i="5" s="1"/>
  <c r="R12" i="3"/>
  <c r="P12" i="3"/>
  <c r="O12" i="3"/>
  <c r="Q12" i="3" s="1"/>
  <c r="L12" i="3"/>
  <c r="K12" i="3"/>
  <c r="J12" i="3"/>
  <c r="I12" i="3"/>
  <c r="H12" i="3"/>
  <c r="F12" i="3"/>
  <c r="G12" i="3" s="1"/>
  <c r="E12" i="3"/>
  <c r="D12" i="3"/>
  <c r="S12" i="3" s="1"/>
  <c r="Y12" i="3" s="1"/>
  <c r="AA12" i="3" s="1"/>
  <c r="E13" i="5" s="1"/>
  <c r="C12" i="3"/>
  <c r="B12" i="3"/>
  <c r="B13" i="5" s="1"/>
  <c r="A12" i="3"/>
  <c r="A13" i="5" s="1"/>
  <c r="Z11" i="3"/>
  <c r="D12" i="5" s="1"/>
  <c r="S11" i="3"/>
  <c r="Y11" i="3" s="1"/>
  <c r="AA11" i="3" s="1"/>
  <c r="E12" i="5" s="1"/>
  <c r="F12" i="5" s="1"/>
  <c r="R11" i="3"/>
  <c r="P11" i="3"/>
  <c r="O11" i="3"/>
  <c r="Q11" i="3" s="1"/>
  <c r="L11" i="3"/>
  <c r="K11" i="3"/>
  <c r="J11" i="3"/>
  <c r="I11" i="3"/>
  <c r="H11" i="3"/>
  <c r="M11" i="3" s="1"/>
  <c r="F11" i="3"/>
  <c r="G11" i="3" s="1"/>
  <c r="N11" i="3" s="1"/>
  <c r="E11" i="3"/>
  <c r="D11" i="3"/>
  <c r="C11" i="3"/>
  <c r="B11" i="3"/>
  <c r="B12" i="5" s="1"/>
  <c r="A11" i="3"/>
  <c r="A12" i="5" s="1"/>
  <c r="R10" i="3"/>
  <c r="P10" i="3"/>
  <c r="O10" i="3"/>
  <c r="Q10" i="3" s="1"/>
  <c r="L10" i="3"/>
  <c r="K10" i="3"/>
  <c r="J10" i="3"/>
  <c r="I10" i="3"/>
  <c r="H10" i="3"/>
  <c r="F10" i="3"/>
  <c r="G10" i="3" s="1"/>
  <c r="E10" i="3"/>
  <c r="D10" i="3"/>
  <c r="S10" i="3" s="1"/>
  <c r="Y10" i="3" s="1"/>
  <c r="C10" i="3"/>
  <c r="B10" i="3"/>
  <c r="B11" i="5" s="1"/>
  <c r="A10" i="3"/>
  <c r="A11" i="5" s="1"/>
  <c r="Z9" i="3"/>
  <c r="D10" i="5" s="1"/>
  <c r="R9" i="3"/>
  <c r="S9" i="3" s="1"/>
  <c r="Y9" i="3" s="1"/>
  <c r="AA9" i="3" s="1"/>
  <c r="E10" i="5" s="1"/>
  <c r="F10" i="5" s="1"/>
  <c r="P9" i="3"/>
  <c r="O9" i="3"/>
  <c r="Q9" i="3" s="1"/>
  <c r="L9" i="3"/>
  <c r="K9" i="3"/>
  <c r="J9" i="3"/>
  <c r="I9" i="3"/>
  <c r="M9" i="3" s="1"/>
  <c r="H9" i="3"/>
  <c r="F9" i="3"/>
  <c r="G9" i="3" s="1"/>
  <c r="N9" i="3" s="1"/>
  <c r="E9" i="3"/>
  <c r="D9" i="3"/>
  <c r="C9" i="3"/>
  <c r="B9" i="3"/>
  <c r="B10" i="5" s="1"/>
  <c r="A9" i="3"/>
  <c r="A10" i="5" s="1"/>
  <c r="R8" i="3"/>
  <c r="P8" i="3"/>
  <c r="O8" i="3"/>
  <c r="Q8" i="3" s="1"/>
  <c r="L8" i="3"/>
  <c r="K8" i="3"/>
  <c r="J8" i="3"/>
  <c r="I8" i="3"/>
  <c r="H8" i="3"/>
  <c r="F8" i="3"/>
  <c r="G8" i="3" s="1"/>
  <c r="E8" i="3"/>
  <c r="D8" i="3"/>
  <c r="S8" i="3" s="1"/>
  <c r="Y8" i="3" s="1"/>
  <c r="AA8" i="3" s="1"/>
  <c r="E9" i="5" s="1"/>
  <c r="C8" i="3"/>
  <c r="B8" i="3"/>
  <c r="B9" i="5" s="1"/>
  <c r="A8" i="3"/>
  <c r="A9" i="5" s="1"/>
  <c r="R7" i="3"/>
  <c r="P7" i="3"/>
  <c r="O7" i="3"/>
  <c r="Q7" i="3" s="1"/>
  <c r="L7" i="3"/>
  <c r="K7" i="3"/>
  <c r="J7" i="3"/>
  <c r="I7" i="3"/>
  <c r="H7" i="3"/>
  <c r="F7" i="3"/>
  <c r="G7" i="3" s="1"/>
  <c r="E7" i="3"/>
  <c r="D7" i="3"/>
  <c r="S7" i="3" s="1"/>
  <c r="Y7" i="3" s="1"/>
  <c r="C7" i="3"/>
  <c r="B7" i="3"/>
  <c r="B8" i="5" s="1"/>
  <c r="A7" i="3"/>
  <c r="A8" i="5" s="1"/>
  <c r="R6" i="3"/>
  <c r="P6" i="3"/>
  <c r="O6" i="3"/>
  <c r="Q6" i="3" s="1"/>
  <c r="L6" i="3"/>
  <c r="K6" i="3"/>
  <c r="J6" i="3"/>
  <c r="I6" i="3"/>
  <c r="H6" i="3"/>
  <c r="F6" i="3"/>
  <c r="G6" i="3" s="1"/>
  <c r="E6" i="3"/>
  <c r="D6" i="3"/>
  <c r="S6" i="3" s="1"/>
  <c r="Y6" i="3" s="1"/>
  <c r="AA6" i="3" s="1"/>
  <c r="E7" i="5" s="1"/>
  <c r="C6" i="3"/>
  <c r="B6" i="3"/>
  <c r="B7" i="5" s="1"/>
  <c r="A6" i="3"/>
  <c r="A7" i="5" s="1"/>
  <c r="R5" i="3"/>
  <c r="P5" i="3"/>
  <c r="O5" i="3"/>
  <c r="Q5" i="3" s="1"/>
  <c r="L5" i="3"/>
  <c r="K5" i="3"/>
  <c r="J5" i="3"/>
  <c r="I5" i="3"/>
  <c r="H5" i="3"/>
  <c r="F5" i="3"/>
  <c r="G5" i="3" s="1"/>
  <c r="E5" i="3"/>
  <c r="D5" i="3"/>
  <c r="S5" i="3" s="1"/>
  <c r="Y5" i="3" s="1"/>
  <c r="C5" i="3"/>
  <c r="B5" i="3"/>
  <c r="B6" i="5" s="1"/>
  <c r="A5" i="3"/>
  <c r="A6" i="5" s="1"/>
  <c r="Z16" i="3" l="1"/>
  <c r="D17" i="5" s="1"/>
  <c r="F17" i="5" s="1"/>
  <c r="M16" i="3"/>
  <c r="T16" i="3"/>
  <c r="U16" i="3" s="1"/>
  <c r="W16" i="3"/>
  <c r="G17" i="5" s="1"/>
  <c r="Z15" i="3"/>
  <c r="D16" i="5" s="1"/>
  <c r="F16" i="5" s="1"/>
  <c r="M15" i="3"/>
  <c r="T15" i="3"/>
  <c r="U15" i="3" s="1"/>
  <c r="W15" i="3"/>
  <c r="G16" i="5" s="1"/>
  <c r="Z14" i="3"/>
  <c r="D15" i="5" s="1"/>
  <c r="F15" i="5" s="1"/>
  <c r="M14" i="3"/>
  <c r="W14" i="3"/>
  <c r="G15" i="5" s="1"/>
  <c r="V13" i="3"/>
  <c r="X13" i="3"/>
  <c r="Z12" i="3"/>
  <c r="D13" i="5" s="1"/>
  <c r="F13" i="5" s="1"/>
  <c r="M12" i="3"/>
  <c r="T12" i="3"/>
  <c r="U12" i="3" s="1"/>
  <c r="W12" i="3"/>
  <c r="G13" i="5" s="1"/>
  <c r="V11" i="3"/>
  <c r="X11" i="3"/>
  <c r="T11" i="3"/>
  <c r="U11" i="3" s="1"/>
  <c r="W11" i="3"/>
  <c r="G12" i="5" s="1"/>
  <c r="V10" i="3"/>
  <c r="X10" i="3"/>
  <c r="E23" i="5"/>
  <c r="Z10" i="3"/>
  <c r="M10" i="3"/>
  <c r="N10" i="3"/>
  <c r="D23" i="5"/>
  <c r="AA10" i="3"/>
  <c r="E11" i="5" s="1"/>
  <c r="F23" i="5"/>
  <c r="V9" i="3"/>
  <c r="X9" i="3"/>
  <c r="T9" i="3"/>
  <c r="U9" i="3" s="1"/>
  <c r="W9" i="3"/>
  <c r="G10" i="5" s="1"/>
  <c r="M8" i="3"/>
  <c r="Z8" i="3"/>
  <c r="D9" i="5" s="1"/>
  <c r="F9" i="5" s="1"/>
  <c r="T8" i="3"/>
  <c r="U8" i="3" s="1"/>
  <c r="W8" i="3"/>
  <c r="G9" i="5" s="1"/>
  <c r="E22" i="5"/>
  <c r="M7" i="3"/>
  <c r="X7" i="3" s="1"/>
  <c r="Z7" i="3"/>
  <c r="N7" i="3"/>
  <c r="V7" i="3" s="1"/>
  <c r="D22" i="5"/>
  <c r="AA7" i="3"/>
  <c r="E8" i="5" s="1"/>
  <c r="F22" i="5"/>
  <c r="G22" i="5" s="1"/>
  <c r="I22" i="5" s="1"/>
  <c r="V6" i="3"/>
  <c r="Z6" i="3"/>
  <c r="D7" i="5" s="1"/>
  <c r="F7" i="5" s="1"/>
  <c r="M6" i="3"/>
  <c r="T6" i="3"/>
  <c r="U6" i="3" s="1"/>
  <c r="W6" i="3"/>
  <c r="G7" i="5" s="1"/>
  <c r="M5" i="3"/>
  <c r="Z5" i="3"/>
  <c r="D6" i="5" s="1"/>
  <c r="T5" i="3"/>
  <c r="U5" i="3" s="1"/>
  <c r="N13" i="3"/>
  <c r="AA13" i="3"/>
  <c r="E14" i="5" s="1"/>
  <c r="F14" i="5" s="1"/>
  <c r="AA5" i="3"/>
  <c r="E6" i="5" s="1"/>
  <c r="AB16" i="3" l="1"/>
  <c r="H17" i="5" s="1"/>
  <c r="AC16" i="3"/>
  <c r="C17" i="5"/>
  <c r="I17" i="5" s="1"/>
  <c r="C16" i="5"/>
  <c r="I16" i="5" s="1"/>
  <c r="AB15" i="3"/>
  <c r="H16" i="5" s="1"/>
  <c r="AC15" i="3"/>
  <c r="AB12" i="3"/>
  <c r="H13" i="5" s="1"/>
  <c r="AC12" i="3"/>
  <c r="C13" i="5"/>
  <c r="I13" i="5" s="1"/>
  <c r="AB11" i="3"/>
  <c r="H12" i="5" s="1"/>
  <c r="AC11" i="3"/>
  <c r="C12" i="5"/>
  <c r="I12" i="5" s="1"/>
  <c r="H23" i="5"/>
  <c r="D11" i="5"/>
  <c r="F11" i="5" s="1"/>
  <c r="T10" i="3"/>
  <c r="U10" i="3" s="1"/>
  <c r="W10" i="3"/>
  <c r="G11" i="5" s="1"/>
  <c r="AB9" i="3"/>
  <c r="H10" i="5" s="1"/>
  <c r="AC9" i="3"/>
  <c r="C10" i="5"/>
  <c r="I10" i="5" s="1"/>
  <c r="AB8" i="3"/>
  <c r="H9" i="5" s="1"/>
  <c r="AC8" i="3"/>
  <c r="C9" i="5"/>
  <c r="I9" i="5" s="1"/>
  <c r="H22" i="5"/>
  <c r="D8" i="5"/>
  <c r="F8" i="5" s="1"/>
  <c r="T7" i="3"/>
  <c r="U7" i="3" s="1"/>
  <c r="W7" i="3"/>
  <c r="G8" i="5" s="1"/>
  <c r="AB6" i="3"/>
  <c r="H7" i="5" s="1"/>
  <c r="AC6" i="3"/>
  <c r="C7" i="5"/>
  <c r="I7" i="5" s="1"/>
  <c r="AB5" i="3"/>
  <c r="H6" i="5" s="1"/>
  <c r="AC5" i="3"/>
  <c r="C6" i="5"/>
  <c r="I6" i="5" s="1"/>
  <c r="W13" i="3"/>
  <c r="G14" i="5" s="1"/>
  <c r="T13" i="3"/>
  <c r="U13" i="3" s="1"/>
  <c r="G23" i="5"/>
  <c r="I23" i="5" s="1"/>
  <c r="F6" i="5"/>
  <c r="N16" i="3"/>
  <c r="V16" i="3" s="1"/>
  <c r="X16" i="3"/>
  <c r="N15" i="3"/>
  <c r="V15" i="3" s="1"/>
  <c r="X15" i="3"/>
  <c r="N14" i="3"/>
  <c r="X14" i="3"/>
  <c r="N12" i="3"/>
  <c r="V12" i="3" s="1"/>
  <c r="X12" i="3"/>
  <c r="N8" i="3"/>
  <c r="V8" i="3" s="1"/>
  <c r="X8" i="3"/>
  <c r="N6" i="3"/>
  <c r="X6" i="3"/>
  <c r="N5" i="3"/>
  <c r="X5" i="3"/>
  <c r="AB10" i="3" l="1"/>
  <c r="H11" i="5" s="1"/>
  <c r="AC10" i="3"/>
  <c r="C11" i="5"/>
  <c r="I11" i="5" s="1"/>
  <c r="AB7" i="3"/>
  <c r="H8" i="5" s="1"/>
  <c r="AC7" i="3"/>
  <c r="C8" i="5"/>
  <c r="I8" i="5" s="1"/>
  <c r="AB13" i="3"/>
  <c r="H14" i="5" s="1"/>
  <c r="AC13" i="3"/>
  <c r="C14" i="5"/>
  <c r="I14" i="5" s="1"/>
  <c r="T14" i="3"/>
  <c r="U14" i="3" s="1"/>
  <c r="V14" i="3"/>
  <c r="W5" i="3"/>
  <c r="G6" i="5" s="1"/>
  <c r="V5" i="3"/>
  <c r="D5" i="4"/>
  <c r="B5" i="4" l="1"/>
  <c r="C15" i="5"/>
  <c r="I15" i="5" s="1"/>
  <c r="AC14" i="3"/>
  <c r="AB14" i="3"/>
  <c r="H15" i="5" s="1"/>
  <c r="E5" i="4"/>
  <c r="A5" i="4"/>
</calcChain>
</file>

<file path=xl/sharedStrings.xml><?xml version="1.0" encoding="utf-8"?>
<sst xmlns="http://schemas.openxmlformats.org/spreadsheetml/2006/main" count="170" uniqueCount="133">
  <si>
    <t>CFO AI ROI Decision Model</t>
  </si>
  <si>
    <t>Use this workbook to decide whether an FP&amp;A process should stay manual, use a Custom GPT, use coding automation, or justify an AI agent.</t>
  </si>
  <si>
    <t>1</t>
  </si>
  <si>
    <t>Edit blue/yellow input cells in the Assumptions sheet.</t>
  </si>
  <si>
    <t>2</t>
  </si>
  <si>
    <t>Review Calculations for NPV, ROI, payback, AI score, and token break-even price.</t>
  </si>
  <si>
    <t>3</t>
  </si>
  <si>
    <t>Use Dashboard to see the best option by FP&amp;A process.</t>
  </si>
  <si>
    <t>Use Token Breakeven to understand whether cheaper tokens could make agents viable later.</t>
  </si>
  <si>
    <t>Keep human review for any process that touches financial outputs, even if an agent is profitable.</t>
  </si>
  <si>
    <t>Do not pay agent prices for Custom GPT problems. Token prices may fall, but accountability will not.</t>
  </si>
  <si>
    <t>Assumptions Input — Edit blue/yellow cells</t>
  </si>
  <si>
    <t>All sample values are illustrative. Replace with your company salary rates, process time, token usage, tool costs, and review/risk assumptions.</t>
  </si>
  <si>
    <t>Process ID</t>
  </si>
  <si>
    <t>Process Name</t>
  </si>
  <si>
    <t>AI Option</t>
  </si>
  <si>
    <t>Option Rank</t>
  </si>
  <si>
    <t>Salary ($/hr)</t>
  </si>
  <si>
    <t>Current Hours / Run</t>
  </si>
  <si>
    <t>Frequency / Month</t>
  </si>
  <si>
    <t>Process Life (Months)</t>
  </si>
  <si>
    <t>Automation Rate</t>
  </si>
  <si>
    <t>Quality Factor</t>
  </si>
  <si>
    <t>Setup Hours</t>
  </si>
  <si>
    <t>Learning Hours / User</t>
  </si>
  <si>
    <t>Users</t>
  </si>
  <si>
    <t>Input Tokens / Run (M)</t>
  </si>
  <si>
    <t>Output Tokens / Run (M)</t>
  </si>
  <si>
    <t>Input Token Price ($/1M)</t>
  </si>
  <si>
    <t>Output Token Price ($/1M)</t>
  </si>
  <si>
    <t>Fixed Tool Cost / Month</t>
  </si>
  <si>
    <t>Review Hours / Run</t>
  </si>
  <si>
    <t>Error Probability</t>
  </si>
  <si>
    <t>Error Impact ($)</t>
  </si>
  <si>
    <t>Control Strength</t>
  </si>
  <si>
    <t>Annual Discount Rate</t>
  </si>
  <si>
    <t>Maintenance Hours / Month</t>
  </si>
  <si>
    <t>Integration / Governance Cost ($)</t>
  </si>
  <si>
    <t>Source / Note</t>
  </si>
  <si>
    <t>Monthly Variance Analysis</t>
  </si>
  <si>
    <t>Manual AI</t>
  </si>
  <si>
    <t>Illustrative CFO assumption. Replace with actual FP&amp;A data.</t>
  </si>
  <si>
    <t>Custom GPT</t>
  </si>
  <si>
    <t>Illustrative. Custom GPT with human review.</t>
  </si>
  <si>
    <t>AI Agent</t>
  </si>
  <si>
    <t>Illustrative. Agent includes monitoring, governance, and integration cost.</t>
  </si>
  <si>
    <t>Board Deck Commentary</t>
  </si>
  <si>
    <t>Illustrative. High review due to board-level output.</t>
  </si>
  <si>
    <t>Illustrative. Trained on company tone and prior commentary.</t>
  </si>
  <si>
    <t>Illustrative. Agent may be overbuilt for deck commentary.</t>
  </si>
  <si>
    <t>Forecast Model Refresh</t>
  </si>
  <si>
    <t>Coding Copilot</t>
  </si>
  <si>
    <t>Illustrative. Repeatable Python/Excel automation.</t>
  </si>
  <si>
    <t>Illustrative. Agent for multi-step recurring workflow.</t>
  </si>
  <si>
    <t>Ad Hoc Business Case</t>
  </si>
  <si>
    <t>Illustrative. Low frequency favors light AI only.</t>
  </si>
  <si>
    <t>Illustrative. May be too much setup for low frequency.</t>
  </si>
  <si>
    <t>ERP Forecast Upload</t>
  </si>
  <si>
    <t>Illustrative. Controlled script may beat agent for risk.</t>
  </si>
  <si>
    <t>Illustrative. Agent requires strong controls and audit trail.</t>
  </si>
  <si>
    <t>Calculations — Formula-driven AI ROI by option</t>
  </si>
  <si>
    <t>Black cells are formulas. This sheet calculates the CFO decision equation, payback, AI score, and break-even token price.</t>
  </si>
  <si>
    <t>Monthly Discount Rate</t>
  </si>
  <si>
    <t>Baseline Monthly Cost</t>
  </si>
  <si>
    <t>Effective Automation Rate</t>
  </si>
  <si>
    <t>Gross Monthly Labor Savings</t>
  </si>
  <si>
    <t>Monthly Token Cost</t>
  </si>
  <si>
    <t>Monthly Tool Cost</t>
  </si>
  <si>
    <t>Monthly Review Cost</t>
  </si>
  <si>
    <t>Monthly Risk Cost</t>
  </si>
  <si>
    <t>Monthly Maintenance Cost</t>
  </si>
  <si>
    <t>Total Monthly AI Cost</t>
  </si>
  <si>
    <t>Monthly Net Savings</t>
  </si>
  <si>
    <t>Setup Cost</t>
  </si>
  <si>
    <t>Learning Cost</t>
  </si>
  <si>
    <t>Upfront Cost</t>
  </si>
  <si>
    <t>Expected Process Life</t>
  </si>
  <si>
    <t>PV Factor</t>
  </si>
  <si>
    <t>PV Net Savings</t>
  </si>
  <si>
    <t>NPV</t>
  </si>
  <si>
    <t>ROI</t>
  </si>
  <si>
    <t>Payback Months</t>
  </si>
  <si>
    <t>AI Score</t>
  </si>
  <si>
    <t>PV Tokens Used (M)</t>
  </si>
  <si>
    <t>Actual Blended Token Price ($/1M)</t>
  </si>
  <si>
    <t>Max Break-even Token Price ($/1M)</t>
  </si>
  <si>
    <t>Recommendation</t>
  </si>
  <si>
    <t>CFO Explanation</t>
  </si>
  <si>
    <t>Dashboard — Best AI option by FP&amp;A process</t>
  </si>
  <si>
    <t>Decision rule: maximize NPV, but only automate when NPV is positive and payback is shorter than expected process life.</t>
  </si>
  <si>
    <t>Total Positive NPV</t>
  </si>
  <si>
    <t>Positive AI Cases</t>
  </si>
  <si>
    <t>Avg. Payback (positive cases)</t>
  </si>
  <si>
    <t>Best Overall Case</t>
  </si>
  <si>
    <t>Process</t>
  </si>
  <si>
    <t>Recommended Option</t>
  </si>
  <si>
    <t>Best NPV</t>
  </si>
  <si>
    <t>Token Break-even ($/1M)</t>
  </si>
  <si>
    <t>CFO Action</t>
  </si>
  <si>
    <t>CFO Interpretation</t>
  </si>
  <si>
    <t>Use the recommendation only if the business process is stable enough to earn back setup and learning costs. If token prices keep falling, AI agents may become viable later; use the Token Breakeven sheet to calculate the price point. Even when an agent passes the model, keep human review for financial outputs because accountability does not get automated.</t>
  </si>
  <si>
    <t>Token Breakeven — When would an AI agent become economically justified?</t>
  </si>
  <si>
    <t>This sheet solves the price point at which token costs are low enough for each option to pass the CFO model. It also compares AI Agent vs Custom GPT for selected processes.</t>
  </si>
  <si>
    <t>Standalone break-even token price by option</t>
  </si>
  <si>
    <t>Token Price Headroom</t>
  </si>
  <si>
    <t>Incremental comparison: AI Agent vs Custom GPT</t>
  </si>
  <si>
    <t>Custom GPT Calc Row</t>
  </si>
  <si>
    <t>Agent Calc Row</t>
  </si>
  <si>
    <t>Extra Monthly Value Excl. Tokens</t>
  </si>
  <si>
    <t>Extra Upfront Cost</t>
  </si>
  <si>
    <t>Extra PV Tokens Used (M)</t>
  </si>
  <si>
    <t>Incremental Break-even Token Price ($/1M)</t>
  </si>
  <si>
    <t>Actual Agent Token Price ($/1M)</t>
  </si>
  <si>
    <t>Decision</t>
  </si>
  <si>
    <t>CFO note: Cheaper tokens can move the break-even point, but they do not eliminate setup, integration, monitoring, risk, or human review. The future agent may become cheap to run, but still expensive to trust.</t>
  </si>
  <si>
    <t>How to use this template?</t>
  </si>
  <si>
    <t>Extra Tips</t>
  </si>
  <si>
    <t>A</t>
  </si>
  <si>
    <t>B</t>
  </si>
  <si>
    <t>C</t>
  </si>
  <si>
    <t>Upgrade from Custom GPT/Gemini Gem/Claude Skill to Agent only when incremental automation justifies incremental cost and control burden.</t>
  </si>
  <si>
    <t>The second rule is about payback. Even if AI creates value, it still needs to pay back fast enough. If it takes 12 months to build and learn the AI workflow, but the FP&amp;A process will change in 6 months, then it is probably not worth it. The process may change before the company gets the benefit.</t>
  </si>
  <si>
    <t>A practical example would be monthly variance commentary. Today, an FP&amp;A analyst may spend 10 hours every month pulling numbers, explaining variances, writing commentary, and preparing notes for the CFO. A cheap Custom GPT could be built using the company’s standard variance commentary format, examples of prior months, business definitions, and instructions such as: “Explain revenue variance by volume, price, mix, FX, and timing. Keep tone CFO-ready. Flag unusual movements.” That Custom GPT might do 70–80% of the drafting work.</t>
  </si>
  <si>
    <t>But the human still matters. The analyst or FP&amp;A manager should review the numbers, check whether the explanation makes business sense, add judgment, remove weak wording, and make sure nothing is misleading. In that setup, the AI does the repetitive first draft, and the human provides judgment, accountability, and context. This is usually cheap, fast to implement, and easy to control.</t>
  </si>
  <si>
    <t>Now compare that to a fully autonomous AI agent. The agent might connect to Excel, ERP exports, planning systems, Slack, email, and maybe a data warehouse. It may pull data, clean it, run analysis, write the commentary, create slides, send alerts, and update files automatically. That sounds powerful, but it can become expensive quickly. You may need API costs, orchestration tools, monitoring, security reviews, permissions, testing, error handling, audit logs, and someone to maintain it every time the forecast model, chart of accounts, business structure, or reporting calendar changes.</t>
  </si>
  <si>
    <t>So even if the AI agent automates 90–95% of the work, it may still be worse financially. The Custom GPT might save 7 hours per month with almost no technical maintenance. The agent might save 9 hours per month but cost thousands of dollars to build and maintain. The extra 2 hours saved may not justify the extra complexity.</t>
  </si>
  <si>
    <t>Explanation of the Model</t>
  </si>
  <si>
    <t>I also created a Python code that can calculate this.</t>
  </si>
  <si>
    <t>It's free for you to use:</t>
  </si>
  <si>
    <t>https://colab.research.google.com/drive/1HcgyKElPZNzBr9w_Y2Fs1y01cuaDuVk2?usp=sharing</t>
  </si>
  <si>
    <r>
      <t>AI should be treated like an investment decision, not a technology trend.</t>
    </r>
    <r>
      <rPr>
        <sz val="14"/>
        <rFont val="Segoe UI"/>
        <family val="2"/>
      </rPr>
      <t xml:space="preserve"> A CFO should not ask, “Can AI do this?” The better question is, “Does AI save more money than it costs, after setup, training, review, risk, and maintenance?”</t>
    </r>
  </si>
  <si>
    <r>
      <t xml:space="preserve">The main formula is the decision rule. It says the value of AI is equal to the future labor savings from automation, minus the costs required to make AI work. Those costs include setup cost, learning cost, AI/token/tool cost, human review cost, and risk cost. In simple words: </t>
    </r>
    <r>
      <rPr>
        <b/>
        <sz val="14"/>
        <rFont val="Segoe UI"/>
        <family val="2"/>
      </rPr>
      <t>use AI only when the financial benefit is greater than the full cost of using it.</t>
    </r>
  </si>
  <si>
    <t>More Guides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</si>
</sst>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Red]\(\$#,##0.0\);\-"/>
    <numFmt numFmtId="165" formatCode="#,##0.0;[Red]\(#,##0.0\);\-"/>
    <numFmt numFmtId="166" formatCode="0.0%;[Red]\(0.0%\);\-"/>
    <numFmt numFmtId="167" formatCode="#,##0.000;[Red]\(#,##0.000\);\-"/>
    <numFmt numFmtId="168" formatCode="\$#,##0;[Red]\(\$#,##0\);\-"/>
  </numFmts>
  <fonts count="27">
    <font>
      <sz val="11"/>
      <name val="Carlito"/>
    </font>
    <font>
      <i/>
      <sz val="11"/>
      <color rgb="FF666666"/>
      <name val="Carlito"/>
    </font>
    <font>
      <b/>
      <sz val="12"/>
      <color rgb="FFFFFFFF"/>
      <name val="Carlito"/>
    </font>
    <font>
      <b/>
      <sz val="11"/>
      <color rgb="FFFFFFFF"/>
      <name val="Carlito"/>
    </font>
    <font>
      <sz val="11"/>
      <color rgb="FF0000FF"/>
      <name val="Carlito"/>
    </font>
    <font>
      <sz val="11"/>
      <color rgb="FF000000"/>
      <name val="Carlito"/>
    </font>
    <font>
      <b/>
      <sz val="12"/>
      <name val="Carlito"/>
    </font>
    <font>
      <b/>
      <i/>
      <sz val="11"/>
      <color rgb="FF0B1F3A"/>
      <name val="Carlito"/>
    </font>
    <font>
      <sz val="10"/>
      <name val="Aptos"/>
    </font>
    <font>
      <b/>
      <sz val="20"/>
      <color rgb="FF0B1F3A"/>
      <name val="Aptos"/>
    </font>
    <font>
      <sz val="48"/>
      <name val="Segoe UI"/>
      <family val="2"/>
    </font>
    <font>
      <sz val="10"/>
      <name val="Segoe UI"/>
      <family val="2"/>
    </font>
    <font>
      <sz val="11"/>
      <name val="Segoe UI"/>
      <family val="2"/>
    </font>
    <font>
      <b/>
      <sz val="20"/>
      <color rgb="FF0B1F3A"/>
      <name val="Segoe UI"/>
      <family val="2"/>
    </font>
    <font>
      <b/>
      <sz val="11"/>
      <color rgb="FF0B1F3A"/>
      <name val="Segoe UI"/>
      <family val="2"/>
    </font>
    <font>
      <b/>
      <sz val="48"/>
      <name val="Segoe UI"/>
      <family val="2"/>
    </font>
    <font>
      <sz val="22"/>
      <name val="Segoe UI"/>
      <family val="2"/>
    </font>
    <font>
      <b/>
      <i/>
      <sz val="24"/>
      <color rgb="FF0B1F3A"/>
      <name val="Segoe UI"/>
      <family val="2"/>
    </font>
    <font>
      <sz val="14"/>
      <name val="Segoe UI"/>
      <family val="2"/>
    </font>
    <font>
      <b/>
      <sz val="22"/>
      <color rgb="FFFFFFFF"/>
      <name val="Segoe UI"/>
      <family val="2"/>
    </font>
    <font>
      <u/>
      <sz val="11"/>
      <color theme="10"/>
      <name val="Carlito"/>
    </font>
    <font>
      <i/>
      <sz val="14"/>
      <color rgb="FF666666"/>
      <name val="Segoe UI"/>
      <family val="2"/>
    </font>
    <font>
      <i/>
      <sz val="18"/>
      <color rgb="FF666666"/>
      <name val="Segoe UI"/>
      <family val="2"/>
    </font>
    <font>
      <b/>
      <sz val="14"/>
      <name val="Segoe UI"/>
      <family val="2"/>
    </font>
    <font>
      <sz val="14"/>
      <name val="Carlito"/>
    </font>
    <font>
      <b/>
      <sz val="22"/>
      <name val="Segoe UI"/>
      <family val="2"/>
    </font>
    <font>
      <b/>
      <sz val="26"/>
      <color theme="0"/>
      <name val="Segoe UI"/>
      <family val="2"/>
    </font>
  </fonts>
  <fills count="7">
    <fill>
      <patternFill patternType="none"/>
    </fill>
    <fill>
      <patternFill patternType="gray125"/>
    </fill>
    <fill>
      <patternFill patternType="solid">
        <fgColor rgb="FF0B1F3A"/>
      </patternFill>
    </fill>
    <fill>
      <patternFill patternType="solid">
        <fgColor rgb="FFF8F5EF"/>
      </patternFill>
    </fill>
    <fill>
      <patternFill patternType="solid">
        <fgColor rgb="FFFFF2CC"/>
      </patternFill>
    </fill>
    <fill>
      <patternFill patternType="solid">
        <fgColor theme="0" tint="-4.9989318521683403E-2"/>
        <bgColor indexed="64"/>
      </patternFill>
    </fill>
    <fill>
      <patternFill patternType="solid">
        <fgColor rgb="FF00206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54">
    <xf numFmtId="0" fontId="0" fillId="0" borderId="0" xfId="0"/>
    <xf numFmtId="0" fontId="3"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center" wrapText="1"/>
    </xf>
    <xf numFmtId="0" fontId="4" fillId="4" borderId="0" xfId="0" applyFont="1" applyFill="1" applyAlignment="1">
      <alignment vertical="center" wrapText="1"/>
    </xf>
    <xf numFmtId="0" fontId="1" fillId="0" borderId="0" xfId="0" applyFont="1" applyAlignment="1">
      <alignment vertical="center" wrapText="1"/>
    </xf>
    <xf numFmtId="164" fontId="4" fillId="4" borderId="0" xfId="0" applyNumberFormat="1" applyFont="1" applyFill="1" applyAlignment="1">
      <alignment vertical="center" wrapText="1"/>
    </xf>
    <xf numFmtId="165" fontId="4" fillId="4" borderId="0" xfId="0" applyNumberFormat="1" applyFont="1" applyFill="1" applyAlignment="1">
      <alignment vertical="center" wrapText="1"/>
    </xf>
    <xf numFmtId="166" fontId="4" fillId="4" borderId="0" xfId="0" applyNumberFormat="1" applyFont="1" applyFill="1" applyAlignment="1">
      <alignment vertical="center" wrapText="1"/>
    </xf>
    <xf numFmtId="167" fontId="4" fillId="4" borderId="0" xfId="0" applyNumberFormat="1" applyFont="1" applyFill="1" applyAlignment="1">
      <alignment vertical="center" wrapText="1"/>
    </xf>
    <xf numFmtId="168" fontId="4" fillId="4" borderId="0" xfId="0" applyNumberFormat="1" applyFont="1" applyFill="1" applyAlignment="1">
      <alignment vertical="center" wrapText="1"/>
    </xf>
    <xf numFmtId="0" fontId="5" fillId="0" borderId="0" xfId="0" applyFont="1" applyAlignment="1">
      <alignment wrapText="1"/>
    </xf>
    <xf numFmtId="166" fontId="5" fillId="0" borderId="0" xfId="0" applyNumberFormat="1" applyFont="1" applyAlignment="1">
      <alignment wrapText="1"/>
    </xf>
    <xf numFmtId="168" fontId="5" fillId="0" borderId="0" xfId="0" applyNumberFormat="1" applyFont="1" applyAlignment="1">
      <alignment wrapText="1"/>
    </xf>
    <xf numFmtId="165" fontId="5" fillId="0" borderId="0" xfId="0" applyNumberFormat="1" applyFont="1" applyAlignment="1">
      <alignment wrapText="1"/>
    </xf>
    <xf numFmtId="167" fontId="5" fillId="0" borderId="0" xfId="0" applyNumberFormat="1" applyFont="1" applyAlignment="1">
      <alignment wrapText="1"/>
    </xf>
    <xf numFmtId="164" fontId="5" fillId="0" borderId="0" xfId="0" applyNumberFormat="1" applyFont="1" applyAlignment="1">
      <alignment wrapText="1"/>
    </xf>
    <xf numFmtId="168" fontId="6" fillId="3" borderId="0" xfId="0" applyNumberFormat="1" applyFont="1" applyFill="1" applyAlignment="1">
      <alignment horizontal="center" vertical="center" wrapText="1"/>
    </xf>
    <xf numFmtId="0" fontId="6" fillId="3" borderId="0" xfId="0" applyFont="1" applyFill="1" applyAlignment="1">
      <alignment horizontal="center" vertical="center" wrapText="1"/>
    </xf>
    <xf numFmtId="165" fontId="6" fillId="3" borderId="0" xfId="0" applyNumberFormat="1" applyFont="1" applyFill="1" applyAlignment="1">
      <alignment horizontal="center" vertical="center" wrapText="1"/>
    </xf>
    <xf numFmtId="168" fontId="0" fillId="0" borderId="0" xfId="0" applyNumberFormat="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0" applyNumberFormat="1" applyAlignment="1">
      <alignment wrapText="1"/>
    </xf>
    <xf numFmtId="165" fontId="0" fillId="0" borderId="0" xfId="0" applyNumberFormat="1" applyAlignment="1">
      <alignment wrapText="1"/>
    </xf>
    <xf numFmtId="167" fontId="0" fillId="0" borderId="0" xfId="0" applyNumberFormat="1" applyAlignment="1">
      <alignment vertical="center" wrapText="1"/>
    </xf>
    <xf numFmtId="0" fontId="8" fillId="0" borderId="0" xfId="0" applyFont="1"/>
    <xf numFmtId="0" fontId="9" fillId="0" borderId="0" xfId="0" applyFont="1" applyAlignment="1">
      <alignment horizontal="left"/>
    </xf>
    <xf numFmtId="0" fontId="8" fillId="0" borderId="0" xfId="0" applyFont="1"/>
    <xf numFmtId="0" fontId="1" fillId="0" borderId="0" xfId="0" applyFont="1" applyAlignment="1">
      <alignment horizontal="left"/>
    </xf>
    <xf numFmtId="0" fontId="0" fillId="0" borderId="0" xfId="0"/>
    <xf numFmtId="0" fontId="2" fillId="2" borderId="0" xfId="0" applyFont="1" applyFill="1" applyAlignment="1">
      <alignment horizontal="left" vertical="center"/>
    </xf>
    <xf numFmtId="0" fontId="5" fillId="3" borderId="0" xfId="0" applyFont="1" applyFill="1" applyAlignment="1">
      <alignment vertical="top" wrapText="1"/>
    </xf>
    <xf numFmtId="0" fontId="7" fillId="4" borderId="0" xfId="0" applyFont="1" applyFill="1" applyAlignment="1">
      <alignment vertical="center" wrapText="1"/>
    </xf>
    <xf numFmtId="0" fontId="10" fillId="0" borderId="0" xfId="0" applyFont="1"/>
    <xf numFmtId="0" fontId="11" fillId="0" borderId="0" xfId="0" applyFont="1"/>
    <xf numFmtId="0" fontId="12" fillId="0" borderId="0" xfId="0" applyFont="1"/>
    <xf numFmtId="0" fontId="13" fillId="0" borderId="0" xfId="0" applyFont="1" applyAlignment="1">
      <alignment horizontal="left"/>
    </xf>
    <xf numFmtId="0" fontId="15" fillId="0" borderId="0" xfId="0" applyFont="1" applyAlignment="1">
      <alignment horizontal="left"/>
    </xf>
    <xf numFmtId="0" fontId="17" fillId="4" borderId="0" xfId="0" applyFont="1" applyFill="1" applyAlignment="1">
      <alignment horizontal="center" vertical="center" wrapText="1"/>
    </xf>
    <xf numFmtId="0" fontId="18" fillId="5" borderId="1" xfId="0" applyFont="1" applyFill="1" applyBorder="1" applyAlignment="1">
      <alignment vertical="center" wrapText="1"/>
    </xf>
    <xf numFmtId="0" fontId="18" fillId="0" borderId="1" xfId="0" applyFont="1" applyBorder="1" applyAlignment="1">
      <alignment vertical="center" wrapText="1"/>
    </xf>
    <xf numFmtId="0" fontId="14" fillId="5"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6" fillId="0" borderId="0" xfId="0" applyFont="1" applyAlignment="1"/>
    <xf numFmtId="0" fontId="19" fillId="2" borderId="0" xfId="0" applyFont="1" applyFill="1" applyAlignment="1">
      <alignment horizontal="center" vertical="center"/>
    </xf>
    <xf numFmtId="0" fontId="20" fillId="0" borderId="0" xfId="1"/>
    <xf numFmtId="0" fontId="18" fillId="0" borderId="1" xfId="0" applyFont="1" applyBorder="1" applyAlignment="1">
      <alignment horizontal="center" vertical="center" wrapText="1"/>
    </xf>
    <xf numFmtId="0" fontId="26" fillId="6" borderId="1" xfId="0" applyFont="1" applyFill="1" applyBorder="1" applyAlignment="1">
      <alignment horizontal="center" vertical="center"/>
    </xf>
    <xf numFmtId="0" fontId="23" fillId="0" borderId="2" xfId="0" applyFont="1" applyBorder="1" applyAlignment="1">
      <alignment horizontal="center" vertical="center" wrapText="1"/>
    </xf>
    <xf numFmtId="0" fontId="24" fillId="0" borderId="0" xfId="0" applyFont="1" applyAlignment="1">
      <alignment horizontal="center" vertical="center"/>
    </xf>
    <xf numFmtId="0" fontId="22" fillId="0" borderId="0" xfId="0" applyFont="1" applyAlignment="1">
      <alignment vertical="top" wrapText="1"/>
    </xf>
    <xf numFmtId="0" fontId="21" fillId="0" borderId="0" xfId="0" applyFont="1" applyAlignment="1">
      <alignment horizontal="center" vertical="top" wrapText="1"/>
    </xf>
    <xf numFmtId="0" fontId="25" fillId="0" borderId="0" xfId="0" applyFont="1" applyAlignment="1">
      <alignment horizontal="center" vertical="center"/>
    </xf>
  </cellXfs>
  <cellStyles count="2">
    <cellStyle name="Hyperlink" xfId="1" builtinId="8"/>
    <cellStyle name="Normal" xfId="0" builtinId="0"/>
  </cellStyles>
  <dxfs count="3">
    <dxf>
      <font>
        <color rgb="FFFF0000"/>
      </font>
      <fill>
        <patternFill patternType="solid">
          <bgColor rgb="FFFCE4D6"/>
        </patternFill>
      </fill>
    </dxf>
    <dxf>
      <font>
        <color rgb="FF008000"/>
      </font>
      <fill>
        <patternFill patternType="solid">
          <bgColor rgb="FFE2F0D9"/>
        </patternFill>
      </fill>
    </dxf>
    <dxf>
      <font>
        <color rgb="FFFF0000"/>
      </font>
      <fill>
        <patternFill patternType="solid">
          <bgColor rgb="FFFCE4D6"/>
        </patternFill>
      </fill>
    </dxf>
  </dxfs>
  <tableStyles count="0" defaultTableStyle="TableStyleMedium2"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0"/>
        <c:ser>
          <c:idx val="0"/>
          <c:order val="0"/>
          <c:tx>
            <c:v>Best NPV</c:v>
          </c:tx>
          <c:invertIfNegative val="1"/>
          <c:cat>
            <c:strRef>
              <c:f>'3. Dashboard'!$A$9:$A$13</c:f>
              <c:strCache>
                <c:ptCount val="5"/>
                <c:pt idx="0">
                  <c:v>Monthly Variance Analysis</c:v>
                </c:pt>
                <c:pt idx="1">
                  <c:v>Board Deck Commentary</c:v>
                </c:pt>
                <c:pt idx="2">
                  <c:v>Forecast Model Refresh</c:v>
                </c:pt>
                <c:pt idx="3">
                  <c:v>Ad Hoc Business Case</c:v>
                </c:pt>
                <c:pt idx="4">
                  <c:v>ERP Forecast Upload</c:v>
                </c:pt>
              </c:strCache>
            </c:strRef>
          </c:cat>
          <c:val>
            <c:numRef>
              <c:f>'3. Dashboard'!$C$9:$C$13</c:f>
              <c:numCache>
                <c:formatCode>\$#,##0;[Red]\(\$#,##0\);\-</c:formatCode>
                <c:ptCount val="5"/>
              </c:numCache>
            </c:numRef>
          </c:val>
          <c:extLst>
            <c:ext xmlns:c16="http://schemas.microsoft.com/office/drawing/2014/chart" uri="{C3380CC4-5D6E-409C-BE32-E72D297353CC}">
              <c16:uniqueId val="{00000000-0AE9-4507-95D8-B45B4ED6886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hyperlink" Target="https://www.youtube.com/@christianmartinezAIforFinance" TargetMode="Externa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108697</xdr:colOff>
      <xdr:row>1</xdr:row>
      <xdr:rowOff>37877</xdr:rowOff>
    </xdr:from>
    <xdr:to>
      <xdr:col>1</xdr:col>
      <xdr:colOff>4310495</xdr:colOff>
      <xdr:row>1</xdr:row>
      <xdr:rowOff>909066</xdr:rowOff>
    </xdr:to>
    <xdr:pic>
      <xdr:nvPicPr>
        <xdr:cNvPr id="2" name="Picture 1">
          <a:hlinkClick xmlns:r="http://schemas.openxmlformats.org/officeDocument/2006/relationships" r:id="rId1"/>
          <a:extLst>
            <a:ext uri="{FF2B5EF4-FFF2-40B4-BE49-F238E27FC236}">
              <a16:creationId xmlns:a16="http://schemas.microsoft.com/office/drawing/2014/main" id="{AEA08005-CD27-8230-4CA6-F1577CC36CEF}"/>
            </a:ext>
          </a:extLst>
        </xdr:cNvPr>
        <xdr:cNvPicPr>
          <a:picLocks noChangeAspect="1"/>
        </xdr:cNvPicPr>
      </xdr:nvPicPr>
      <xdr:blipFill>
        <a:blip xmlns:r="http://schemas.openxmlformats.org/officeDocument/2006/relationships" r:embed="rId2"/>
        <a:stretch>
          <a:fillRect/>
        </a:stretch>
      </xdr:blipFill>
      <xdr:spPr>
        <a:xfrm>
          <a:off x="108697" y="970206"/>
          <a:ext cx="4735606" cy="871189"/>
        </a:xfrm>
        <a:prstGeom prst="rect">
          <a:avLst/>
        </a:prstGeom>
      </xdr:spPr>
    </xdr:pic>
    <xdr:clientData/>
  </xdr:twoCellAnchor>
  <xdr:twoCellAnchor editAs="oneCell">
    <xdr:from>
      <xdr:col>6</xdr:col>
      <xdr:colOff>651161</xdr:colOff>
      <xdr:row>0</xdr:row>
      <xdr:rowOff>512619</xdr:rowOff>
    </xdr:from>
    <xdr:to>
      <xdr:col>19</xdr:col>
      <xdr:colOff>596346</xdr:colOff>
      <xdr:row>11</xdr:row>
      <xdr:rowOff>429491</xdr:rowOff>
    </xdr:to>
    <xdr:pic>
      <xdr:nvPicPr>
        <xdr:cNvPr id="3" name="Picture 2">
          <a:extLst>
            <a:ext uri="{FF2B5EF4-FFF2-40B4-BE49-F238E27FC236}">
              <a16:creationId xmlns:a16="http://schemas.microsoft.com/office/drawing/2014/main" id="{A9DD0016-E21B-4E39-2398-D59D56342F81}"/>
            </a:ext>
          </a:extLst>
        </xdr:cNvPr>
        <xdr:cNvPicPr>
          <a:picLocks noChangeAspect="1"/>
        </xdr:cNvPicPr>
      </xdr:nvPicPr>
      <xdr:blipFill>
        <a:blip xmlns:r="http://schemas.openxmlformats.org/officeDocument/2006/relationships" r:embed="rId3"/>
        <a:stretch>
          <a:fillRect/>
        </a:stretch>
      </xdr:blipFill>
      <xdr:spPr>
        <a:xfrm>
          <a:off x="8950034" y="512619"/>
          <a:ext cx="8590421" cy="6109854"/>
        </a:xfrm>
        <a:prstGeom prst="rect">
          <a:avLst/>
        </a:prstGeom>
      </xdr:spPr>
    </xdr:pic>
    <xdr:clientData/>
  </xdr:twoCellAnchor>
  <xdr:twoCellAnchor editAs="oneCell">
    <xdr:from>
      <xdr:col>19</xdr:col>
      <xdr:colOff>422562</xdr:colOff>
      <xdr:row>1</xdr:row>
      <xdr:rowOff>31174</xdr:rowOff>
    </xdr:from>
    <xdr:to>
      <xdr:col>26</xdr:col>
      <xdr:colOff>206584</xdr:colOff>
      <xdr:row>11</xdr:row>
      <xdr:rowOff>230334</xdr:rowOff>
    </xdr:to>
    <xdr:pic>
      <xdr:nvPicPr>
        <xdr:cNvPr id="4" name="Picture 3">
          <a:extLst>
            <a:ext uri="{FF2B5EF4-FFF2-40B4-BE49-F238E27FC236}">
              <a16:creationId xmlns:a16="http://schemas.microsoft.com/office/drawing/2014/main" id="{9C5F7671-EE64-2493-A681-F02A745FBD83}"/>
            </a:ext>
          </a:extLst>
        </xdr:cNvPr>
        <xdr:cNvPicPr>
          <a:picLocks noChangeAspect="1"/>
        </xdr:cNvPicPr>
      </xdr:nvPicPr>
      <xdr:blipFill rotWithShape="1">
        <a:blip xmlns:r="http://schemas.openxmlformats.org/officeDocument/2006/relationships" r:embed="rId4"/>
        <a:srcRect r="58031" b="16394"/>
        <a:stretch>
          <a:fillRect/>
        </a:stretch>
      </xdr:blipFill>
      <xdr:spPr>
        <a:xfrm>
          <a:off x="17366671" y="959429"/>
          <a:ext cx="4439149" cy="5463887"/>
        </a:xfrm>
        <a:prstGeom prst="rect">
          <a:avLst/>
        </a:prstGeom>
      </xdr:spPr>
    </xdr:pic>
    <xdr:clientData/>
  </xdr:twoCellAnchor>
  <xdr:twoCellAnchor editAs="oneCell">
    <xdr:from>
      <xdr:col>2</xdr:col>
      <xdr:colOff>346364</xdr:colOff>
      <xdr:row>6</xdr:row>
      <xdr:rowOff>41563</xdr:rowOff>
    </xdr:from>
    <xdr:to>
      <xdr:col>7</xdr:col>
      <xdr:colOff>346363</xdr:colOff>
      <xdr:row>8</xdr:row>
      <xdr:rowOff>532740</xdr:rowOff>
    </xdr:to>
    <xdr:pic>
      <xdr:nvPicPr>
        <xdr:cNvPr id="6" name="Picture 5">
          <a:extLst>
            <a:ext uri="{FF2B5EF4-FFF2-40B4-BE49-F238E27FC236}">
              <a16:creationId xmlns:a16="http://schemas.microsoft.com/office/drawing/2014/main" id="{C89A8BC0-A494-7EBA-CE52-0C01F9FC5CB3}"/>
            </a:ext>
          </a:extLst>
        </xdr:cNvPr>
        <xdr:cNvPicPr>
          <a:picLocks noChangeAspect="1"/>
        </xdr:cNvPicPr>
      </xdr:nvPicPr>
      <xdr:blipFill>
        <a:blip xmlns:r="http://schemas.openxmlformats.org/officeDocument/2006/relationships" r:embed="rId5"/>
        <a:stretch>
          <a:fillRect/>
        </a:stretch>
      </xdr:blipFill>
      <xdr:spPr>
        <a:xfrm>
          <a:off x="5985164" y="3823854"/>
          <a:ext cx="3325090" cy="1710377"/>
        </a:xfrm>
        <a:prstGeom prst="rect">
          <a:avLst/>
        </a:prstGeom>
      </xdr:spPr>
    </xdr:pic>
    <xdr:clientData/>
  </xdr:twoCellAnchor>
  <xdr:twoCellAnchor editAs="oneCell">
    <xdr:from>
      <xdr:col>2</xdr:col>
      <xdr:colOff>360215</xdr:colOff>
      <xdr:row>10</xdr:row>
      <xdr:rowOff>69273</xdr:rowOff>
    </xdr:from>
    <xdr:to>
      <xdr:col>7</xdr:col>
      <xdr:colOff>207817</xdr:colOff>
      <xdr:row>13</xdr:row>
      <xdr:rowOff>194427</xdr:rowOff>
    </xdr:to>
    <xdr:pic>
      <xdr:nvPicPr>
        <xdr:cNvPr id="7" name="Picture 6">
          <a:extLst>
            <a:ext uri="{FF2B5EF4-FFF2-40B4-BE49-F238E27FC236}">
              <a16:creationId xmlns:a16="http://schemas.microsoft.com/office/drawing/2014/main" id="{4C5EF9C1-08A3-0A14-242B-B57C5053E05E}"/>
            </a:ext>
          </a:extLst>
        </xdr:cNvPr>
        <xdr:cNvPicPr>
          <a:picLocks noChangeAspect="1"/>
        </xdr:cNvPicPr>
      </xdr:nvPicPr>
      <xdr:blipFill>
        <a:blip xmlns:r="http://schemas.openxmlformats.org/officeDocument/2006/relationships" r:embed="rId6"/>
        <a:stretch>
          <a:fillRect/>
        </a:stretch>
      </xdr:blipFill>
      <xdr:spPr>
        <a:xfrm>
          <a:off x="5999015" y="5791200"/>
          <a:ext cx="3172693" cy="1815409"/>
        </a:xfrm>
        <a:prstGeom prst="rect">
          <a:avLst/>
        </a:prstGeom>
      </xdr:spPr>
    </xdr:pic>
    <xdr:clientData/>
  </xdr:twoCellAnchor>
  <xdr:twoCellAnchor editAs="oneCell">
    <xdr:from>
      <xdr:col>25</xdr:col>
      <xdr:colOff>249382</xdr:colOff>
      <xdr:row>0</xdr:row>
      <xdr:rowOff>249382</xdr:rowOff>
    </xdr:from>
    <xdr:to>
      <xdr:col>32</xdr:col>
      <xdr:colOff>389965</xdr:colOff>
      <xdr:row>13</xdr:row>
      <xdr:rowOff>461840</xdr:rowOff>
    </xdr:to>
    <xdr:pic>
      <xdr:nvPicPr>
        <xdr:cNvPr id="8" name="Picture 7">
          <a:extLst>
            <a:ext uri="{FF2B5EF4-FFF2-40B4-BE49-F238E27FC236}">
              <a16:creationId xmlns:a16="http://schemas.microsoft.com/office/drawing/2014/main" id="{A1DE78C1-3844-4594-947F-78F2920BD0CF}"/>
            </a:ext>
          </a:extLst>
        </xdr:cNvPr>
        <xdr:cNvPicPr>
          <a:picLocks noChangeAspect="1"/>
        </xdr:cNvPicPr>
      </xdr:nvPicPr>
      <xdr:blipFill>
        <a:blip xmlns:r="http://schemas.openxmlformats.org/officeDocument/2006/relationships" r:embed="rId7"/>
        <a:stretch>
          <a:fillRect/>
        </a:stretch>
      </xdr:blipFill>
      <xdr:spPr>
        <a:xfrm>
          <a:off x="21183600" y="249382"/>
          <a:ext cx="4795710" cy="7624640"/>
        </a:xfrm>
        <a:prstGeom prst="rect">
          <a:avLst/>
        </a:prstGeom>
      </xdr:spPr>
    </xdr:pic>
    <xdr:clientData/>
  </xdr:twoCellAnchor>
  <xdr:twoCellAnchor editAs="oneCell">
    <xdr:from>
      <xdr:col>2</xdr:col>
      <xdr:colOff>277091</xdr:colOff>
      <xdr:row>1</xdr:row>
      <xdr:rowOff>1122218</xdr:rowOff>
    </xdr:from>
    <xdr:to>
      <xdr:col>7</xdr:col>
      <xdr:colOff>392927</xdr:colOff>
      <xdr:row>4</xdr:row>
      <xdr:rowOff>83127</xdr:rowOff>
    </xdr:to>
    <xdr:pic>
      <xdr:nvPicPr>
        <xdr:cNvPr id="9" name="Picture 8">
          <a:hlinkClick xmlns:r="http://schemas.openxmlformats.org/officeDocument/2006/relationships" r:id="rId1"/>
          <a:extLst>
            <a:ext uri="{FF2B5EF4-FFF2-40B4-BE49-F238E27FC236}">
              <a16:creationId xmlns:a16="http://schemas.microsoft.com/office/drawing/2014/main" id="{6B2DD907-6233-9661-C221-3B6E85E7148C}"/>
            </a:ext>
          </a:extLst>
        </xdr:cNvPr>
        <xdr:cNvPicPr>
          <a:picLocks noChangeAspect="1"/>
        </xdr:cNvPicPr>
      </xdr:nvPicPr>
      <xdr:blipFill>
        <a:blip xmlns:r="http://schemas.openxmlformats.org/officeDocument/2006/relationships" r:embed="rId8"/>
        <a:stretch>
          <a:fillRect/>
        </a:stretch>
      </xdr:blipFill>
      <xdr:spPr>
        <a:xfrm>
          <a:off x="5915891" y="2050473"/>
          <a:ext cx="3440927" cy="11083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190501</xdr:colOff>
      <xdr:row>1</xdr:row>
      <xdr:rowOff>22860</xdr:rowOff>
    </xdr:from>
    <xdr:to>
      <xdr:col>11</xdr:col>
      <xdr:colOff>120805</xdr:colOff>
      <xdr:row>14</xdr:row>
      <xdr:rowOff>1920240</xdr:rowOff>
    </xdr:to>
    <xdr:pic>
      <xdr:nvPicPr>
        <xdr:cNvPr id="4" name="Picture 3">
          <a:extLst>
            <a:ext uri="{FF2B5EF4-FFF2-40B4-BE49-F238E27FC236}">
              <a16:creationId xmlns:a16="http://schemas.microsoft.com/office/drawing/2014/main" id="{F605EE19-4CF1-52C8-35CD-C96EF527F0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86701" y="243840"/>
          <a:ext cx="5965344" cy="10599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0</xdr:colOff>
      <xdr:row>18</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30480</xdr:colOff>
      <xdr:row>7</xdr:row>
      <xdr:rowOff>60960</xdr:rowOff>
    </xdr:from>
    <xdr:to>
      <xdr:col>11</xdr:col>
      <xdr:colOff>646353</xdr:colOff>
      <xdr:row>39</xdr:row>
      <xdr:rowOff>44808</xdr:rowOff>
    </xdr:to>
    <xdr:pic>
      <xdr:nvPicPr>
        <xdr:cNvPr id="2" name="Picture 1">
          <a:extLst>
            <a:ext uri="{FF2B5EF4-FFF2-40B4-BE49-F238E27FC236}">
              <a16:creationId xmlns:a16="http://schemas.microsoft.com/office/drawing/2014/main" id="{D17827F9-E54E-C53F-F4FB-AA15093977DC}"/>
            </a:ext>
          </a:extLst>
        </xdr:cNvPr>
        <xdr:cNvPicPr>
          <a:picLocks noChangeAspect="1"/>
        </xdr:cNvPicPr>
      </xdr:nvPicPr>
      <xdr:blipFill>
        <a:blip xmlns:r="http://schemas.openxmlformats.org/officeDocument/2006/relationships" r:embed="rId1"/>
        <a:stretch>
          <a:fillRect/>
        </a:stretch>
      </xdr:blipFill>
      <xdr:spPr>
        <a:xfrm>
          <a:off x="205740" y="1287780"/>
          <a:ext cx="7321473" cy="5592168"/>
        </a:xfrm>
        <a:prstGeom prst="rect">
          <a:avLst/>
        </a:prstGeom>
      </xdr:spPr>
    </xdr:pic>
    <xdr:clientData/>
  </xdr:twoCellAnchor>
  <xdr:twoCellAnchor editAs="oneCell">
    <xdr:from>
      <xdr:col>12</xdr:col>
      <xdr:colOff>617220</xdr:colOff>
      <xdr:row>8</xdr:row>
      <xdr:rowOff>60960</xdr:rowOff>
    </xdr:from>
    <xdr:to>
      <xdr:col>25</xdr:col>
      <xdr:colOff>55203</xdr:colOff>
      <xdr:row>43</xdr:row>
      <xdr:rowOff>121178</xdr:rowOff>
    </xdr:to>
    <xdr:pic>
      <xdr:nvPicPr>
        <xdr:cNvPr id="3" name="Picture 2">
          <a:extLst>
            <a:ext uri="{FF2B5EF4-FFF2-40B4-BE49-F238E27FC236}">
              <a16:creationId xmlns:a16="http://schemas.microsoft.com/office/drawing/2014/main" id="{7860EAEA-2B12-8509-379A-58F4A6C398AE}"/>
            </a:ext>
          </a:extLst>
        </xdr:cNvPr>
        <xdr:cNvPicPr>
          <a:picLocks noChangeAspect="1"/>
        </xdr:cNvPicPr>
      </xdr:nvPicPr>
      <xdr:blipFill>
        <a:blip xmlns:r="http://schemas.openxmlformats.org/officeDocument/2006/relationships" r:embed="rId2"/>
        <a:stretch>
          <a:fillRect/>
        </a:stretch>
      </xdr:blipFill>
      <xdr:spPr>
        <a:xfrm>
          <a:off x="8168640" y="1463040"/>
          <a:ext cx="8155263" cy="619431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ssumptionsTable" displayName="AssumptionsTable" ref="A4:Z16">
  <tableColumns count="26">
    <tableColumn id="1" xr3:uid="{00000000-0010-0000-0000-000001000000}" name="Process ID"/>
    <tableColumn id="2" xr3:uid="{00000000-0010-0000-0000-000002000000}" name="Process Name"/>
    <tableColumn id="3" xr3:uid="{00000000-0010-0000-0000-000003000000}" name="AI Option"/>
    <tableColumn id="4" xr3:uid="{00000000-0010-0000-0000-000004000000}" name="Option Rank"/>
    <tableColumn id="5" xr3:uid="{00000000-0010-0000-0000-000005000000}" name="Salary ($/hr)"/>
    <tableColumn id="6" xr3:uid="{00000000-0010-0000-0000-000006000000}" name="Current Hours / Run"/>
    <tableColumn id="7" xr3:uid="{00000000-0010-0000-0000-000007000000}" name="Frequency / Month"/>
    <tableColumn id="8" xr3:uid="{00000000-0010-0000-0000-000008000000}" name="Process Life (Months)"/>
    <tableColumn id="9" xr3:uid="{00000000-0010-0000-0000-000009000000}" name="Automation Rate"/>
    <tableColumn id="10" xr3:uid="{00000000-0010-0000-0000-00000A000000}" name="Quality Factor"/>
    <tableColumn id="11" xr3:uid="{00000000-0010-0000-0000-00000B000000}" name="Setup Hours"/>
    <tableColumn id="12" xr3:uid="{00000000-0010-0000-0000-00000C000000}" name="Learning Hours / User"/>
    <tableColumn id="13" xr3:uid="{00000000-0010-0000-0000-00000D000000}" name="Users"/>
    <tableColumn id="14" xr3:uid="{00000000-0010-0000-0000-00000E000000}" name="Input Tokens / Run (M)"/>
    <tableColumn id="15" xr3:uid="{00000000-0010-0000-0000-00000F000000}" name="Output Tokens / Run (M)"/>
    <tableColumn id="16" xr3:uid="{00000000-0010-0000-0000-000010000000}" name="Input Token Price ($/1M)"/>
    <tableColumn id="17" xr3:uid="{00000000-0010-0000-0000-000011000000}" name="Output Token Price ($/1M)"/>
    <tableColumn id="18" xr3:uid="{00000000-0010-0000-0000-000012000000}" name="Fixed Tool Cost / Month"/>
    <tableColumn id="19" xr3:uid="{00000000-0010-0000-0000-000013000000}" name="Review Hours / Run"/>
    <tableColumn id="20" xr3:uid="{00000000-0010-0000-0000-000014000000}" name="Error Probability"/>
    <tableColumn id="21" xr3:uid="{00000000-0010-0000-0000-000015000000}" name="Error Impact ($)"/>
    <tableColumn id="22" xr3:uid="{00000000-0010-0000-0000-000016000000}" name="Control Strength"/>
    <tableColumn id="23" xr3:uid="{00000000-0010-0000-0000-000017000000}" name="Annual Discount Rate"/>
    <tableColumn id="24" xr3:uid="{00000000-0010-0000-0000-000018000000}" name="Maintenance Hours / Month"/>
    <tableColumn id="25" xr3:uid="{00000000-0010-0000-0000-000019000000}" name="Integration / Governance Cost ($)"/>
    <tableColumn id="26" xr3:uid="{00000000-0010-0000-0000-00001A000000}" name="Source / 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lculationsTable" displayName="CalculationsTable" ref="A4:AC16">
  <tableColumns count="29">
    <tableColumn id="1" xr3:uid="{00000000-0010-0000-0100-000001000000}" name="Process Name"/>
    <tableColumn id="2" xr3:uid="{00000000-0010-0000-0100-000002000000}" name="AI Option"/>
    <tableColumn id="3" xr3:uid="{00000000-0010-0000-0100-000003000000}" name="Option Rank"/>
    <tableColumn id="4" xr3:uid="{00000000-0010-0000-0100-000004000000}" name="Monthly Discount Rate"/>
    <tableColumn id="5" xr3:uid="{00000000-0010-0000-0100-000005000000}" name="Baseline Monthly Cost"/>
    <tableColumn id="6" xr3:uid="{00000000-0010-0000-0100-000006000000}" name="Effective Automation Rate"/>
    <tableColumn id="7" xr3:uid="{00000000-0010-0000-0100-000007000000}" name="Gross Monthly Labor Savings"/>
    <tableColumn id="8" xr3:uid="{00000000-0010-0000-0100-000008000000}" name="Monthly Token Cost"/>
    <tableColumn id="9" xr3:uid="{00000000-0010-0000-0100-000009000000}" name="Monthly Tool Cost"/>
    <tableColumn id="10" xr3:uid="{00000000-0010-0000-0100-00000A000000}" name="Monthly Review Cost"/>
    <tableColumn id="11" xr3:uid="{00000000-0010-0000-0100-00000B000000}" name="Monthly Risk Cost"/>
    <tableColumn id="12" xr3:uid="{00000000-0010-0000-0100-00000C000000}" name="Monthly Maintenance Cost"/>
    <tableColumn id="13" xr3:uid="{00000000-0010-0000-0100-00000D000000}" name="Total Monthly AI Cost"/>
    <tableColumn id="14" xr3:uid="{00000000-0010-0000-0100-00000E000000}" name="Monthly Net Savings"/>
    <tableColumn id="15" xr3:uid="{00000000-0010-0000-0100-00000F000000}" name="Setup Cost"/>
    <tableColumn id="16" xr3:uid="{00000000-0010-0000-0100-000010000000}" name="Learning Cost"/>
    <tableColumn id="17" xr3:uid="{00000000-0010-0000-0100-000011000000}" name="Upfront Cost"/>
    <tableColumn id="18" xr3:uid="{00000000-0010-0000-0100-000012000000}" name="Expected Process Life"/>
    <tableColumn id="19" xr3:uid="{00000000-0010-0000-0100-000013000000}" name="PV Factor"/>
    <tableColumn id="20" xr3:uid="{00000000-0010-0000-0100-000014000000}" name="PV Net Savings"/>
    <tableColumn id="21" xr3:uid="{00000000-0010-0000-0100-000015000000}" name="NPV"/>
    <tableColumn id="22" xr3:uid="{00000000-0010-0000-0100-000016000000}" name="ROI"/>
    <tableColumn id="23" xr3:uid="{00000000-0010-0000-0100-000017000000}" name="Payback Months"/>
    <tableColumn id="24" xr3:uid="{00000000-0010-0000-0100-000018000000}" name="AI Score"/>
    <tableColumn id="25" xr3:uid="{00000000-0010-0000-0100-000019000000}" name="PV Tokens Used (M)"/>
    <tableColumn id="26" xr3:uid="{00000000-0010-0000-0100-00001A000000}" name="Actual Blended Token Price ($/1M)"/>
    <tableColumn id="27" xr3:uid="{00000000-0010-0000-0100-00001B000000}" name="Max Break-even Token Price ($/1M)"/>
    <tableColumn id="28" xr3:uid="{00000000-0010-0000-0100-00001C000000}" name="Recommendation"/>
    <tableColumn id="29" xr3:uid="{00000000-0010-0000-0100-00001D000000}" name="CFO Explan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shboardTable" displayName="DashboardTable" ref="A8:H13">
  <tableColumns count="8">
    <tableColumn id="1" xr3:uid="{00000000-0010-0000-0200-000001000000}" name="Process"/>
    <tableColumn id="2" xr3:uid="{00000000-0010-0000-0200-000002000000}" name="Recommended Option"/>
    <tableColumn id="3" xr3:uid="{00000000-0010-0000-0200-000003000000}" name="Best NPV"/>
    <tableColumn id="4" xr3:uid="{00000000-0010-0000-0200-000004000000}" name="Monthly Net Savings"/>
    <tableColumn id="5" xr3:uid="{00000000-0010-0000-0200-000005000000}" name="Payback Months"/>
    <tableColumn id="6" xr3:uid="{00000000-0010-0000-0200-000006000000}" name="AI Score"/>
    <tableColumn id="7" xr3:uid="{00000000-0010-0000-0200-000007000000}" name="Token Break-even ($/1M)"/>
    <tableColumn id="8" xr3:uid="{00000000-0010-0000-0200-000008000000}" name="CFO Ac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okenBreakevenTable" displayName="TokenBreakevenTable" ref="A5:I17">
  <tableColumns count="9">
    <tableColumn id="1" xr3:uid="{00000000-0010-0000-0300-000001000000}" name="Process"/>
    <tableColumn id="2" xr3:uid="{00000000-0010-0000-0300-000002000000}" name="AI Option"/>
    <tableColumn id="3" xr3:uid="{00000000-0010-0000-0300-000003000000}" name="NPV"/>
    <tableColumn id="4" xr3:uid="{00000000-0010-0000-0300-000004000000}" name="Actual Blended Token Price ($/1M)"/>
    <tableColumn id="5" xr3:uid="{00000000-0010-0000-0300-000005000000}" name="Max Break-even Token Price ($/1M)"/>
    <tableColumn id="6" xr3:uid="{00000000-0010-0000-0300-000006000000}" name="Token Price Headroom"/>
    <tableColumn id="7" xr3:uid="{00000000-0010-0000-0300-000007000000}" name="Payback Months"/>
    <tableColumn id="8" xr3:uid="{00000000-0010-0000-0300-000008000000}" name="Recommendation"/>
    <tableColumn id="9" xr3:uid="{00000000-0010-0000-0300-000009000000}" name="CFO Interpret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crementalBreakevenTable" displayName="IncrementalBreakevenTable" ref="A21:I23">
  <tableColumns count="9">
    <tableColumn id="1" xr3:uid="{00000000-0010-0000-0400-000001000000}" name="Process"/>
    <tableColumn id="2" xr3:uid="{00000000-0010-0000-0400-000002000000}" name="Custom GPT Calc Row"/>
    <tableColumn id="3" xr3:uid="{00000000-0010-0000-0400-000003000000}" name="Agent Calc Row"/>
    <tableColumn id="4" xr3:uid="{00000000-0010-0000-0400-000004000000}" name="Extra Monthly Value Excl. Tokens"/>
    <tableColumn id="5" xr3:uid="{00000000-0010-0000-0400-000005000000}" name="Extra Upfront Cost"/>
    <tableColumn id="6" xr3:uid="{00000000-0010-0000-0400-000006000000}" name="Extra PV Tokens Used (M)"/>
    <tableColumn id="7" xr3:uid="{00000000-0010-0000-0400-000007000000}" name="Incremental Break-even Token Price ($/1M)"/>
    <tableColumn id="8" xr3:uid="{00000000-0010-0000-0400-000008000000}" name="Actual Agent Token Price ($/1M)"/>
    <tableColumn id="9" xr3:uid="{00000000-0010-0000-0400-000009000000}" name="Decis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colab.research.google.com/drive/1HcgyKElPZNzBr9w_Y2Fs1y01cuaDuVk2?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X17"/>
  <sheetViews>
    <sheetView showGridLines="0" tabSelected="1" zoomScale="55" zoomScaleNormal="55" workbookViewId="0">
      <selection activeCell="N14" sqref="N14"/>
    </sheetView>
  </sheetViews>
  <sheetFormatPr defaultRowHeight="16.8"/>
  <cols>
    <col min="1" max="1" width="6.8984375" style="36" customWidth="1"/>
    <col min="2" max="2" width="67" style="36" customWidth="1"/>
    <col min="3" max="16384" width="8.796875" style="36"/>
  </cols>
  <sheetData>
    <row r="1" spans="1:24" ht="73.2" customHeight="1">
      <c r="A1" s="38" t="s">
        <v>0</v>
      </c>
      <c r="B1" s="34"/>
      <c r="C1" s="34"/>
      <c r="D1" s="34"/>
      <c r="E1" s="34"/>
      <c r="F1" s="35"/>
      <c r="G1" s="35"/>
      <c r="H1" s="35"/>
      <c r="I1" s="35"/>
      <c r="J1" s="35"/>
      <c r="K1" s="35"/>
      <c r="L1" s="35"/>
      <c r="M1" s="35"/>
      <c r="N1" s="35"/>
      <c r="O1" s="35"/>
      <c r="P1" s="35"/>
      <c r="Q1" s="35"/>
      <c r="R1" s="35"/>
      <c r="S1" s="35"/>
      <c r="T1" s="35"/>
      <c r="U1" s="35"/>
      <c r="V1" s="35"/>
      <c r="W1" s="35"/>
    </row>
    <row r="2" spans="1:24" ht="96.6" customHeight="1">
      <c r="A2" s="37"/>
      <c r="B2" s="35"/>
      <c r="C2" s="53" t="s">
        <v>132</v>
      </c>
      <c r="D2" s="53"/>
      <c r="E2" s="53"/>
      <c r="F2" s="53"/>
      <c r="G2" s="53"/>
      <c r="H2" s="35"/>
      <c r="I2" s="35"/>
      <c r="J2" s="35"/>
      <c r="K2" s="35"/>
      <c r="L2" s="35"/>
      <c r="M2" s="35"/>
      <c r="N2" s="35"/>
      <c r="O2" s="35"/>
      <c r="P2" s="35"/>
      <c r="Q2" s="35"/>
      <c r="R2" s="35"/>
      <c r="S2" s="35"/>
      <c r="T2" s="35"/>
      <c r="U2" s="35"/>
      <c r="V2" s="35"/>
      <c r="W2" s="35"/>
    </row>
    <row r="3" spans="1:24" ht="68.400000000000006" customHeight="1">
      <c r="A3" s="52" t="s">
        <v>1</v>
      </c>
      <c r="B3" s="52"/>
      <c r="C3" s="51"/>
      <c r="D3" s="51"/>
      <c r="E3" s="51"/>
      <c r="F3" s="51"/>
      <c r="G3" s="51"/>
    </row>
    <row r="4" spans="1:24" ht="3.6" customHeight="1"/>
    <row r="5" spans="1:24" ht="36.6" customHeight="1">
      <c r="A5" s="45" t="s">
        <v>115</v>
      </c>
      <c r="B5" s="45"/>
      <c r="C5" s="44"/>
      <c r="D5" s="44"/>
      <c r="E5" s="44"/>
    </row>
    <row r="6" spans="1:24" ht="18.600000000000001" customHeight="1"/>
    <row r="7" spans="1:24" ht="48" customHeight="1">
      <c r="A7" s="42" t="s">
        <v>2</v>
      </c>
      <c r="B7" s="40" t="s">
        <v>3</v>
      </c>
    </row>
    <row r="8" spans="1:24" ht="48" customHeight="1">
      <c r="A8" s="43" t="s">
        <v>4</v>
      </c>
      <c r="B8" s="41" t="s">
        <v>5</v>
      </c>
    </row>
    <row r="9" spans="1:24" ht="48" customHeight="1">
      <c r="A9" s="42" t="s">
        <v>6</v>
      </c>
      <c r="B9" s="40" t="s">
        <v>7</v>
      </c>
    </row>
    <row r="10" spans="1:24" ht="9" customHeight="1"/>
    <row r="11" spans="1:24" ht="36.6" customHeight="1">
      <c r="A11" s="45" t="s">
        <v>116</v>
      </c>
      <c r="B11" s="45"/>
    </row>
    <row r="12" spans="1:24" ht="48" customHeight="1">
      <c r="A12" s="43" t="s">
        <v>117</v>
      </c>
      <c r="B12" s="41" t="s">
        <v>8</v>
      </c>
    </row>
    <row r="13" spans="1:24" ht="48" customHeight="1">
      <c r="A13" s="42" t="s">
        <v>118</v>
      </c>
      <c r="B13" s="40" t="s">
        <v>9</v>
      </c>
    </row>
    <row r="14" spans="1:24" ht="62.4" customHeight="1">
      <c r="A14" s="43" t="s">
        <v>119</v>
      </c>
      <c r="B14" s="41" t="s">
        <v>120</v>
      </c>
    </row>
    <row r="16" spans="1:24" ht="45" customHeight="1">
      <c r="A16" s="39" t="s">
        <v>10</v>
      </c>
      <c r="B16" s="39"/>
      <c r="C16" s="39"/>
      <c r="D16" s="39"/>
      <c r="E16" s="39"/>
      <c r="F16" s="39"/>
      <c r="G16" s="39"/>
      <c r="H16" s="39"/>
      <c r="I16" s="39"/>
      <c r="J16" s="39"/>
      <c r="K16" s="39"/>
      <c r="L16" s="39"/>
      <c r="M16" s="39"/>
      <c r="N16" s="39"/>
      <c r="O16" s="39"/>
      <c r="P16" s="39"/>
      <c r="Q16" s="39"/>
      <c r="R16" s="39"/>
      <c r="S16" s="39"/>
      <c r="T16" s="39"/>
      <c r="U16" s="39"/>
      <c r="V16" s="39"/>
      <c r="W16" s="39"/>
      <c r="X16" s="39"/>
    </row>
    <row r="17" spans="1:24" ht="16.8" customHeight="1">
      <c r="A17" s="39"/>
      <c r="B17" s="39"/>
      <c r="C17" s="39"/>
      <c r="D17" s="39"/>
      <c r="E17" s="39"/>
      <c r="F17" s="39"/>
      <c r="G17" s="39"/>
      <c r="H17" s="39"/>
      <c r="I17" s="39"/>
      <c r="J17" s="39"/>
      <c r="K17" s="39"/>
      <c r="L17" s="39"/>
      <c r="M17" s="39"/>
      <c r="N17" s="39"/>
      <c r="O17" s="39"/>
      <c r="P17" s="39"/>
      <c r="Q17" s="39"/>
      <c r="R17" s="39"/>
      <c r="S17" s="39"/>
      <c r="T17" s="39"/>
      <c r="U17" s="39"/>
      <c r="V17" s="39"/>
      <c r="W17" s="39"/>
      <c r="X17" s="39"/>
    </row>
  </sheetData>
  <mergeCells count="6">
    <mergeCell ref="A16:X17"/>
    <mergeCell ref="A5:B5"/>
    <mergeCell ref="A11:B11"/>
    <mergeCell ref="A3:B3"/>
    <mergeCell ref="A1:E1"/>
    <mergeCell ref="C2:G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2AA2-3748-49ED-B032-53FDB5889F62}">
  <sheetPr>
    <tabColor theme="3" tint="0.89999084444715716"/>
  </sheetPr>
  <dimension ref="B2:B15"/>
  <sheetViews>
    <sheetView showGridLines="0" zoomScaleNormal="100" workbookViewId="0">
      <selection activeCell="B5" sqref="B5"/>
    </sheetView>
  </sheetViews>
  <sheetFormatPr defaultRowHeight="17.399999999999999"/>
  <cols>
    <col min="1" max="1" width="3.09765625" customWidth="1"/>
    <col min="2" max="2" width="97.8984375" style="50" customWidth="1"/>
  </cols>
  <sheetData>
    <row r="2" spans="2:2" ht="42" customHeight="1">
      <c r="B2" s="48" t="s">
        <v>126</v>
      </c>
    </row>
    <row r="3" spans="2:2" ht="61.2">
      <c r="B3" s="49" t="s">
        <v>130</v>
      </c>
    </row>
    <row r="4" spans="2:2" ht="7.8" customHeight="1">
      <c r="B4" s="47"/>
    </row>
    <row r="5" spans="2:2" ht="81.599999999999994">
      <c r="B5" s="47" t="s">
        <v>131</v>
      </c>
    </row>
    <row r="6" spans="2:2" ht="4.8" customHeight="1">
      <c r="B6" s="47"/>
    </row>
    <row r="7" spans="2:2" ht="81.599999999999994">
      <c r="B7" s="47" t="s">
        <v>121</v>
      </c>
    </row>
    <row r="8" spans="2:2" ht="6" customHeight="1">
      <c r="B8" s="47"/>
    </row>
    <row r="9" spans="2:2" ht="142.80000000000001">
      <c r="B9" s="47" t="s">
        <v>122</v>
      </c>
    </row>
    <row r="10" spans="2:2" ht="4.2" customHeight="1">
      <c r="B10" s="47"/>
    </row>
    <row r="11" spans="2:2" ht="102">
      <c r="B11" s="47" t="s">
        <v>123</v>
      </c>
    </row>
    <row r="12" spans="2:2" ht="4.2" customHeight="1">
      <c r="B12" s="47"/>
    </row>
    <row r="13" spans="2:2" ht="142.80000000000001">
      <c r="B13" s="47" t="s">
        <v>124</v>
      </c>
    </row>
    <row r="14" spans="2:2" ht="4.2" customHeight="1">
      <c r="B14" s="47"/>
    </row>
    <row r="15" spans="2:2" ht="151.80000000000001" customHeight="1">
      <c r="B15" s="47" t="s">
        <v>125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Z16"/>
  <sheetViews>
    <sheetView showGridLines="0" zoomScale="85" zoomScaleNormal="85" workbookViewId="0">
      <selection activeCell="A16" sqref="A16:H16"/>
    </sheetView>
  </sheetViews>
  <sheetFormatPr defaultRowHeight="13.8"/>
  <cols>
    <col min="1" max="1" width="10" customWidth="1"/>
    <col min="2" max="2" width="28" customWidth="1"/>
    <col min="3" max="3" width="18" customWidth="1"/>
    <col min="4" max="13" width="14" customWidth="1"/>
    <col min="14" max="25" width="16" customWidth="1"/>
    <col min="26" max="26" width="36" customWidth="1"/>
  </cols>
  <sheetData>
    <row r="1" spans="1:26" ht="30" customHeight="1">
      <c r="A1" s="27" t="s">
        <v>11</v>
      </c>
      <c r="B1" s="28"/>
      <c r="C1" s="28"/>
      <c r="D1" s="28"/>
      <c r="E1" s="28"/>
      <c r="F1" s="28"/>
      <c r="G1" s="28"/>
      <c r="H1" s="28"/>
      <c r="I1" s="28"/>
      <c r="J1" s="28"/>
      <c r="K1" s="28"/>
      <c r="L1" s="28"/>
      <c r="M1" s="28"/>
      <c r="N1" s="28"/>
      <c r="O1" s="28"/>
      <c r="P1" s="28"/>
      <c r="Q1" s="28"/>
      <c r="R1" s="28"/>
      <c r="S1" s="28"/>
      <c r="T1" s="28"/>
      <c r="U1" s="28"/>
      <c r="V1" s="28"/>
      <c r="W1" s="28"/>
      <c r="X1" s="28"/>
      <c r="Y1" s="28"/>
      <c r="Z1" s="28"/>
    </row>
    <row r="2" spans="1:26" ht="14.4">
      <c r="A2" s="29" t="s">
        <v>12</v>
      </c>
      <c r="B2" s="30"/>
      <c r="C2" s="30"/>
      <c r="D2" s="30"/>
      <c r="E2" s="30"/>
      <c r="F2" s="30"/>
      <c r="G2" s="30"/>
      <c r="H2" s="30"/>
      <c r="I2" s="30"/>
      <c r="J2" s="30"/>
      <c r="K2" s="30"/>
      <c r="L2" s="30"/>
      <c r="M2" s="30"/>
      <c r="N2" s="30"/>
      <c r="O2" s="30"/>
      <c r="P2" s="30"/>
      <c r="Q2" s="30"/>
      <c r="R2" s="30"/>
      <c r="S2" s="30"/>
      <c r="T2" s="30"/>
      <c r="U2" s="30"/>
      <c r="V2" s="30"/>
      <c r="W2" s="30"/>
      <c r="X2" s="30"/>
      <c r="Y2" s="30"/>
      <c r="Z2" s="30"/>
    </row>
    <row r="4" spans="1:26" ht="30" customHeight="1">
      <c r="A4" s="1" t="s">
        <v>13</v>
      </c>
      <c r="B4" s="1" t="s">
        <v>14</v>
      </c>
      <c r="C4" s="1" t="s">
        <v>15</v>
      </c>
      <c r="D4" s="1" t="s">
        <v>16</v>
      </c>
      <c r="E4" s="1" t="s">
        <v>17</v>
      </c>
      <c r="F4" s="1" t="s">
        <v>18</v>
      </c>
      <c r="G4" s="1" t="s">
        <v>19</v>
      </c>
      <c r="H4" s="1" t="s">
        <v>20</v>
      </c>
      <c r="I4" s="1" t="s">
        <v>21</v>
      </c>
      <c r="J4" s="1" t="s">
        <v>22</v>
      </c>
      <c r="K4" s="1" t="s">
        <v>23</v>
      </c>
      <c r="L4" s="1" t="s">
        <v>24</v>
      </c>
      <c r="M4" s="1" t="s">
        <v>25</v>
      </c>
      <c r="N4" s="1" t="s">
        <v>26</v>
      </c>
      <c r="O4" s="1" t="s">
        <v>27</v>
      </c>
      <c r="P4" s="1" t="s">
        <v>28</v>
      </c>
      <c r="Q4" s="1" t="s">
        <v>29</v>
      </c>
      <c r="R4" s="1" t="s">
        <v>30</v>
      </c>
      <c r="S4" s="1" t="s">
        <v>31</v>
      </c>
      <c r="T4" s="1" t="s">
        <v>32</v>
      </c>
      <c r="U4" s="1" t="s">
        <v>33</v>
      </c>
      <c r="V4" s="1" t="s">
        <v>34</v>
      </c>
      <c r="W4" s="1" t="s">
        <v>35</v>
      </c>
      <c r="X4" s="1" t="s">
        <v>36</v>
      </c>
      <c r="Y4" s="1" t="s">
        <v>37</v>
      </c>
      <c r="Z4" s="1" t="s">
        <v>38</v>
      </c>
    </row>
    <row r="5" spans="1:26" ht="28.8">
      <c r="A5" s="4">
        <v>1</v>
      </c>
      <c r="B5" s="4" t="s">
        <v>39</v>
      </c>
      <c r="C5" s="4" t="s">
        <v>40</v>
      </c>
      <c r="D5" s="4">
        <v>2</v>
      </c>
      <c r="E5" s="6">
        <v>100</v>
      </c>
      <c r="F5" s="7">
        <v>10</v>
      </c>
      <c r="G5" s="7">
        <v>1</v>
      </c>
      <c r="H5" s="7">
        <v>18</v>
      </c>
      <c r="I5" s="8">
        <v>0.45</v>
      </c>
      <c r="J5" s="8">
        <v>0.85</v>
      </c>
      <c r="K5" s="7">
        <v>1</v>
      </c>
      <c r="L5" s="7">
        <v>1</v>
      </c>
      <c r="M5" s="7">
        <v>2</v>
      </c>
      <c r="N5" s="9">
        <v>0.02</v>
      </c>
      <c r="O5" s="9">
        <v>0.01</v>
      </c>
      <c r="P5" s="6">
        <v>3</v>
      </c>
      <c r="Q5" s="6">
        <v>15</v>
      </c>
      <c r="R5" s="6">
        <v>20</v>
      </c>
      <c r="S5" s="7">
        <v>4</v>
      </c>
      <c r="T5" s="8">
        <v>0.03</v>
      </c>
      <c r="U5" s="10">
        <v>2000</v>
      </c>
      <c r="V5" s="8">
        <v>0.65</v>
      </c>
      <c r="W5" s="8">
        <v>0.1</v>
      </c>
      <c r="X5" s="7">
        <v>0.5</v>
      </c>
      <c r="Y5" s="10">
        <v>0</v>
      </c>
      <c r="Z5" s="5" t="s">
        <v>41</v>
      </c>
    </row>
    <row r="6" spans="1:26" ht="28.8">
      <c r="A6" s="4">
        <v>1</v>
      </c>
      <c r="B6" s="4" t="s">
        <v>39</v>
      </c>
      <c r="C6" s="4" t="s">
        <v>42</v>
      </c>
      <c r="D6" s="4">
        <v>3</v>
      </c>
      <c r="E6" s="6">
        <v>100</v>
      </c>
      <c r="F6" s="7">
        <v>10</v>
      </c>
      <c r="G6" s="7">
        <v>1</v>
      </c>
      <c r="H6" s="7">
        <v>18</v>
      </c>
      <c r="I6" s="8">
        <v>0.75</v>
      </c>
      <c r="J6" s="8">
        <v>0.9</v>
      </c>
      <c r="K6" s="7">
        <v>8</v>
      </c>
      <c r="L6" s="7">
        <v>2</v>
      </c>
      <c r="M6" s="7">
        <v>3</v>
      </c>
      <c r="N6" s="9">
        <v>0.05</v>
      </c>
      <c r="O6" s="9">
        <v>2.5000000000000001E-2</v>
      </c>
      <c r="P6" s="6">
        <v>3</v>
      </c>
      <c r="Q6" s="6">
        <v>15</v>
      </c>
      <c r="R6" s="6">
        <v>50</v>
      </c>
      <c r="S6" s="7">
        <v>2.5</v>
      </c>
      <c r="T6" s="8">
        <v>0.03</v>
      </c>
      <c r="U6" s="10">
        <v>2000</v>
      </c>
      <c r="V6" s="8">
        <v>0.75</v>
      </c>
      <c r="W6" s="8">
        <v>0.1</v>
      </c>
      <c r="X6" s="7">
        <v>1</v>
      </c>
      <c r="Y6" s="10">
        <v>0</v>
      </c>
      <c r="Z6" s="5" t="s">
        <v>43</v>
      </c>
    </row>
    <row r="7" spans="1:26" ht="28.8">
      <c r="A7" s="4">
        <v>1</v>
      </c>
      <c r="B7" s="4" t="s">
        <v>39</v>
      </c>
      <c r="C7" s="4" t="s">
        <v>44</v>
      </c>
      <c r="D7" s="4">
        <v>5</v>
      </c>
      <c r="E7" s="6">
        <v>100</v>
      </c>
      <c r="F7" s="7">
        <v>10</v>
      </c>
      <c r="G7" s="7">
        <v>1</v>
      </c>
      <c r="H7" s="7">
        <v>18</v>
      </c>
      <c r="I7" s="8">
        <v>0.95</v>
      </c>
      <c r="J7" s="8">
        <v>0.88</v>
      </c>
      <c r="K7" s="7">
        <v>80</v>
      </c>
      <c r="L7" s="7">
        <v>6</v>
      </c>
      <c r="M7" s="7">
        <v>3</v>
      </c>
      <c r="N7" s="9">
        <v>0.3</v>
      </c>
      <c r="O7" s="9">
        <v>0.15</v>
      </c>
      <c r="P7" s="6">
        <v>3</v>
      </c>
      <c r="Q7" s="6">
        <v>15</v>
      </c>
      <c r="R7" s="6">
        <v>900</v>
      </c>
      <c r="S7" s="7">
        <v>1.5</v>
      </c>
      <c r="T7" s="8">
        <v>0.04</v>
      </c>
      <c r="U7" s="10">
        <v>5000</v>
      </c>
      <c r="V7" s="8">
        <v>0.8</v>
      </c>
      <c r="W7" s="8">
        <v>0.1</v>
      </c>
      <c r="X7" s="7">
        <v>8</v>
      </c>
      <c r="Y7" s="10">
        <v>5000</v>
      </c>
      <c r="Z7" s="5" t="s">
        <v>45</v>
      </c>
    </row>
    <row r="8" spans="1:26" ht="28.8">
      <c r="A8" s="4">
        <v>2</v>
      </c>
      <c r="B8" s="4" t="s">
        <v>46</v>
      </c>
      <c r="C8" s="4" t="s">
        <v>40</v>
      </c>
      <c r="D8" s="4">
        <v>2</v>
      </c>
      <c r="E8" s="6">
        <v>120</v>
      </c>
      <c r="F8" s="7">
        <v>8</v>
      </c>
      <c r="G8" s="7">
        <v>1</v>
      </c>
      <c r="H8" s="7">
        <v>12</v>
      </c>
      <c r="I8" s="8">
        <v>0.45</v>
      </c>
      <c r="J8" s="8">
        <v>0.8</v>
      </c>
      <c r="K8" s="7">
        <v>1</v>
      </c>
      <c r="L8" s="7">
        <v>1</v>
      </c>
      <c r="M8" s="7">
        <v>2</v>
      </c>
      <c r="N8" s="9">
        <v>0.03</v>
      </c>
      <c r="O8" s="9">
        <v>0.02</v>
      </c>
      <c r="P8" s="6">
        <v>3</v>
      </c>
      <c r="Q8" s="6">
        <v>15</v>
      </c>
      <c r="R8" s="6">
        <v>20</v>
      </c>
      <c r="S8" s="7">
        <v>4</v>
      </c>
      <c r="T8" s="8">
        <v>0.05</v>
      </c>
      <c r="U8" s="10">
        <v>3000</v>
      </c>
      <c r="V8" s="8">
        <v>0.75</v>
      </c>
      <c r="W8" s="8">
        <v>0.1</v>
      </c>
      <c r="X8" s="7">
        <v>0.5</v>
      </c>
      <c r="Y8" s="10">
        <v>0</v>
      </c>
      <c r="Z8" s="5" t="s">
        <v>47</v>
      </c>
    </row>
    <row r="9" spans="1:26" ht="28.8">
      <c r="A9" s="4">
        <v>2</v>
      </c>
      <c r="B9" s="4" t="s">
        <v>46</v>
      </c>
      <c r="C9" s="4" t="s">
        <v>42</v>
      </c>
      <c r="D9" s="4">
        <v>3</v>
      </c>
      <c r="E9" s="6">
        <v>120</v>
      </c>
      <c r="F9" s="7">
        <v>8</v>
      </c>
      <c r="G9" s="7">
        <v>1</v>
      </c>
      <c r="H9" s="7">
        <v>12</v>
      </c>
      <c r="I9" s="8">
        <v>0.65</v>
      </c>
      <c r="J9" s="8">
        <v>0.86</v>
      </c>
      <c r="K9" s="7">
        <v>6</v>
      </c>
      <c r="L9" s="7">
        <v>2</v>
      </c>
      <c r="M9" s="7">
        <v>3</v>
      </c>
      <c r="N9" s="9">
        <v>0.06</v>
      </c>
      <c r="O9" s="9">
        <v>0.04</v>
      </c>
      <c r="P9" s="6">
        <v>3</v>
      </c>
      <c r="Q9" s="6">
        <v>15</v>
      </c>
      <c r="R9" s="6">
        <v>50</v>
      </c>
      <c r="S9" s="7">
        <v>3</v>
      </c>
      <c r="T9" s="8">
        <v>0.05</v>
      </c>
      <c r="U9" s="10">
        <v>3000</v>
      </c>
      <c r="V9" s="8">
        <v>0.8</v>
      </c>
      <c r="W9" s="8">
        <v>0.1</v>
      </c>
      <c r="X9" s="7">
        <v>1</v>
      </c>
      <c r="Y9" s="10">
        <v>0</v>
      </c>
      <c r="Z9" s="5" t="s">
        <v>48</v>
      </c>
    </row>
    <row r="10" spans="1:26" ht="28.8">
      <c r="A10" s="4">
        <v>2</v>
      </c>
      <c r="B10" s="4" t="s">
        <v>46</v>
      </c>
      <c r="C10" s="4" t="s">
        <v>44</v>
      </c>
      <c r="D10" s="4">
        <v>5</v>
      </c>
      <c r="E10" s="6">
        <v>120</v>
      </c>
      <c r="F10" s="7">
        <v>8</v>
      </c>
      <c r="G10" s="7">
        <v>1</v>
      </c>
      <c r="H10" s="7">
        <v>12</v>
      </c>
      <c r="I10" s="8">
        <v>0.9</v>
      </c>
      <c r="J10" s="8">
        <v>0.82</v>
      </c>
      <c r="K10" s="7">
        <v>70</v>
      </c>
      <c r="L10" s="7">
        <v>5</v>
      </c>
      <c r="M10" s="7">
        <v>3</v>
      </c>
      <c r="N10" s="9">
        <v>0.25</v>
      </c>
      <c r="O10" s="9">
        <v>0.2</v>
      </c>
      <c r="P10" s="6">
        <v>3</v>
      </c>
      <c r="Q10" s="6">
        <v>15</v>
      </c>
      <c r="R10" s="6">
        <v>1000</v>
      </c>
      <c r="S10" s="7">
        <v>2</v>
      </c>
      <c r="T10" s="8">
        <v>0.06</v>
      </c>
      <c r="U10" s="10">
        <v>6000</v>
      </c>
      <c r="V10" s="8">
        <v>0.85</v>
      </c>
      <c r="W10" s="8">
        <v>0.1</v>
      </c>
      <c r="X10" s="7">
        <v>6</v>
      </c>
      <c r="Y10" s="10">
        <v>4000</v>
      </c>
      <c r="Z10" s="5" t="s">
        <v>49</v>
      </c>
    </row>
    <row r="11" spans="1:26" ht="28.8">
      <c r="A11" s="4">
        <v>3</v>
      </c>
      <c r="B11" s="4" t="s">
        <v>50</v>
      </c>
      <c r="C11" s="4" t="s">
        <v>51</v>
      </c>
      <c r="D11" s="4">
        <v>4</v>
      </c>
      <c r="E11" s="6">
        <v>110</v>
      </c>
      <c r="F11" s="7">
        <v>16</v>
      </c>
      <c r="G11" s="7">
        <v>2</v>
      </c>
      <c r="H11" s="7">
        <v>24</v>
      </c>
      <c r="I11" s="8">
        <v>0.7</v>
      </c>
      <c r="J11" s="8">
        <v>0.9</v>
      </c>
      <c r="K11" s="7">
        <v>20</v>
      </c>
      <c r="L11" s="7">
        <v>3</v>
      </c>
      <c r="M11" s="7">
        <v>2</v>
      </c>
      <c r="N11" s="9">
        <v>0.08</v>
      </c>
      <c r="O11" s="9">
        <v>0.03</v>
      </c>
      <c r="P11" s="6">
        <v>3</v>
      </c>
      <c r="Q11" s="6">
        <v>15</v>
      </c>
      <c r="R11" s="6">
        <v>100</v>
      </c>
      <c r="S11" s="7">
        <v>3</v>
      </c>
      <c r="T11" s="8">
        <v>0.04</v>
      </c>
      <c r="U11" s="10">
        <v>4000</v>
      </c>
      <c r="V11" s="8">
        <v>0.8</v>
      </c>
      <c r="W11" s="8">
        <v>0.1</v>
      </c>
      <c r="X11" s="7">
        <v>2</v>
      </c>
      <c r="Y11" s="10">
        <v>500</v>
      </c>
      <c r="Z11" s="5" t="s">
        <v>52</v>
      </c>
    </row>
    <row r="12" spans="1:26" ht="28.8">
      <c r="A12" s="4">
        <v>3</v>
      </c>
      <c r="B12" s="4" t="s">
        <v>50</v>
      </c>
      <c r="C12" s="4" t="s">
        <v>44</v>
      </c>
      <c r="D12" s="4">
        <v>5</v>
      </c>
      <c r="E12" s="6">
        <v>110</v>
      </c>
      <c r="F12" s="7">
        <v>16</v>
      </c>
      <c r="G12" s="7">
        <v>2</v>
      </c>
      <c r="H12" s="7">
        <v>24</v>
      </c>
      <c r="I12" s="8">
        <v>0.92</v>
      </c>
      <c r="J12" s="8">
        <v>0.88</v>
      </c>
      <c r="K12" s="7">
        <v>100</v>
      </c>
      <c r="L12" s="7">
        <v>8</v>
      </c>
      <c r="M12" s="7">
        <v>2</v>
      </c>
      <c r="N12" s="9">
        <v>0.6</v>
      </c>
      <c r="O12" s="9">
        <v>0.25</v>
      </c>
      <c r="P12" s="6">
        <v>3</v>
      </c>
      <c r="Q12" s="6">
        <v>15</v>
      </c>
      <c r="R12" s="6">
        <v>1500</v>
      </c>
      <c r="S12" s="7">
        <v>2</v>
      </c>
      <c r="T12" s="8">
        <v>0.05</v>
      </c>
      <c r="U12" s="10">
        <v>8000</v>
      </c>
      <c r="V12" s="8">
        <v>0.85</v>
      </c>
      <c r="W12" s="8">
        <v>0.1</v>
      </c>
      <c r="X12" s="7">
        <v>10</v>
      </c>
      <c r="Y12" s="10">
        <v>7000</v>
      </c>
      <c r="Z12" s="5" t="s">
        <v>53</v>
      </c>
    </row>
    <row r="13" spans="1:26" ht="28.8">
      <c r="A13" s="4">
        <v>4</v>
      </c>
      <c r="B13" s="4" t="s">
        <v>54</v>
      </c>
      <c r="C13" s="4" t="s">
        <v>40</v>
      </c>
      <c r="D13" s="4">
        <v>2</v>
      </c>
      <c r="E13" s="6">
        <v>130</v>
      </c>
      <c r="F13" s="7">
        <v>6</v>
      </c>
      <c r="G13" s="7">
        <v>0.5</v>
      </c>
      <c r="H13" s="7">
        <v>6</v>
      </c>
      <c r="I13" s="8">
        <v>0.5</v>
      </c>
      <c r="J13" s="8">
        <v>0.82</v>
      </c>
      <c r="K13" s="7">
        <v>1</v>
      </c>
      <c r="L13" s="7">
        <v>0.5</v>
      </c>
      <c r="M13" s="7">
        <v>1</v>
      </c>
      <c r="N13" s="9">
        <v>0.02</v>
      </c>
      <c r="O13" s="9">
        <v>1.4999999999999999E-2</v>
      </c>
      <c r="P13" s="6">
        <v>3</v>
      </c>
      <c r="Q13" s="6">
        <v>15</v>
      </c>
      <c r="R13" s="6">
        <v>20</v>
      </c>
      <c r="S13" s="7">
        <v>2.5</v>
      </c>
      <c r="T13" s="8">
        <v>0.03</v>
      </c>
      <c r="U13" s="10">
        <v>1500</v>
      </c>
      <c r="V13" s="8">
        <v>0.7</v>
      </c>
      <c r="W13" s="8">
        <v>0.1</v>
      </c>
      <c r="X13" s="7">
        <v>0.2</v>
      </c>
      <c r="Y13" s="10">
        <v>0</v>
      </c>
      <c r="Z13" s="5" t="s">
        <v>55</v>
      </c>
    </row>
    <row r="14" spans="1:26" ht="28.8">
      <c r="A14" s="4">
        <v>4</v>
      </c>
      <c r="B14" s="4" t="s">
        <v>54</v>
      </c>
      <c r="C14" s="4" t="s">
        <v>42</v>
      </c>
      <c r="D14" s="4">
        <v>3</v>
      </c>
      <c r="E14" s="6">
        <v>130</v>
      </c>
      <c r="F14" s="7">
        <v>6</v>
      </c>
      <c r="G14" s="7">
        <v>0.5</v>
      </c>
      <c r="H14" s="7">
        <v>6</v>
      </c>
      <c r="I14" s="8">
        <v>0.7</v>
      </c>
      <c r="J14" s="8">
        <v>0.85</v>
      </c>
      <c r="K14" s="7">
        <v>8</v>
      </c>
      <c r="L14" s="7">
        <v>2</v>
      </c>
      <c r="M14" s="7">
        <v>2</v>
      </c>
      <c r="N14" s="9">
        <v>0.05</v>
      </c>
      <c r="O14" s="9">
        <v>0.03</v>
      </c>
      <c r="P14" s="6">
        <v>3</v>
      </c>
      <c r="Q14" s="6">
        <v>15</v>
      </c>
      <c r="R14" s="6">
        <v>50</v>
      </c>
      <c r="S14" s="7">
        <v>2</v>
      </c>
      <c r="T14" s="8">
        <v>0.03</v>
      </c>
      <c r="U14" s="10">
        <v>1500</v>
      </c>
      <c r="V14" s="8">
        <v>0.75</v>
      </c>
      <c r="W14" s="8">
        <v>0.1</v>
      </c>
      <c r="X14" s="7">
        <v>0.8</v>
      </c>
      <c r="Y14" s="10">
        <v>0</v>
      </c>
      <c r="Z14" s="5" t="s">
        <v>56</v>
      </c>
    </row>
    <row r="15" spans="1:26" ht="28.8">
      <c r="A15" s="4">
        <v>5</v>
      </c>
      <c r="B15" s="4" t="s">
        <v>57</v>
      </c>
      <c r="C15" s="4" t="s">
        <v>51</v>
      </c>
      <c r="D15" s="4">
        <v>4</v>
      </c>
      <c r="E15" s="6">
        <v>105</v>
      </c>
      <c r="F15" s="7">
        <v>12</v>
      </c>
      <c r="G15" s="7">
        <v>1</v>
      </c>
      <c r="H15" s="7">
        <v>18</v>
      </c>
      <c r="I15" s="8">
        <v>0.65</v>
      </c>
      <c r="J15" s="8">
        <v>0.9</v>
      </c>
      <c r="K15" s="7">
        <v>24</v>
      </c>
      <c r="L15" s="7">
        <v>3</v>
      </c>
      <c r="M15" s="7">
        <v>2</v>
      </c>
      <c r="N15" s="9">
        <v>0.1</v>
      </c>
      <c r="O15" s="9">
        <v>0.03</v>
      </c>
      <c r="P15" s="6">
        <v>3</v>
      </c>
      <c r="Q15" s="6">
        <v>15</v>
      </c>
      <c r="R15" s="6">
        <v>150</v>
      </c>
      <c r="S15" s="7">
        <v>3</v>
      </c>
      <c r="T15" s="8">
        <v>0.06</v>
      </c>
      <c r="U15" s="10">
        <v>10000</v>
      </c>
      <c r="V15" s="8">
        <v>0.85</v>
      </c>
      <c r="W15" s="8">
        <v>0.1</v>
      </c>
      <c r="X15" s="7">
        <v>2</v>
      </c>
      <c r="Y15" s="10">
        <v>1000</v>
      </c>
      <c r="Z15" s="5" t="s">
        <v>58</v>
      </c>
    </row>
    <row r="16" spans="1:26" ht="28.8">
      <c r="A16" s="4">
        <v>5</v>
      </c>
      <c r="B16" s="4" t="s">
        <v>57</v>
      </c>
      <c r="C16" s="4" t="s">
        <v>44</v>
      </c>
      <c r="D16" s="4">
        <v>5</v>
      </c>
      <c r="E16" s="6">
        <v>105</v>
      </c>
      <c r="F16" s="7">
        <v>12</v>
      </c>
      <c r="G16" s="7">
        <v>1</v>
      </c>
      <c r="H16" s="7">
        <v>18</v>
      </c>
      <c r="I16" s="8">
        <v>0.93</v>
      </c>
      <c r="J16" s="8">
        <v>0.86</v>
      </c>
      <c r="K16" s="7">
        <v>120</v>
      </c>
      <c r="L16" s="7">
        <v>8</v>
      </c>
      <c r="M16" s="7">
        <v>2</v>
      </c>
      <c r="N16" s="9">
        <v>0.8</v>
      </c>
      <c r="O16" s="9">
        <v>0.3</v>
      </c>
      <c r="P16" s="6">
        <v>3</v>
      </c>
      <c r="Q16" s="6">
        <v>15</v>
      </c>
      <c r="R16" s="6">
        <v>1800</v>
      </c>
      <c r="S16" s="7">
        <v>2</v>
      </c>
      <c r="T16" s="8">
        <v>0.08</v>
      </c>
      <c r="U16" s="10">
        <v>20000</v>
      </c>
      <c r="V16" s="8">
        <v>0.9</v>
      </c>
      <c r="W16" s="8">
        <v>0.1</v>
      </c>
      <c r="X16" s="7">
        <v>12</v>
      </c>
      <c r="Y16" s="10">
        <v>10000</v>
      </c>
      <c r="Z16" s="5" t="s">
        <v>59</v>
      </c>
    </row>
  </sheetData>
  <mergeCells count="2">
    <mergeCell ref="A1:Z1"/>
    <mergeCell ref="A2:Z2"/>
  </mergeCells>
  <dataValidations count="1">
    <dataValidation type="list" sqref="C5:C50" xr:uid="{00000000-0002-0000-0100-000000000000}">
      <formula1>"Manual AI,Custom GPT,Coding Copilot,AI Agent"</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AC16"/>
  <sheetViews>
    <sheetView showGridLines="0" workbookViewId="0">
      <selection activeCell="A16" sqref="A16:H16"/>
    </sheetView>
  </sheetViews>
  <sheetFormatPr defaultRowHeight="13.8"/>
  <cols>
    <col min="1" max="1" width="28" customWidth="1"/>
    <col min="2" max="2" width="18" customWidth="1"/>
    <col min="3" max="4" width="14" customWidth="1"/>
    <col min="5" max="5" width="16" customWidth="1"/>
    <col min="6" max="6" width="14" customWidth="1"/>
    <col min="7" max="17" width="16" customWidth="1"/>
    <col min="18" max="18" width="14" customWidth="1"/>
    <col min="19" max="21" width="16" customWidth="1"/>
    <col min="22" max="27" width="14" customWidth="1"/>
    <col min="28" max="28" width="36" customWidth="1"/>
    <col min="29" max="29" width="45" customWidth="1"/>
  </cols>
  <sheetData>
    <row r="1" spans="1:29" ht="30" customHeight="1">
      <c r="A1" s="27" t="s">
        <v>60</v>
      </c>
      <c r="B1" s="28"/>
      <c r="C1" s="28"/>
      <c r="D1" s="28"/>
      <c r="E1" s="28"/>
      <c r="F1" s="28"/>
      <c r="G1" s="28"/>
      <c r="H1" s="28"/>
      <c r="I1" s="28"/>
      <c r="J1" s="28"/>
      <c r="K1" s="28"/>
      <c r="L1" s="28"/>
      <c r="M1" s="28"/>
      <c r="N1" s="28"/>
      <c r="O1" s="28"/>
      <c r="P1" s="28"/>
      <c r="Q1" s="28"/>
      <c r="R1" s="28"/>
      <c r="S1" s="28"/>
      <c r="T1" s="28"/>
      <c r="U1" s="28"/>
      <c r="V1" s="28"/>
      <c r="W1" s="28"/>
      <c r="X1" s="28"/>
      <c r="Y1" s="28"/>
      <c r="Z1" s="28"/>
      <c r="AA1" s="30"/>
      <c r="AB1" s="30"/>
      <c r="AC1" s="30"/>
    </row>
    <row r="2" spans="1:29" ht="14.4">
      <c r="A2" s="29" t="s">
        <v>61</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row>
    <row r="4" spans="1:29" ht="30" customHeight="1">
      <c r="A4" s="1" t="s">
        <v>14</v>
      </c>
      <c r="B4" s="1" t="s">
        <v>15</v>
      </c>
      <c r="C4" s="1" t="s">
        <v>16</v>
      </c>
      <c r="D4" s="1" t="s">
        <v>62</v>
      </c>
      <c r="E4" s="1" t="s">
        <v>63</v>
      </c>
      <c r="F4" s="1" t="s">
        <v>64</v>
      </c>
      <c r="G4" s="1" t="s">
        <v>65</v>
      </c>
      <c r="H4" s="1" t="s">
        <v>66</v>
      </c>
      <c r="I4" s="1" t="s">
        <v>67</v>
      </c>
      <c r="J4" s="1" t="s">
        <v>68</v>
      </c>
      <c r="K4" s="1" t="s">
        <v>69</v>
      </c>
      <c r="L4" s="1" t="s">
        <v>70</v>
      </c>
      <c r="M4" s="1" t="s">
        <v>71</v>
      </c>
      <c r="N4" s="1" t="s">
        <v>72</v>
      </c>
      <c r="O4" s="1" t="s">
        <v>73</v>
      </c>
      <c r="P4" s="1" t="s">
        <v>74</v>
      </c>
      <c r="Q4" s="1" t="s">
        <v>75</v>
      </c>
      <c r="R4" s="1" t="s">
        <v>76</v>
      </c>
      <c r="S4" s="1" t="s">
        <v>77</v>
      </c>
      <c r="T4" s="1" t="s">
        <v>78</v>
      </c>
      <c r="U4" s="1" t="s">
        <v>79</v>
      </c>
      <c r="V4" s="1" t="s">
        <v>80</v>
      </c>
      <c r="W4" s="1" t="s">
        <v>81</v>
      </c>
      <c r="X4" s="1" t="s">
        <v>82</v>
      </c>
      <c r="Y4" s="1" t="s">
        <v>83</v>
      </c>
      <c r="Z4" s="1" t="s">
        <v>84</v>
      </c>
      <c r="AA4" s="1" t="s">
        <v>85</v>
      </c>
      <c r="AB4" s="1" t="s">
        <v>86</v>
      </c>
      <c r="AC4" s="1" t="s">
        <v>87</v>
      </c>
    </row>
    <row r="5" spans="1:29" ht="27.6">
      <c r="A5" s="11" t="str">
        <f>'1. Assumptions'!B5</f>
        <v>Monthly Variance Analysis</v>
      </c>
      <c r="B5" s="11" t="str">
        <f>'1. Assumptions'!C5</f>
        <v>Manual AI</v>
      </c>
      <c r="C5" s="11">
        <f>'1. Assumptions'!D5</f>
        <v>2</v>
      </c>
      <c r="D5" s="12">
        <f>(1+'1. Assumptions'!W5)^(1/12)-1</f>
        <v>7.9741404289037643E-3</v>
      </c>
      <c r="E5" s="13">
        <f>'1. Assumptions'!E5*'1. Assumptions'!F5*'1. Assumptions'!G5</f>
        <v>1000</v>
      </c>
      <c r="F5" s="12">
        <f>'1. Assumptions'!I5*'1. Assumptions'!J5</f>
        <v>0.38250000000000001</v>
      </c>
      <c r="G5" s="13">
        <f>'1. Assumptions'!E5*'1. Assumptions'!F5*'1. Assumptions'!G5*F5</f>
        <v>382.5</v>
      </c>
      <c r="H5" s="13">
        <f>('1. Assumptions'!N5*'1. Assumptions'!P5+'1. Assumptions'!O5*'1. Assumptions'!Q5)*'1. Assumptions'!G5</f>
        <v>0.21</v>
      </c>
      <c r="I5" s="13">
        <f>'1. Assumptions'!R5</f>
        <v>20</v>
      </c>
      <c r="J5" s="13">
        <f>'1. Assumptions'!S5*'1. Assumptions'!E5*'1. Assumptions'!G5</f>
        <v>400</v>
      </c>
      <c r="K5" s="13">
        <f>'1. Assumptions'!T5*'1. Assumptions'!U5*(1-'1. Assumptions'!V5)*'1. Assumptions'!G5</f>
        <v>21</v>
      </c>
      <c r="L5" s="13">
        <f>'1. Assumptions'!X5*'1. Assumptions'!E5</f>
        <v>50</v>
      </c>
      <c r="M5" s="13">
        <f t="shared" ref="M5:M16" si="0">H5+I5+J5+K5+L5</f>
        <v>491.21</v>
      </c>
      <c r="N5" s="13">
        <f t="shared" ref="N5:N16" si="1">G5-M5</f>
        <v>-108.70999999999998</v>
      </c>
      <c r="O5" s="13">
        <f>'1. Assumptions'!K5*'1. Assumptions'!E5+'1. Assumptions'!Y5</f>
        <v>100</v>
      </c>
      <c r="P5" s="13">
        <f>'1. Assumptions'!L5*'1. Assumptions'!M5*'1. Assumptions'!E5</f>
        <v>200</v>
      </c>
      <c r="Q5" s="13">
        <f t="shared" ref="Q5:Q16" si="2">O5+P5</f>
        <v>300</v>
      </c>
      <c r="R5" s="14">
        <f>'1. Assumptions'!H5</f>
        <v>18</v>
      </c>
      <c r="S5" s="13">
        <f t="shared" ref="S5:S16" si="3">IF(D5=0,R5,(1-(1+D5)^(-R5))/D5)</f>
        <v>16.70597967847258</v>
      </c>
      <c r="T5" s="13">
        <f t="shared" ref="T5:T16" si="4">N5*S5</f>
        <v>-1816.107050846754</v>
      </c>
      <c r="U5" s="13">
        <f t="shared" ref="U5:U16" si="5">T5-Q5</f>
        <v>-2116.1070508467537</v>
      </c>
      <c r="V5" s="12">
        <f t="shared" ref="V5:V16" si="6">IF(Q5=0,"",(N5*R5-Q5)/Q5)</f>
        <v>-7.5225999999999988</v>
      </c>
      <c r="W5" s="14" t="str">
        <f t="shared" ref="W5:W16" si="7">IF(N5&gt;0,Q5/N5,"")</f>
        <v/>
      </c>
      <c r="X5" s="14">
        <f t="shared" ref="X5:X16" si="8">IF((Q5+M5*R5)&gt;0,(G5*R5)/(Q5+M5*R5),"")</f>
        <v>0.75313560378832145</v>
      </c>
      <c r="Y5" s="15">
        <f>('1. Assumptions'!N5+'1. Assumptions'!O5)*'1. Assumptions'!G5*S5</f>
        <v>0.50117939035417736</v>
      </c>
      <c r="Z5" s="16">
        <f>IF(('1. Assumptions'!N5+'1. Assumptions'!O5)*'1. Assumptions'!G5&gt;0,H5/(('1. Assumptions'!N5+'1. Assumptions'!O5)*'1. Assumptions'!G5),"")</f>
        <v>7</v>
      </c>
      <c r="AA5" s="16">
        <f t="shared" ref="AA5:AA16" si="9">IF(Y5&gt;0,((G5-I5-J5-K5-L5)*S5-Q5)/Y5,"")</f>
        <v>-4215.254728693707</v>
      </c>
      <c r="AB5" s="11" t="str">
        <f t="shared" ref="AB5:AB16" si="10">IF(OR(U5&lt;=0,N5&lt;=0),"Do not automate",IF(W5&gt;R5,"Do not automate - payback exceeds process life",IF(ISNUMBER(SEARCH("AI Agent",B5)),"Consider AI agent with controls",IF(ISNUMBER(SEARCH("Coding",B5)),"Use coding copilot / structured automation",IF(ISNUMBER(SEARCH("Custom GPT",B5)),"Use Custom GPT / prompt workflow","Use manual AI / light AI")))))</f>
        <v>Do not automate</v>
      </c>
      <c r="AC5" s="11" t="str">
        <f t="shared" ref="AC5:AC16" si="11">IF(U5&lt;=0,"Negative NPV: costs, review, risk, or setup exceed discounted savings.",IF(W5&gt;R5,"Payback exceeds expected process life; wait until process stabilizes or reduce setup cost.",IF(ISNUMBER(SEARCH("AI Agent",B5)),"Agent may be justified, but only with controls, monitoring, and human approval.",IF(ISNUMBER(SEARCH("Custom GPT",B5)),"Custom GPT likely captures most value without full agent cost.","Positive NPV: use the recommended level and maintain human review."))))</f>
        <v>Negative NPV: costs, review, risk, or setup exceed discounted savings.</v>
      </c>
    </row>
    <row r="6" spans="1:29" ht="27.6">
      <c r="A6" s="11" t="str">
        <f>'1. Assumptions'!B6</f>
        <v>Monthly Variance Analysis</v>
      </c>
      <c r="B6" s="11" t="str">
        <f>'1. Assumptions'!C6</f>
        <v>Custom GPT</v>
      </c>
      <c r="C6" s="11">
        <f>'1. Assumptions'!D6</f>
        <v>3</v>
      </c>
      <c r="D6" s="12">
        <f>(1+'1. Assumptions'!W6)^(1/12)-1</f>
        <v>7.9741404289037643E-3</v>
      </c>
      <c r="E6" s="13">
        <f>'1. Assumptions'!E6*'1. Assumptions'!F6*'1. Assumptions'!G6</f>
        <v>1000</v>
      </c>
      <c r="F6" s="12">
        <f>'1. Assumptions'!I6*'1. Assumptions'!J6</f>
        <v>0.67500000000000004</v>
      </c>
      <c r="G6" s="13">
        <f>'1. Assumptions'!E6*'1. Assumptions'!F6*'1. Assumptions'!G6*F6</f>
        <v>675</v>
      </c>
      <c r="H6" s="13">
        <f>('1. Assumptions'!N6*'1. Assumptions'!P6+'1. Assumptions'!O6*'1. Assumptions'!Q6)*'1. Assumptions'!G6</f>
        <v>0.52500000000000002</v>
      </c>
      <c r="I6" s="13">
        <f>'1. Assumptions'!R6</f>
        <v>50</v>
      </c>
      <c r="J6" s="13">
        <f>'1. Assumptions'!S6*'1. Assumptions'!E6*'1. Assumptions'!G6</f>
        <v>250</v>
      </c>
      <c r="K6" s="13">
        <f>'1. Assumptions'!T6*'1. Assumptions'!U6*(1-'1. Assumptions'!V6)*'1. Assumptions'!G6</f>
        <v>15</v>
      </c>
      <c r="L6" s="13">
        <f>'1. Assumptions'!X6*'1. Assumptions'!E6</f>
        <v>100</v>
      </c>
      <c r="M6" s="13">
        <f t="shared" si="0"/>
        <v>415.52499999999998</v>
      </c>
      <c r="N6" s="13">
        <f t="shared" si="1"/>
        <v>259.47500000000002</v>
      </c>
      <c r="O6" s="13">
        <f>'1. Assumptions'!K6*'1. Assumptions'!E6+'1. Assumptions'!Y6</f>
        <v>800</v>
      </c>
      <c r="P6" s="13">
        <f>'1. Assumptions'!L6*'1. Assumptions'!M6*'1. Assumptions'!E6</f>
        <v>600</v>
      </c>
      <c r="Q6" s="13">
        <f t="shared" si="2"/>
        <v>1400</v>
      </c>
      <c r="R6" s="14">
        <f>'1. Assumptions'!H6</f>
        <v>18</v>
      </c>
      <c r="S6" s="13">
        <f t="shared" si="3"/>
        <v>16.70597967847258</v>
      </c>
      <c r="T6" s="13">
        <f t="shared" si="4"/>
        <v>4334.784077071673</v>
      </c>
      <c r="U6" s="13">
        <f t="shared" si="5"/>
        <v>2934.784077071673</v>
      </c>
      <c r="V6" s="12">
        <f t="shared" si="6"/>
        <v>2.3361071428571432</v>
      </c>
      <c r="W6" s="14">
        <f t="shared" si="7"/>
        <v>5.3955101647557564</v>
      </c>
      <c r="X6" s="14">
        <f t="shared" si="8"/>
        <v>1.3683279932878725</v>
      </c>
      <c r="Y6" s="15">
        <f>('1. Assumptions'!N6+'1. Assumptions'!O6)*'1. Assumptions'!G6*S6</f>
        <v>1.2529484758854437</v>
      </c>
      <c r="Z6" s="16">
        <f>IF(('1. Assumptions'!N6+'1. Assumptions'!O6)*'1. Assumptions'!G6&gt;0,H6/(('1. Assumptions'!N6+'1. Assumptions'!O6)*'1. Assumptions'!G6),"")</f>
        <v>6.9999999999999991</v>
      </c>
      <c r="AA6" s="16">
        <f t="shared" si="9"/>
        <v>2349.3022842161936</v>
      </c>
      <c r="AB6" s="11" t="str">
        <f t="shared" si="10"/>
        <v>Use Custom GPT / prompt workflow</v>
      </c>
      <c r="AC6" s="11" t="str">
        <f t="shared" si="11"/>
        <v>Custom GPT likely captures most value without full agent cost.</v>
      </c>
    </row>
    <row r="7" spans="1:29" ht="27.6">
      <c r="A7" s="11" t="str">
        <f>'1. Assumptions'!B7</f>
        <v>Monthly Variance Analysis</v>
      </c>
      <c r="B7" s="11" t="str">
        <f>'1. Assumptions'!C7</f>
        <v>AI Agent</v>
      </c>
      <c r="C7" s="11">
        <f>'1. Assumptions'!D7</f>
        <v>5</v>
      </c>
      <c r="D7" s="12">
        <f>(1+'1. Assumptions'!W7)^(1/12)-1</f>
        <v>7.9741404289037643E-3</v>
      </c>
      <c r="E7" s="13">
        <f>'1. Assumptions'!E7*'1. Assumptions'!F7*'1. Assumptions'!G7</f>
        <v>1000</v>
      </c>
      <c r="F7" s="12">
        <f>'1. Assumptions'!I7*'1. Assumptions'!J7</f>
        <v>0.83599999999999997</v>
      </c>
      <c r="G7" s="13">
        <f>'1. Assumptions'!E7*'1. Assumptions'!F7*'1. Assumptions'!G7*F7</f>
        <v>836</v>
      </c>
      <c r="H7" s="13">
        <f>('1. Assumptions'!N7*'1. Assumptions'!P7+'1. Assumptions'!O7*'1. Assumptions'!Q7)*'1. Assumptions'!G7</f>
        <v>3.15</v>
      </c>
      <c r="I7" s="13">
        <f>'1. Assumptions'!R7</f>
        <v>900</v>
      </c>
      <c r="J7" s="13">
        <f>'1. Assumptions'!S7*'1. Assumptions'!E7*'1. Assumptions'!G7</f>
        <v>150</v>
      </c>
      <c r="K7" s="13">
        <f>'1. Assumptions'!T7*'1. Assumptions'!U7*(1-'1. Assumptions'!V7)*'1. Assumptions'!G7</f>
        <v>39.999999999999993</v>
      </c>
      <c r="L7" s="13">
        <f>'1. Assumptions'!X7*'1. Assumptions'!E7</f>
        <v>800</v>
      </c>
      <c r="M7" s="13">
        <f t="shared" si="0"/>
        <v>1893.15</v>
      </c>
      <c r="N7" s="13">
        <f t="shared" si="1"/>
        <v>-1057.1500000000001</v>
      </c>
      <c r="O7" s="13">
        <f>'1. Assumptions'!K7*'1. Assumptions'!E7+'1. Assumptions'!Y7</f>
        <v>13000</v>
      </c>
      <c r="P7" s="13">
        <f>'1. Assumptions'!L7*'1. Assumptions'!M7*'1. Assumptions'!E7</f>
        <v>1800</v>
      </c>
      <c r="Q7" s="13">
        <f t="shared" si="2"/>
        <v>14800</v>
      </c>
      <c r="R7" s="14">
        <f>'1. Assumptions'!H7</f>
        <v>18</v>
      </c>
      <c r="S7" s="13">
        <f t="shared" si="3"/>
        <v>16.70597967847258</v>
      </c>
      <c r="T7" s="13">
        <f t="shared" si="4"/>
        <v>-17660.726417097289</v>
      </c>
      <c r="U7" s="13">
        <f t="shared" si="5"/>
        <v>-32460.726417097289</v>
      </c>
      <c r="V7" s="12">
        <f t="shared" si="6"/>
        <v>-2.2857229729729727</v>
      </c>
      <c r="W7" s="14" t="str">
        <f t="shared" si="7"/>
        <v/>
      </c>
      <c r="X7" s="14">
        <f t="shared" si="8"/>
        <v>0.30787675927384622</v>
      </c>
      <c r="Y7" s="15">
        <f>('1. Assumptions'!N7+'1. Assumptions'!O7)*'1. Assumptions'!G7*S7</f>
        <v>7.5176908553126607</v>
      </c>
      <c r="Z7" s="16">
        <f>IF(('1. Assumptions'!N7+'1. Assumptions'!O7)*'1. Assumptions'!G7&gt;0,H7/(('1. Assumptions'!N7+'1. Assumptions'!O7)*'1. Assumptions'!G7),"")</f>
        <v>7.0000000000000009</v>
      </c>
      <c r="AA7" s="16">
        <f t="shared" si="9"/>
        <v>-4310.9118484444843</v>
      </c>
      <c r="AB7" s="11" t="str">
        <f t="shared" si="10"/>
        <v>Do not automate</v>
      </c>
      <c r="AC7" s="11" t="str">
        <f t="shared" si="11"/>
        <v>Negative NPV: costs, review, risk, or setup exceed discounted savings.</v>
      </c>
    </row>
    <row r="8" spans="1:29" ht="27.6">
      <c r="A8" s="11" t="str">
        <f>'1. Assumptions'!B8</f>
        <v>Board Deck Commentary</v>
      </c>
      <c r="B8" s="11" t="str">
        <f>'1. Assumptions'!C8</f>
        <v>Manual AI</v>
      </c>
      <c r="C8" s="11">
        <f>'1. Assumptions'!D8</f>
        <v>2</v>
      </c>
      <c r="D8" s="12">
        <f>(1+'1. Assumptions'!W8)^(1/12)-1</f>
        <v>7.9741404289037643E-3</v>
      </c>
      <c r="E8" s="13">
        <f>'1. Assumptions'!E8*'1. Assumptions'!F8*'1. Assumptions'!G8</f>
        <v>960</v>
      </c>
      <c r="F8" s="12">
        <f>'1. Assumptions'!I8*'1. Assumptions'!J8</f>
        <v>0.36000000000000004</v>
      </c>
      <c r="G8" s="13">
        <f>'1. Assumptions'!E8*'1. Assumptions'!F8*'1. Assumptions'!G8*F8</f>
        <v>345.6</v>
      </c>
      <c r="H8" s="13">
        <f>('1. Assumptions'!N8*'1. Assumptions'!P8+'1. Assumptions'!O8*'1. Assumptions'!Q8)*'1. Assumptions'!G8</f>
        <v>0.39</v>
      </c>
      <c r="I8" s="13">
        <f>'1. Assumptions'!R8</f>
        <v>20</v>
      </c>
      <c r="J8" s="13">
        <f>'1. Assumptions'!S8*'1. Assumptions'!E8*'1. Assumptions'!G8</f>
        <v>480</v>
      </c>
      <c r="K8" s="13">
        <f>'1. Assumptions'!T8*'1. Assumptions'!U8*(1-'1. Assumptions'!V8)*'1. Assumptions'!G8</f>
        <v>37.5</v>
      </c>
      <c r="L8" s="13">
        <f>'1. Assumptions'!X8*'1. Assumptions'!E8</f>
        <v>60</v>
      </c>
      <c r="M8" s="13">
        <f t="shared" si="0"/>
        <v>597.89</v>
      </c>
      <c r="N8" s="13">
        <f t="shared" si="1"/>
        <v>-252.28999999999996</v>
      </c>
      <c r="O8" s="13">
        <f>'1. Assumptions'!K8*'1. Assumptions'!E8+'1. Assumptions'!Y8</f>
        <v>120</v>
      </c>
      <c r="P8" s="13">
        <f>'1. Assumptions'!L8*'1. Assumptions'!M8*'1. Assumptions'!E8</f>
        <v>240</v>
      </c>
      <c r="Q8" s="13">
        <f t="shared" si="2"/>
        <v>360</v>
      </c>
      <c r="R8" s="14">
        <f>'1. Assumptions'!H8</f>
        <v>12</v>
      </c>
      <c r="S8" s="13">
        <f t="shared" si="3"/>
        <v>11.400487829330688</v>
      </c>
      <c r="T8" s="13">
        <f t="shared" si="4"/>
        <v>-2876.229074461839</v>
      </c>
      <c r="U8" s="13">
        <f t="shared" si="5"/>
        <v>-3236.229074461839</v>
      </c>
      <c r="V8" s="12">
        <f t="shared" si="6"/>
        <v>-9.4096666666666646</v>
      </c>
      <c r="W8" s="14" t="str">
        <f t="shared" si="7"/>
        <v/>
      </c>
      <c r="X8" s="14">
        <f t="shared" si="8"/>
        <v>0.55041488158753926</v>
      </c>
      <c r="Y8" s="15">
        <f>('1. Assumptions'!N8+'1. Assumptions'!O8)*'1. Assumptions'!G8*S8</f>
        <v>0.57002439146653439</v>
      </c>
      <c r="Z8" s="16">
        <f>IF(('1. Assumptions'!N8+'1. Assumptions'!O8)*'1. Assumptions'!G8&gt;0,H8/(('1. Assumptions'!N8+'1. Assumptions'!O8)*'1. Assumptions'!G8),"")</f>
        <v>7.8</v>
      </c>
      <c r="AA8" s="16">
        <f t="shared" si="9"/>
        <v>-5669.551921969176</v>
      </c>
      <c r="AB8" s="11" t="str">
        <f t="shared" si="10"/>
        <v>Do not automate</v>
      </c>
      <c r="AC8" s="11" t="str">
        <f t="shared" si="11"/>
        <v>Negative NPV: costs, review, risk, or setup exceed discounted savings.</v>
      </c>
    </row>
    <row r="9" spans="1:29" ht="27.6">
      <c r="A9" s="11" t="str">
        <f>'1. Assumptions'!B9</f>
        <v>Board Deck Commentary</v>
      </c>
      <c r="B9" s="11" t="str">
        <f>'1. Assumptions'!C9</f>
        <v>Custom GPT</v>
      </c>
      <c r="C9" s="11">
        <f>'1. Assumptions'!D9</f>
        <v>3</v>
      </c>
      <c r="D9" s="12">
        <f>(1+'1. Assumptions'!W9)^(1/12)-1</f>
        <v>7.9741404289037643E-3</v>
      </c>
      <c r="E9" s="13">
        <f>'1. Assumptions'!E9*'1. Assumptions'!F9*'1. Assumptions'!G9</f>
        <v>960</v>
      </c>
      <c r="F9" s="12">
        <f>'1. Assumptions'!I9*'1. Assumptions'!J9</f>
        <v>0.55900000000000005</v>
      </c>
      <c r="G9" s="13">
        <f>'1. Assumptions'!E9*'1. Assumptions'!F9*'1. Assumptions'!G9*F9</f>
        <v>536.6400000000001</v>
      </c>
      <c r="H9" s="13">
        <f>('1. Assumptions'!N9*'1. Assumptions'!P9+'1. Assumptions'!O9*'1. Assumptions'!Q9)*'1. Assumptions'!G9</f>
        <v>0.78</v>
      </c>
      <c r="I9" s="13">
        <f>'1. Assumptions'!R9</f>
        <v>50</v>
      </c>
      <c r="J9" s="13">
        <f>'1. Assumptions'!S9*'1. Assumptions'!E9*'1. Assumptions'!G9</f>
        <v>360</v>
      </c>
      <c r="K9" s="13">
        <f>'1. Assumptions'!T9*'1. Assumptions'!U9*(1-'1. Assumptions'!V9)*'1. Assumptions'!G9</f>
        <v>29.999999999999993</v>
      </c>
      <c r="L9" s="13">
        <f>'1. Assumptions'!X9*'1. Assumptions'!E9</f>
        <v>120</v>
      </c>
      <c r="M9" s="13">
        <f t="shared" si="0"/>
        <v>560.78</v>
      </c>
      <c r="N9" s="13">
        <f t="shared" si="1"/>
        <v>-24.139999999999873</v>
      </c>
      <c r="O9" s="13">
        <f>'1. Assumptions'!K9*'1. Assumptions'!E9+'1. Assumptions'!Y9</f>
        <v>720</v>
      </c>
      <c r="P9" s="13">
        <f>'1. Assumptions'!L9*'1. Assumptions'!M9*'1. Assumptions'!E9</f>
        <v>720</v>
      </c>
      <c r="Q9" s="13">
        <f t="shared" si="2"/>
        <v>1440</v>
      </c>
      <c r="R9" s="14">
        <f>'1. Assumptions'!H9</f>
        <v>12</v>
      </c>
      <c r="S9" s="13">
        <f t="shared" si="3"/>
        <v>11.400487829330688</v>
      </c>
      <c r="T9" s="13">
        <f t="shared" si="4"/>
        <v>-275.20777620004134</v>
      </c>
      <c r="U9" s="13">
        <f t="shared" si="5"/>
        <v>-1715.2077762000413</v>
      </c>
      <c r="V9" s="12">
        <f t="shared" si="6"/>
        <v>-1.2011666666666656</v>
      </c>
      <c r="W9" s="14" t="str">
        <f t="shared" si="7"/>
        <v/>
      </c>
      <c r="X9" s="14">
        <f t="shared" si="8"/>
        <v>0.78827227591879923</v>
      </c>
      <c r="Y9" s="15">
        <f>('1. Assumptions'!N9+'1. Assumptions'!O9)*'1. Assumptions'!G9*S9</f>
        <v>1.1400487829330688</v>
      </c>
      <c r="Z9" s="16">
        <f>IF(('1. Assumptions'!N9+'1. Assumptions'!O9)*'1. Assumptions'!G9&gt;0,H9/(('1. Assumptions'!N9+'1. Assumptions'!O9)*'1. Assumptions'!G9),"")</f>
        <v>7.8</v>
      </c>
      <c r="AA9" s="16">
        <f t="shared" si="9"/>
        <v>-1496.7038439383518</v>
      </c>
      <c r="AB9" s="11" t="str">
        <f t="shared" si="10"/>
        <v>Do not automate</v>
      </c>
      <c r="AC9" s="11" t="str">
        <f t="shared" si="11"/>
        <v>Negative NPV: costs, review, risk, or setup exceed discounted savings.</v>
      </c>
    </row>
    <row r="10" spans="1:29" ht="27.6">
      <c r="A10" s="11" t="str">
        <f>'1. Assumptions'!B10</f>
        <v>Board Deck Commentary</v>
      </c>
      <c r="B10" s="11" t="str">
        <f>'1. Assumptions'!C10</f>
        <v>AI Agent</v>
      </c>
      <c r="C10" s="11">
        <f>'1. Assumptions'!D10</f>
        <v>5</v>
      </c>
      <c r="D10" s="12">
        <f>(1+'1. Assumptions'!W10)^(1/12)-1</f>
        <v>7.9741404289037643E-3</v>
      </c>
      <c r="E10" s="13">
        <f>'1. Assumptions'!E10*'1. Assumptions'!F10*'1. Assumptions'!G10</f>
        <v>960</v>
      </c>
      <c r="F10" s="12">
        <f>'1. Assumptions'!I10*'1. Assumptions'!J10</f>
        <v>0.73799999999999999</v>
      </c>
      <c r="G10" s="13">
        <f>'1. Assumptions'!E10*'1. Assumptions'!F10*'1. Assumptions'!G10*F10</f>
        <v>708.48</v>
      </c>
      <c r="H10" s="13">
        <f>('1. Assumptions'!N10*'1. Assumptions'!P10+'1. Assumptions'!O10*'1. Assumptions'!Q10)*'1. Assumptions'!G10</f>
        <v>3.75</v>
      </c>
      <c r="I10" s="13">
        <f>'1. Assumptions'!R10</f>
        <v>1000</v>
      </c>
      <c r="J10" s="13">
        <f>'1. Assumptions'!S10*'1. Assumptions'!E10*'1. Assumptions'!G10</f>
        <v>240</v>
      </c>
      <c r="K10" s="13">
        <f>'1. Assumptions'!T10*'1. Assumptions'!U10*(1-'1. Assumptions'!V10)*'1. Assumptions'!G10</f>
        <v>54.000000000000007</v>
      </c>
      <c r="L10" s="13">
        <f>'1. Assumptions'!X10*'1. Assumptions'!E10</f>
        <v>720</v>
      </c>
      <c r="M10" s="13">
        <f t="shared" si="0"/>
        <v>2017.75</v>
      </c>
      <c r="N10" s="13">
        <f t="shared" si="1"/>
        <v>-1309.27</v>
      </c>
      <c r="O10" s="13">
        <f>'1. Assumptions'!K10*'1. Assumptions'!E10+'1. Assumptions'!Y10</f>
        <v>12400</v>
      </c>
      <c r="P10" s="13">
        <f>'1. Assumptions'!L10*'1. Assumptions'!M10*'1. Assumptions'!E10</f>
        <v>1800</v>
      </c>
      <c r="Q10" s="13">
        <f t="shared" si="2"/>
        <v>14200</v>
      </c>
      <c r="R10" s="14">
        <f>'1. Assumptions'!H10</f>
        <v>12</v>
      </c>
      <c r="S10" s="13">
        <f t="shared" si="3"/>
        <v>11.400487829330688</v>
      </c>
      <c r="T10" s="13">
        <f t="shared" si="4"/>
        <v>-14926.316700307789</v>
      </c>
      <c r="U10" s="13">
        <f t="shared" si="5"/>
        <v>-29126.316700307791</v>
      </c>
      <c r="V10" s="12">
        <f t="shared" si="6"/>
        <v>-2.1064253521126761</v>
      </c>
      <c r="W10" s="14" t="str">
        <f t="shared" si="7"/>
        <v/>
      </c>
      <c r="X10" s="14">
        <f t="shared" si="8"/>
        <v>0.22132507224116835</v>
      </c>
      <c r="Y10" s="15">
        <f>('1. Assumptions'!N10+'1. Assumptions'!O10)*'1. Assumptions'!G10*S10</f>
        <v>5.1302195231988099</v>
      </c>
      <c r="Z10" s="16">
        <f>IF(('1. Assumptions'!N10+'1. Assumptions'!O10)*'1. Assumptions'!G10&gt;0,H10/(('1. Assumptions'!N10+'1. Assumptions'!O10)*'1. Assumptions'!G10),"")</f>
        <v>8.3333333333333339</v>
      </c>
      <c r="AA10" s="16">
        <f t="shared" si="9"/>
        <v>-5669.0682999883647</v>
      </c>
      <c r="AB10" s="11" t="str">
        <f t="shared" si="10"/>
        <v>Do not automate</v>
      </c>
      <c r="AC10" s="11" t="str">
        <f t="shared" si="11"/>
        <v>Negative NPV: costs, review, risk, or setup exceed discounted savings.</v>
      </c>
    </row>
    <row r="11" spans="1:29" ht="27.6">
      <c r="A11" s="11" t="str">
        <f>'1. Assumptions'!B11</f>
        <v>Forecast Model Refresh</v>
      </c>
      <c r="B11" s="11" t="str">
        <f>'1. Assumptions'!C11</f>
        <v>Coding Copilot</v>
      </c>
      <c r="C11" s="11">
        <f>'1. Assumptions'!D11</f>
        <v>4</v>
      </c>
      <c r="D11" s="12">
        <f>(1+'1. Assumptions'!W11)^(1/12)-1</f>
        <v>7.9741404289037643E-3</v>
      </c>
      <c r="E11" s="13">
        <f>'1. Assumptions'!E11*'1. Assumptions'!F11*'1. Assumptions'!G11</f>
        <v>3520</v>
      </c>
      <c r="F11" s="12">
        <f>'1. Assumptions'!I11*'1. Assumptions'!J11</f>
        <v>0.63</v>
      </c>
      <c r="G11" s="13">
        <f>'1. Assumptions'!E11*'1. Assumptions'!F11*'1. Assumptions'!G11*F11</f>
        <v>2217.6</v>
      </c>
      <c r="H11" s="13">
        <f>('1. Assumptions'!N11*'1. Assumptions'!P11+'1. Assumptions'!O11*'1. Assumptions'!Q11)*'1. Assumptions'!G11</f>
        <v>1.38</v>
      </c>
      <c r="I11" s="13">
        <f>'1. Assumptions'!R11</f>
        <v>100</v>
      </c>
      <c r="J11" s="13">
        <f>'1. Assumptions'!S11*'1. Assumptions'!E11*'1. Assumptions'!G11</f>
        <v>660</v>
      </c>
      <c r="K11" s="13">
        <f>'1. Assumptions'!T11*'1. Assumptions'!U11*(1-'1. Assumptions'!V11)*'1. Assumptions'!G11</f>
        <v>63.999999999999986</v>
      </c>
      <c r="L11" s="13">
        <f>'1. Assumptions'!X11*'1. Assumptions'!E11</f>
        <v>220</v>
      </c>
      <c r="M11" s="13">
        <f t="shared" si="0"/>
        <v>1045.3800000000001</v>
      </c>
      <c r="N11" s="13">
        <f t="shared" si="1"/>
        <v>1172.2199999999998</v>
      </c>
      <c r="O11" s="13">
        <f>'1. Assumptions'!K11*'1. Assumptions'!E11+'1. Assumptions'!Y11</f>
        <v>2700</v>
      </c>
      <c r="P11" s="13">
        <f>'1. Assumptions'!L11*'1. Assumptions'!M11*'1. Assumptions'!E11</f>
        <v>660</v>
      </c>
      <c r="Q11" s="13">
        <f t="shared" si="2"/>
        <v>3360</v>
      </c>
      <c r="R11" s="14">
        <f>'1. Assumptions'!H11</f>
        <v>24</v>
      </c>
      <c r="S11" s="13">
        <f t="shared" si="3"/>
        <v>21.764567674176774</v>
      </c>
      <c r="T11" s="13">
        <f t="shared" si="4"/>
        <v>25512.861519023496</v>
      </c>
      <c r="U11" s="13">
        <f t="shared" si="5"/>
        <v>22152.861519023496</v>
      </c>
      <c r="V11" s="12">
        <f t="shared" si="6"/>
        <v>7.3729999999999984</v>
      </c>
      <c r="W11" s="14">
        <f t="shared" si="7"/>
        <v>2.866356144750986</v>
      </c>
      <c r="X11" s="14">
        <f t="shared" si="8"/>
        <v>1.8707924884847049</v>
      </c>
      <c r="Y11" s="15">
        <f>('1. Assumptions'!N11+'1. Assumptions'!O11)*'1. Assumptions'!G11*S11</f>
        <v>4.7882048883188908</v>
      </c>
      <c r="Z11" s="16">
        <f>IF(('1. Assumptions'!N11+'1. Assumptions'!O11)*'1. Assumptions'!G11&gt;0,H11/(('1. Assumptions'!N11+'1. Assumptions'!O11)*'1. Assumptions'!G11),"")</f>
        <v>6.2727272727272725</v>
      </c>
      <c r="AA11" s="16">
        <f t="shared" si="9"/>
        <v>4632.8210968019248</v>
      </c>
      <c r="AB11" s="11" t="str">
        <f t="shared" si="10"/>
        <v>Use coding copilot / structured automation</v>
      </c>
      <c r="AC11" s="11" t="str">
        <f t="shared" si="11"/>
        <v>Positive NPV: use the recommended level and maintain human review.</v>
      </c>
    </row>
    <row r="12" spans="1:29" ht="27.6">
      <c r="A12" s="11" t="str">
        <f>'1. Assumptions'!B12</f>
        <v>Forecast Model Refresh</v>
      </c>
      <c r="B12" s="11" t="str">
        <f>'1. Assumptions'!C12</f>
        <v>AI Agent</v>
      </c>
      <c r="C12" s="11">
        <f>'1. Assumptions'!D12</f>
        <v>5</v>
      </c>
      <c r="D12" s="12">
        <f>(1+'1. Assumptions'!W12)^(1/12)-1</f>
        <v>7.9741404289037643E-3</v>
      </c>
      <c r="E12" s="13">
        <f>'1. Assumptions'!E12*'1. Assumptions'!F12*'1. Assumptions'!G12</f>
        <v>3520</v>
      </c>
      <c r="F12" s="12">
        <f>'1. Assumptions'!I12*'1. Assumptions'!J12</f>
        <v>0.80959999999999999</v>
      </c>
      <c r="G12" s="13">
        <f>'1. Assumptions'!E12*'1. Assumptions'!F12*'1. Assumptions'!G12*F12</f>
        <v>2849.7919999999999</v>
      </c>
      <c r="H12" s="13">
        <f>('1. Assumptions'!N12*'1. Assumptions'!P12+'1. Assumptions'!O12*'1. Assumptions'!Q12)*'1. Assumptions'!G12</f>
        <v>11.1</v>
      </c>
      <c r="I12" s="13">
        <f>'1. Assumptions'!R12</f>
        <v>1500</v>
      </c>
      <c r="J12" s="13">
        <f>'1. Assumptions'!S12*'1. Assumptions'!E12*'1. Assumptions'!G12</f>
        <v>440</v>
      </c>
      <c r="K12" s="13">
        <f>'1. Assumptions'!T12*'1. Assumptions'!U12*(1-'1. Assumptions'!V12)*'1. Assumptions'!G12</f>
        <v>120.00000000000001</v>
      </c>
      <c r="L12" s="13">
        <f>'1. Assumptions'!X12*'1. Assumptions'!E12</f>
        <v>1100</v>
      </c>
      <c r="M12" s="13">
        <f t="shared" si="0"/>
        <v>3171.1</v>
      </c>
      <c r="N12" s="13">
        <f t="shared" si="1"/>
        <v>-321.30799999999999</v>
      </c>
      <c r="O12" s="13">
        <f>'1. Assumptions'!K12*'1. Assumptions'!E12+'1. Assumptions'!Y12</f>
        <v>18000</v>
      </c>
      <c r="P12" s="13">
        <f>'1. Assumptions'!L12*'1. Assumptions'!M12*'1. Assumptions'!E12</f>
        <v>1760</v>
      </c>
      <c r="Q12" s="13">
        <f t="shared" si="2"/>
        <v>19760</v>
      </c>
      <c r="R12" s="14">
        <f>'1. Assumptions'!H12</f>
        <v>24</v>
      </c>
      <c r="S12" s="13">
        <f t="shared" si="3"/>
        <v>21.764567674176774</v>
      </c>
      <c r="T12" s="13">
        <f t="shared" si="4"/>
        <v>-6993.1297102543913</v>
      </c>
      <c r="U12" s="13">
        <f t="shared" si="5"/>
        <v>-26753.12971025439</v>
      </c>
      <c r="V12" s="12">
        <f t="shared" si="6"/>
        <v>-1.3902526315789474</v>
      </c>
      <c r="W12" s="14" t="str">
        <f t="shared" si="7"/>
        <v/>
      </c>
      <c r="X12" s="14">
        <f t="shared" si="8"/>
        <v>0.71344087188003313</v>
      </c>
      <c r="Y12" s="15">
        <f>('1. Assumptions'!N12+'1. Assumptions'!O12)*'1. Assumptions'!G12*S12</f>
        <v>36.999765046100514</v>
      </c>
      <c r="Z12" s="16">
        <f>IF(('1. Assumptions'!N12+'1. Assumptions'!O12)*'1. Assumptions'!G12&gt;0,H12/(('1. Assumptions'!N12+'1. Assumptions'!O12)*'1. Assumptions'!G12),"")</f>
        <v>6.5294117647058822</v>
      </c>
      <c r="AA12" s="16">
        <f t="shared" si="9"/>
        <v>-716.53273949276434</v>
      </c>
      <c r="AB12" s="11" t="str">
        <f t="shared" si="10"/>
        <v>Do not automate</v>
      </c>
      <c r="AC12" s="11" t="str">
        <f t="shared" si="11"/>
        <v>Negative NPV: costs, review, risk, or setup exceed discounted savings.</v>
      </c>
    </row>
    <row r="13" spans="1:29" ht="27.6">
      <c r="A13" s="11" t="str">
        <f>'1. Assumptions'!B13</f>
        <v>Ad Hoc Business Case</v>
      </c>
      <c r="B13" s="11" t="str">
        <f>'1. Assumptions'!C13</f>
        <v>Manual AI</v>
      </c>
      <c r="C13" s="11">
        <f>'1. Assumptions'!D13</f>
        <v>2</v>
      </c>
      <c r="D13" s="12">
        <f>(1+'1. Assumptions'!W13)^(1/12)-1</f>
        <v>7.9741404289037643E-3</v>
      </c>
      <c r="E13" s="13">
        <f>'1. Assumptions'!E13*'1. Assumptions'!F13*'1. Assumptions'!G13</f>
        <v>390</v>
      </c>
      <c r="F13" s="12">
        <f>'1. Assumptions'!I13*'1. Assumptions'!J13</f>
        <v>0.41</v>
      </c>
      <c r="G13" s="13">
        <f>'1. Assumptions'!E13*'1. Assumptions'!F13*'1. Assumptions'!G13*F13</f>
        <v>159.89999999999998</v>
      </c>
      <c r="H13" s="13">
        <f>('1. Assumptions'!N13*'1. Assumptions'!P13+'1. Assumptions'!O13*'1. Assumptions'!Q13)*'1. Assumptions'!G13</f>
        <v>0.14249999999999999</v>
      </c>
      <c r="I13" s="13">
        <f>'1. Assumptions'!R13</f>
        <v>20</v>
      </c>
      <c r="J13" s="13">
        <f>'1. Assumptions'!S13*'1. Assumptions'!E13*'1. Assumptions'!G13</f>
        <v>162.5</v>
      </c>
      <c r="K13" s="13">
        <f>'1. Assumptions'!T13*'1. Assumptions'!U13*(1-'1. Assumptions'!V13)*'1. Assumptions'!G13</f>
        <v>6.7500000000000009</v>
      </c>
      <c r="L13" s="13">
        <f>'1. Assumptions'!X13*'1. Assumptions'!E13</f>
        <v>26</v>
      </c>
      <c r="M13" s="13">
        <f t="shared" si="0"/>
        <v>215.39249999999998</v>
      </c>
      <c r="N13" s="13">
        <f t="shared" si="1"/>
        <v>-55.492500000000007</v>
      </c>
      <c r="O13" s="13">
        <f>'1. Assumptions'!K13*'1. Assumptions'!E13+'1. Assumptions'!Y13</f>
        <v>130</v>
      </c>
      <c r="P13" s="13">
        <f>'1. Assumptions'!L13*'1. Assumptions'!M13*'1. Assumptions'!E13</f>
        <v>65</v>
      </c>
      <c r="Q13" s="13">
        <f t="shared" si="2"/>
        <v>195</v>
      </c>
      <c r="R13" s="14">
        <f>'1. Assumptions'!H13</f>
        <v>6</v>
      </c>
      <c r="S13" s="13">
        <f t="shared" si="3"/>
        <v>5.83604103405606</v>
      </c>
      <c r="T13" s="13">
        <f t="shared" si="4"/>
        <v>-323.85650708235596</v>
      </c>
      <c r="U13" s="13">
        <f t="shared" si="5"/>
        <v>-518.85650708235596</v>
      </c>
      <c r="V13" s="12">
        <f t="shared" si="6"/>
        <v>-2.7074615384615388</v>
      </c>
      <c r="W13" s="14" t="str">
        <f t="shared" si="7"/>
        <v/>
      </c>
      <c r="X13" s="14">
        <f t="shared" si="8"/>
        <v>0.64503766753733971</v>
      </c>
      <c r="Y13" s="15">
        <f>('1. Assumptions'!N13+'1. Assumptions'!O13)*'1. Assumptions'!G13*S13</f>
        <v>0.10213071809598107</v>
      </c>
      <c r="Z13" s="16">
        <f>IF(('1. Assumptions'!N13+'1. Assumptions'!O13)*'1. Assumptions'!G13&gt;0,H13/(('1. Assumptions'!N13+'1. Assumptions'!O13)*'1. Assumptions'!G13),"")</f>
        <v>8.1428571428571406</v>
      </c>
      <c r="AA13" s="16">
        <f t="shared" si="9"/>
        <v>-5072.1749625628827</v>
      </c>
      <c r="AB13" s="11" t="str">
        <f t="shared" si="10"/>
        <v>Do not automate</v>
      </c>
      <c r="AC13" s="11" t="str">
        <f t="shared" si="11"/>
        <v>Negative NPV: costs, review, risk, or setup exceed discounted savings.</v>
      </c>
    </row>
    <row r="14" spans="1:29" ht="27.6">
      <c r="A14" s="11" t="str">
        <f>'1. Assumptions'!B14</f>
        <v>Ad Hoc Business Case</v>
      </c>
      <c r="B14" s="11" t="str">
        <f>'1. Assumptions'!C14</f>
        <v>Custom GPT</v>
      </c>
      <c r="C14" s="11">
        <f>'1. Assumptions'!D14</f>
        <v>3</v>
      </c>
      <c r="D14" s="12">
        <f>(1+'1. Assumptions'!W14)^(1/12)-1</f>
        <v>7.9741404289037643E-3</v>
      </c>
      <c r="E14" s="13">
        <f>'1. Assumptions'!E14*'1. Assumptions'!F14*'1. Assumptions'!G14</f>
        <v>390</v>
      </c>
      <c r="F14" s="12">
        <f>'1. Assumptions'!I14*'1. Assumptions'!J14</f>
        <v>0.59499999999999997</v>
      </c>
      <c r="G14" s="13">
        <f>'1. Assumptions'!E14*'1. Assumptions'!F14*'1. Assumptions'!G14*F14</f>
        <v>232.04999999999998</v>
      </c>
      <c r="H14" s="13">
        <f>('1. Assumptions'!N14*'1. Assumptions'!P14+'1. Assumptions'!O14*'1. Assumptions'!Q14)*'1. Assumptions'!G14</f>
        <v>0.3</v>
      </c>
      <c r="I14" s="13">
        <f>'1. Assumptions'!R14</f>
        <v>50</v>
      </c>
      <c r="J14" s="13">
        <f>'1. Assumptions'!S14*'1. Assumptions'!E14*'1. Assumptions'!G14</f>
        <v>130</v>
      </c>
      <c r="K14" s="13">
        <f>'1. Assumptions'!T14*'1. Assumptions'!U14*(1-'1. Assumptions'!V14)*'1. Assumptions'!G14</f>
        <v>5.625</v>
      </c>
      <c r="L14" s="13">
        <f>'1. Assumptions'!X14*'1. Assumptions'!E14</f>
        <v>104</v>
      </c>
      <c r="M14" s="13">
        <f t="shared" si="0"/>
        <v>289.92500000000001</v>
      </c>
      <c r="N14" s="13">
        <f t="shared" si="1"/>
        <v>-57.875000000000028</v>
      </c>
      <c r="O14" s="13">
        <f>'1. Assumptions'!K14*'1. Assumptions'!E14+'1. Assumptions'!Y14</f>
        <v>1040</v>
      </c>
      <c r="P14" s="13">
        <f>'1. Assumptions'!L14*'1. Assumptions'!M14*'1. Assumptions'!E14</f>
        <v>520</v>
      </c>
      <c r="Q14" s="13">
        <f t="shared" si="2"/>
        <v>1560</v>
      </c>
      <c r="R14" s="14">
        <f>'1. Assumptions'!H14</f>
        <v>6</v>
      </c>
      <c r="S14" s="13">
        <f t="shared" si="3"/>
        <v>5.83604103405606</v>
      </c>
      <c r="T14" s="13">
        <f t="shared" si="4"/>
        <v>-337.76087484599464</v>
      </c>
      <c r="U14" s="13">
        <f t="shared" si="5"/>
        <v>-1897.7608748459947</v>
      </c>
      <c r="V14" s="12">
        <f t="shared" si="6"/>
        <v>-1.2225961538461541</v>
      </c>
      <c r="W14" s="14" t="str">
        <f t="shared" si="7"/>
        <v/>
      </c>
      <c r="X14" s="14">
        <f t="shared" si="8"/>
        <v>0.42196663181342908</v>
      </c>
      <c r="Y14" s="15">
        <f>('1. Assumptions'!N14+'1. Assumptions'!O14)*'1. Assumptions'!G14*S14</f>
        <v>0.23344164136224241</v>
      </c>
      <c r="Z14" s="16">
        <f>IF(('1. Assumptions'!N14+'1. Assumptions'!O14)*'1. Assumptions'!G14&gt;0,H14/(('1. Assumptions'!N14+'1. Assumptions'!O14)*'1. Assumptions'!G14),"")</f>
        <v>7.5</v>
      </c>
      <c r="AA14" s="16">
        <f t="shared" si="9"/>
        <v>-8121.9873689700862</v>
      </c>
      <c r="AB14" s="11" t="str">
        <f t="shared" si="10"/>
        <v>Do not automate</v>
      </c>
      <c r="AC14" s="11" t="str">
        <f t="shared" si="11"/>
        <v>Negative NPV: costs, review, risk, or setup exceed discounted savings.</v>
      </c>
    </row>
    <row r="15" spans="1:29" ht="27.6">
      <c r="A15" s="11" t="str">
        <f>'1. Assumptions'!B15</f>
        <v>ERP Forecast Upload</v>
      </c>
      <c r="B15" s="11" t="str">
        <f>'1. Assumptions'!C15</f>
        <v>Coding Copilot</v>
      </c>
      <c r="C15" s="11">
        <f>'1. Assumptions'!D15</f>
        <v>4</v>
      </c>
      <c r="D15" s="12">
        <f>(1+'1. Assumptions'!W15)^(1/12)-1</f>
        <v>7.9741404289037643E-3</v>
      </c>
      <c r="E15" s="13">
        <f>'1. Assumptions'!E15*'1. Assumptions'!F15*'1. Assumptions'!G15</f>
        <v>1260</v>
      </c>
      <c r="F15" s="12">
        <f>'1. Assumptions'!I15*'1. Assumptions'!J15</f>
        <v>0.58500000000000008</v>
      </c>
      <c r="G15" s="13">
        <f>'1. Assumptions'!E15*'1. Assumptions'!F15*'1. Assumptions'!G15*F15</f>
        <v>737.10000000000014</v>
      </c>
      <c r="H15" s="13">
        <f>('1. Assumptions'!N15*'1. Assumptions'!P15+'1. Assumptions'!O15*'1. Assumptions'!Q15)*'1. Assumptions'!G15</f>
        <v>0.75</v>
      </c>
      <c r="I15" s="13">
        <f>'1. Assumptions'!R15</f>
        <v>150</v>
      </c>
      <c r="J15" s="13">
        <f>'1. Assumptions'!S15*'1. Assumptions'!E15*'1. Assumptions'!G15</f>
        <v>315</v>
      </c>
      <c r="K15" s="13">
        <f>'1. Assumptions'!T15*'1. Assumptions'!U15*(1-'1. Assumptions'!V15)*'1. Assumptions'!G15</f>
        <v>90.000000000000014</v>
      </c>
      <c r="L15" s="13">
        <f>'1. Assumptions'!X15*'1. Assumptions'!E15</f>
        <v>210</v>
      </c>
      <c r="M15" s="13">
        <f t="shared" si="0"/>
        <v>765.75</v>
      </c>
      <c r="N15" s="13">
        <f t="shared" si="1"/>
        <v>-28.649999999999864</v>
      </c>
      <c r="O15" s="13">
        <f>'1. Assumptions'!K15*'1. Assumptions'!E15+'1. Assumptions'!Y15</f>
        <v>3520</v>
      </c>
      <c r="P15" s="13">
        <f>'1. Assumptions'!L15*'1. Assumptions'!M15*'1. Assumptions'!E15</f>
        <v>630</v>
      </c>
      <c r="Q15" s="13">
        <f t="shared" si="2"/>
        <v>4150</v>
      </c>
      <c r="R15" s="14">
        <f>'1. Assumptions'!H15</f>
        <v>18</v>
      </c>
      <c r="S15" s="13">
        <f t="shared" si="3"/>
        <v>16.70597967847258</v>
      </c>
      <c r="T15" s="13">
        <f t="shared" si="4"/>
        <v>-478.62631778823715</v>
      </c>
      <c r="U15" s="13">
        <f t="shared" si="5"/>
        <v>-4628.6263177882374</v>
      </c>
      <c r="V15" s="12">
        <f t="shared" si="6"/>
        <v>-1.1242650602409632</v>
      </c>
      <c r="W15" s="14" t="str">
        <f t="shared" si="7"/>
        <v/>
      </c>
      <c r="X15" s="14">
        <f t="shared" si="8"/>
        <v>0.73983327292497303</v>
      </c>
      <c r="Y15" s="15">
        <f>('1. Assumptions'!N15+'1. Assumptions'!O15)*'1. Assumptions'!G15*S15</f>
        <v>2.1717773582014357</v>
      </c>
      <c r="Z15" s="16">
        <f>IF(('1. Assumptions'!N15+'1. Assumptions'!O15)*'1. Assumptions'!G15&gt;0,H15/(('1. Assumptions'!N15+'1. Assumptions'!O15)*'1. Assumptions'!G15),"")</f>
        <v>5.7692307692307692</v>
      </c>
      <c r="AA15" s="16">
        <f t="shared" si="9"/>
        <v>-2125.4926595478541</v>
      </c>
      <c r="AB15" s="11" t="str">
        <f t="shared" si="10"/>
        <v>Do not automate</v>
      </c>
      <c r="AC15" s="11" t="str">
        <f t="shared" si="11"/>
        <v>Negative NPV: costs, review, risk, or setup exceed discounted savings.</v>
      </c>
    </row>
    <row r="16" spans="1:29" ht="27.6">
      <c r="A16" s="11" t="str">
        <f>'1. Assumptions'!B16</f>
        <v>ERP Forecast Upload</v>
      </c>
      <c r="B16" s="11" t="str">
        <f>'1. Assumptions'!C16</f>
        <v>AI Agent</v>
      </c>
      <c r="C16" s="11">
        <f>'1. Assumptions'!D16</f>
        <v>5</v>
      </c>
      <c r="D16" s="12">
        <f>(1+'1. Assumptions'!W16)^(1/12)-1</f>
        <v>7.9741404289037643E-3</v>
      </c>
      <c r="E16" s="13">
        <f>'1. Assumptions'!E16*'1. Assumptions'!F16*'1. Assumptions'!G16</f>
        <v>1260</v>
      </c>
      <c r="F16" s="12">
        <f>'1. Assumptions'!I16*'1. Assumptions'!J16</f>
        <v>0.79980000000000007</v>
      </c>
      <c r="G16" s="13">
        <f>'1. Assumptions'!E16*'1. Assumptions'!F16*'1. Assumptions'!G16*F16</f>
        <v>1007.748</v>
      </c>
      <c r="H16" s="13">
        <f>('1. Assumptions'!N16*'1. Assumptions'!P16+'1. Assumptions'!O16*'1. Assumptions'!Q16)*'1. Assumptions'!G16</f>
        <v>6.9</v>
      </c>
      <c r="I16" s="13">
        <f>'1. Assumptions'!R16</f>
        <v>1800</v>
      </c>
      <c r="J16" s="13">
        <f>'1. Assumptions'!S16*'1. Assumptions'!E16*'1. Assumptions'!G16</f>
        <v>210</v>
      </c>
      <c r="K16" s="13">
        <f>'1. Assumptions'!T16*'1. Assumptions'!U16*(1-'1. Assumptions'!V16)*'1. Assumptions'!G16</f>
        <v>159.99999999999997</v>
      </c>
      <c r="L16" s="13">
        <f>'1. Assumptions'!X16*'1. Assumptions'!E16</f>
        <v>1260</v>
      </c>
      <c r="M16" s="13">
        <f t="shared" si="0"/>
        <v>3436.9</v>
      </c>
      <c r="N16" s="13">
        <f t="shared" si="1"/>
        <v>-2429.152</v>
      </c>
      <c r="O16" s="13">
        <f>'1. Assumptions'!K16*'1. Assumptions'!E16+'1. Assumptions'!Y16</f>
        <v>22600</v>
      </c>
      <c r="P16" s="13">
        <f>'1. Assumptions'!L16*'1. Assumptions'!M16*'1. Assumptions'!E16</f>
        <v>1680</v>
      </c>
      <c r="Q16" s="13">
        <f t="shared" si="2"/>
        <v>24280</v>
      </c>
      <c r="R16" s="14">
        <f>'1. Assumptions'!H16</f>
        <v>18</v>
      </c>
      <c r="S16" s="13">
        <f t="shared" si="3"/>
        <v>16.70597967847258</v>
      </c>
      <c r="T16" s="13">
        <f t="shared" si="4"/>
        <v>-40581.363947921025</v>
      </c>
      <c r="U16" s="13">
        <f t="shared" si="5"/>
        <v>-64861.363947921025</v>
      </c>
      <c r="V16" s="12">
        <f t="shared" si="6"/>
        <v>-2.8008540362438223</v>
      </c>
      <c r="W16" s="14" t="str">
        <f t="shared" si="7"/>
        <v/>
      </c>
      <c r="X16" s="14">
        <f t="shared" si="8"/>
        <v>0.21057092642336916</v>
      </c>
      <c r="Y16" s="15">
        <f>('1. Assumptions'!N16+'1. Assumptions'!O16)*'1. Assumptions'!G16*S16</f>
        <v>18.376577646319841</v>
      </c>
      <c r="Z16" s="16">
        <f>IF(('1. Assumptions'!N16+'1. Assumptions'!O16)*'1. Assumptions'!G16&gt;0,H16/(('1. Assumptions'!N16+'1. Assumptions'!O16)*'1. Assumptions'!G16),"")</f>
        <v>6.2727272727272725</v>
      </c>
      <c r="AA16" s="16">
        <f t="shared" si="9"/>
        <v>-3523.2943769105914</v>
      </c>
      <c r="AB16" s="11" t="str">
        <f t="shared" si="10"/>
        <v>Do not automate</v>
      </c>
      <c r="AC16" s="11" t="str">
        <f t="shared" si="11"/>
        <v>Negative NPV: costs, review, risk, or setup exceed discounted savings.</v>
      </c>
    </row>
  </sheetData>
  <mergeCells count="2">
    <mergeCell ref="A1:AC1"/>
    <mergeCell ref="A2:AC2"/>
  </mergeCells>
  <conditionalFormatting sqref="U5:U16">
    <cfRule type="cellIs" dxfId="2" priority="1" operator="lessThan">
      <formula>0</formula>
    </cfRule>
    <cfRule type="cellIs" dxfId="1" priority="2" operator="greaterThan">
      <formula>0</formula>
    </cfRule>
  </conditionalFormatting>
  <conditionalFormatting sqref="AA5:AA16">
    <cfRule type="cellIs" dxfId="0" priority="3" operator="lessThan">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sheetPr>
  <dimension ref="A1:Z20"/>
  <sheetViews>
    <sheetView showGridLines="0" zoomScale="70" zoomScaleNormal="70" workbookViewId="0">
      <selection activeCell="A16" sqref="A16:H16"/>
    </sheetView>
  </sheetViews>
  <sheetFormatPr defaultRowHeight="13.8"/>
  <cols>
    <col min="1" max="1" width="28" customWidth="1"/>
    <col min="2" max="2" width="22" customWidth="1"/>
    <col min="3" max="7" width="16" customWidth="1"/>
    <col min="8" max="8" width="38" customWidth="1"/>
  </cols>
  <sheetData>
    <row r="1" spans="1:26" ht="30" customHeight="1">
      <c r="A1" s="27" t="s">
        <v>88</v>
      </c>
      <c r="B1" s="28"/>
      <c r="C1" s="28"/>
      <c r="D1" s="28"/>
      <c r="E1" s="28"/>
      <c r="F1" s="28"/>
      <c r="G1" s="28"/>
      <c r="H1" s="28"/>
      <c r="I1" s="26"/>
      <c r="J1" s="26"/>
      <c r="K1" s="26"/>
      <c r="L1" s="26"/>
      <c r="M1" s="26"/>
      <c r="N1" s="26"/>
      <c r="O1" s="26"/>
      <c r="P1" s="26"/>
      <c r="Q1" s="26"/>
      <c r="R1" s="26"/>
      <c r="S1" s="26"/>
      <c r="T1" s="26"/>
      <c r="U1" s="26"/>
      <c r="V1" s="26"/>
      <c r="W1" s="26"/>
      <c r="X1" s="26"/>
      <c r="Y1" s="26"/>
      <c r="Z1" s="26"/>
    </row>
    <row r="2" spans="1:26" ht="14.4">
      <c r="A2" s="29" t="s">
        <v>89</v>
      </c>
      <c r="B2" s="30"/>
      <c r="C2" s="30"/>
      <c r="D2" s="30"/>
      <c r="E2" s="30"/>
      <c r="F2" s="30"/>
      <c r="G2" s="30"/>
      <c r="H2" s="30"/>
    </row>
    <row r="4" spans="1:26" ht="30" customHeight="1">
      <c r="A4" s="1" t="s">
        <v>90</v>
      </c>
      <c r="B4" s="1" t="s">
        <v>91</v>
      </c>
      <c r="D4" s="1" t="s">
        <v>92</v>
      </c>
      <c r="E4" s="1" t="s">
        <v>93</v>
      </c>
    </row>
    <row r="5" spans="1:26" ht="62.4">
      <c r="A5" s="17">
        <f>SUMIF('2. Calculations'!U5:U16,"&gt;0",'2. Calculations'!U5:U16)</f>
        <v>25087.645596095168</v>
      </c>
      <c r="B5" s="18">
        <f>COUNTIF('2. Calculations'!U5:U16,"&gt;0")</f>
        <v>2</v>
      </c>
      <c r="D5" s="19">
        <f>AVERAGEIF('2. Calculations'!U5:U16,"&gt;0",'2. Calculations'!W5:W16)</f>
        <v>4.1309331547533716</v>
      </c>
      <c r="E5" s="18" t="str">
        <f>INDEX('2. Calculations'!A5:A16,MATCH(MAX('2. Calculations'!U5:U16),'2. Calculations'!U5:U16,0))&amp;" — "&amp;INDEX('2. Calculations'!B5:B16,MATCH(MAX('2. Calculations'!U5:U16),'2. Calculations'!U5:U16,0))</f>
        <v>Forecast Model Refresh — Coding Copilot</v>
      </c>
    </row>
    <row r="8" spans="1:26" ht="27.6">
      <c r="A8" s="1" t="s">
        <v>94</v>
      </c>
      <c r="B8" s="1" t="s">
        <v>95</v>
      </c>
      <c r="C8" s="1" t="s">
        <v>96</v>
      </c>
      <c r="D8" s="1" t="s">
        <v>72</v>
      </c>
      <c r="E8" s="1" t="s">
        <v>81</v>
      </c>
      <c r="F8" s="1" t="s">
        <v>82</v>
      </c>
      <c r="G8" s="1" t="s">
        <v>97</v>
      </c>
      <c r="H8" s="1" t="s">
        <v>98</v>
      </c>
    </row>
    <row r="9" spans="1:26">
      <c r="A9" s="3" t="s">
        <v>39</v>
      </c>
      <c r="B9" s="3"/>
      <c r="C9" s="20"/>
      <c r="D9" s="20"/>
      <c r="E9" s="21"/>
      <c r="F9" s="21"/>
      <c r="G9" s="22"/>
      <c r="H9" s="3"/>
    </row>
    <row r="10" spans="1:26">
      <c r="A10" s="3" t="s">
        <v>46</v>
      </c>
      <c r="B10" s="3"/>
      <c r="C10" s="20"/>
      <c r="D10" s="20"/>
      <c r="E10" s="21"/>
      <c r="F10" s="21"/>
      <c r="G10" s="22"/>
      <c r="H10" s="3"/>
    </row>
    <row r="11" spans="1:26">
      <c r="A11" s="3" t="s">
        <v>50</v>
      </c>
      <c r="B11" s="3"/>
      <c r="C11" s="20"/>
      <c r="D11" s="20"/>
      <c r="E11" s="21"/>
      <c r="F11" s="21"/>
      <c r="G11" s="22"/>
      <c r="H11" s="3"/>
    </row>
    <row r="12" spans="1:26">
      <c r="A12" s="3" t="s">
        <v>54</v>
      </c>
      <c r="B12" s="3"/>
      <c r="C12" s="20"/>
      <c r="D12" s="20"/>
      <c r="E12" s="21"/>
      <c r="F12" s="21"/>
      <c r="G12" s="22"/>
      <c r="H12" s="3"/>
    </row>
    <row r="13" spans="1:26">
      <c r="A13" s="3" t="s">
        <v>57</v>
      </c>
      <c r="B13" s="3"/>
      <c r="C13" s="20"/>
      <c r="D13" s="20"/>
      <c r="E13" s="21"/>
      <c r="F13" s="21"/>
      <c r="G13" s="22"/>
      <c r="H13" s="3"/>
    </row>
    <row r="16" spans="1:26" ht="15.6">
      <c r="A16" s="31" t="s">
        <v>99</v>
      </c>
      <c r="B16" s="30"/>
      <c r="C16" s="30"/>
      <c r="D16" s="30"/>
      <c r="E16" s="30"/>
      <c r="F16" s="30"/>
      <c r="G16" s="30"/>
      <c r="H16" s="30"/>
    </row>
    <row r="17" spans="1:8">
      <c r="A17" s="32" t="s">
        <v>100</v>
      </c>
      <c r="B17" s="30"/>
      <c r="C17" s="30"/>
      <c r="D17" s="30"/>
      <c r="E17" s="30"/>
      <c r="F17" s="30"/>
      <c r="G17" s="30"/>
      <c r="H17" s="30"/>
    </row>
    <row r="18" spans="1:8">
      <c r="A18" s="30"/>
      <c r="B18" s="30"/>
      <c r="C18" s="30"/>
      <c r="D18" s="30"/>
      <c r="E18" s="30"/>
      <c r="F18" s="30"/>
      <c r="G18" s="30"/>
      <c r="H18" s="30"/>
    </row>
    <row r="19" spans="1:8">
      <c r="A19" s="30"/>
      <c r="B19" s="30"/>
      <c r="C19" s="30"/>
      <c r="D19" s="30"/>
      <c r="E19" s="30"/>
      <c r="F19" s="30"/>
      <c r="G19" s="30"/>
      <c r="H19" s="30"/>
    </row>
    <row r="20" spans="1:8">
      <c r="A20" s="30"/>
      <c r="B20" s="30"/>
      <c r="C20" s="30"/>
      <c r="D20" s="30"/>
      <c r="E20" s="30"/>
      <c r="F20" s="30"/>
      <c r="G20" s="30"/>
      <c r="H20" s="30"/>
    </row>
  </sheetData>
  <mergeCells count="4">
    <mergeCell ref="A1:H1"/>
    <mergeCell ref="A2:H2"/>
    <mergeCell ref="A16:H16"/>
    <mergeCell ref="A17:H20"/>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Z27"/>
  <sheetViews>
    <sheetView showGridLines="0" workbookViewId="0">
      <selection activeCell="D14" sqref="D14"/>
    </sheetView>
  </sheetViews>
  <sheetFormatPr defaultRowHeight="13.8"/>
  <cols>
    <col min="1" max="1" width="28" customWidth="1"/>
    <col min="2" max="8" width="18" customWidth="1"/>
    <col min="9" max="9" width="42" customWidth="1"/>
  </cols>
  <sheetData>
    <row r="1" spans="1:26" ht="30" customHeight="1">
      <c r="A1" s="27" t="s">
        <v>101</v>
      </c>
      <c r="B1" s="28"/>
      <c r="C1" s="28"/>
      <c r="D1" s="28"/>
      <c r="E1" s="28"/>
      <c r="F1" s="28"/>
      <c r="G1" s="28"/>
      <c r="H1" s="28"/>
      <c r="I1" s="28"/>
      <c r="J1" s="26"/>
      <c r="K1" s="26"/>
      <c r="L1" s="26"/>
      <c r="M1" s="26"/>
      <c r="N1" s="26"/>
      <c r="O1" s="26"/>
      <c r="P1" s="26"/>
      <c r="Q1" s="26"/>
      <c r="R1" s="26"/>
      <c r="S1" s="26"/>
      <c r="T1" s="26"/>
      <c r="U1" s="26"/>
      <c r="V1" s="26"/>
      <c r="W1" s="26"/>
      <c r="X1" s="26"/>
      <c r="Y1" s="26"/>
      <c r="Z1" s="26"/>
    </row>
    <row r="2" spans="1:26" ht="14.4">
      <c r="A2" s="29" t="s">
        <v>102</v>
      </c>
      <c r="B2" s="30"/>
      <c r="C2" s="30"/>
      <c r="D2" s="30"/>
      <c r="E2" s="30"/>
      <c r="F2" s="30"/>
      <c r="G2" s="30"/>
      <c r="H2" s="30"/>
      <c r="I2" s="30"/>
    </row>
    <row r="4" spans="1:26" ht="30" customHeight="1">
      <c r="A4" s="31" t="s">
        <v>103</v>
      </c>
      <c r="B4" s="30"/>
      <c r="C4" s="30"/>
      <c r="D4" s="30"/>
      <c r="E4" s="30"/>
      <c r="F4" s="30"/>
      <c r="G4" s="30"/>
      <c r="H4" s="30"/>
      <c r="I4" s="30"/>
    </row>
    <row r="5" spans="1:26" ht="27.6">
      <c r="A5" s="1" t="s">
        <v>94</v>
      </c>
      <c r="B5" s="1" t="s">
        <v>15</v>
      </c>
      <c r="C5" s="1" t="s">
        <v>79</v>
      </c>
      <c r="D5" s="1" t="s">
        <v>84</v>
      </c>
      <c r="E5" s="1" t="s">
        <v>85</v>
      </c>
      <c r="F5" s="1" t="s">
        <v>104</v>
      </c>
      <c r="G5" s="1" t="s">
        <v>81</v>
      </c>
      <c r="H5" s="1" t="s">
        <v>86</v>
      </c>
      <c r="I5" s="1" t="s">
        <v>99</v>
      </c>
    </row>
    <row r="6" spans="1:26" ht="27.6">
      <c r="A6" s="2" t="str">
        <f>'2. Calculations'!A5</f>
        <v>Monthly Variance Analysis</v>
      </c>
      <c r="B6" s="2" t="str">
        <f>'2. Calculations'!B5</f>
        <v>Manual AI</v>
      </c>
      <c r="C6" s="23">
        <f>'2. Calculations'!U5</f>
        <v>-2116.1070508467537</v>
      </c>
      <c r="D6" s="23">
        <f>'2. Calculations'!Z5</f>
        <v>7</v>
      </c>
      <c r="E6" s="23">
        <f>'2. Calculations'!AA5</f>
        <v>-4215.254728693707</v>
      </c>
      <c r="F6" s="23">
        <f t="shared" ref="F6:F17" si="0">E6-D6</f>
        <v>-4222.254728693707</v>
      </c>
      <c r="G6" s="24" t="str">
        <f>'2. Calculations'!W5</f>
        <v/>
      </c>
      <c r="H6" s="2" t="str">
        <f>'2. Calculations'!AB5</f>
        <v>Do not automate</v>
      </c>
      <c r="I6" s="2" t="str">
        <f t="shared" ref="I6:I17" si="1">IF(C6&lt;=0,"Not viable today. Revisit if token/tool costs fall or setup is reduced.",IF(D6&lt;E6,"Token price is below break-even. Check controls and human review.","Token price is above break-even. Agent/tool is too expensive at current assumptions."))</f>
        <v>Not viable today. Revisit if token/tool costs fall or setup is reduced.</v>
      </c>
    </row>
    <row r="7" spans="1:26" ht="27.6">
      <c r="A7" s="2" t="str">
        <f>'2. Calculations'!A6</f>
        <v>Monthly Variance Analysis</v>
      </c>
      <c r="B7" s="2" t="str">
        <f>'2. Calculations'!B6</f>
        <v>Custom GPT</v>
      </c>
      <c r="C7" s="23">
        <f>'2. Calculations'!U6</f>
        <v>2934.784077071673</v>
      </c>
      <c r="D7" s="23">
        <f>'2. Calculations'!Z6</f>
        <v>6.9999999999999991</v>
      </c>
      <c r="E7" s="23">
        <f>'2. Calculations'!AA6</f>
        <v>2349.3022842161936</v>
      </c>
      <c r="F7" s="23">
        <f t="shared" si="0"/>
        <v>2342.3022842161936</v>
      </c>
      <c r="G7" s="24">
        <f>'2. Calculations'!W6</f>
        <v>5.3955101647557564</v>
      </c>
      <c r="H7" s="2" t="str">
        <f>'2. Calculations'!AB6</f>
        <v>Use Custom GPT / prompt workflow</v>
      </c>
      <c r="I7" s="2" t="str">
        <f t="shared" si="1"/>
        <v>Token price is below break-even. Check controls and human review.</v>
      </c>
    </row>
    <row r="8" spans="1:26" ht="27.6">
      <c r="A8" s="2" t="str">
        <f>'2. Calculations'!A7</f>
        <v>Monthly Variance Analysis</v>
      </c>
      <c r="B8" s="2" t="str">
        <f>'2. Calculations'!B7</f>
        <v>AI Agent</v>
      </c>
      <c r="C8" s="23">
        <f>'2. Calculations'!U7</f>
        <v>-32460.726417097289</v>
      </c>
      <c r="D8" s="23">
        <f>'2. Calculations'!Z7</f>
        <v>7.0000000000000009</v>
      </c>
      <c r="E8" s="23">
        <f>'2. Calculations'!AA7</f>
        <v>-4310.9118484444843</v>
      </c>
      <c r="F8" s="23">
        <f t="shared" si="0"/>
        <v>-4317.9118484444843</v>
      </c>
      <c r="G8" s="24" t="str">
        <f>'2. Calculations'!W7</f>
        <v/>
      </c>
      <c r="H8" s="2" t="str">
        <f>'2. Calculations'!AB7</f>
        <v>Do not automate</v>
      </c>
      <c r="I8" s="2" t="str">
        <f t="shared" si="1"/>
        <v>Not viable today. Revisit if token/tool costs fall or setup is reduced.</v>
      </c>
    </row>
    <row r="9" spans="1:26" ht="27.6">
      <c r="A9" s="2" t="str">
        <f>'2. Calculations'!A8</f>
        <v>Board Deck Commentary</v>
      </c>
      <c r="B9" s="2" t="str">
        <f>'2. Calculations'!B8</f>
        <v>Manual AI</v>
      </c>
      <c r="C9" s="23">
        <f>'2. Calculations'!U8</f>
        <v>-3236.229074461839</v>
      </c>
      <c r="D9" s="23">
        <f>'2. Calculations'!Z8</f>
        <v>7.8</v>
      </c>
      <c r="E9" s="23">
        <f>'2. Calculations'!AA8</f>
        <v>-5669.551921969176</v>
      </c>
      <c r="F9" s="23">
        <f t="shared" si="0"/>
        <v>-5677.3519219691761</v>
      </c>
      <c r="G9" s="24" t="str">
        <f>'2. Calculations'!W8</f>
        <v/>
      </c>
      <c r="H9" s="2" t="str">
        <f>'2. Calculations'!AB8</f>
        <v>Do not automate</v>
      </c>
      <c r="I9" s="2" t="str">
        <f t="shared" si="1"/>
        <v>Not viable today. Revisit if token/tool costs fall or setup is reduced.</v>
      </c>
    </row>
    <row r="10" spans="1:26" ht="27.6">
      <c r="A10" s="2" t="str">
        <f>'2. Calculations'!A9</f>
        <v>Board Deck Commentary</v>
      </c>
      <c r="B10" s="2" t="str">
        <f>'2. Calculations'!B9</f>
        <v>Custom GPT</v>
      </c>
      <c r="C10" s="23">
        <f>'2. Calculations'!U9</f>
        <v>-1715.2077762000413</v>
      </c>
      <c r="D10" s="23">
        <f>'2. Calculations'!Z9</f>
        <v>7.8</v>
      </c>
      <c r="E10" s="23">
        <f>'2. Calculations'!AA9</f>
        <v>-1496.7038439383518</v>
      </c>
      <c r="F10" s="23">
        <f t="shared" si="0"/>
        <v>-1504.5038439383518</v>
      </c>
      <c r="G10" s="24" t="str">
        <f>'2. Calculations'!W9</f>
        <v/>
      </c>
      <c r="H10" s="2" t="str">
        <f>'2. Calculations'!AB9</f>
        <v>Do not automate</v>
      </c>
      <c r="I10" s="2" t="str">
        <f t="shared" si="1"/>
        <v>Not viable today. Revisit if token/tool costs fall or setup is reduced.</v>
      </c>
    </row>
    <row r="11" spans="1:26" ht="27.6">
      <c r="A11" s="2" t="str">
        <f>'2. Calculations'!A10</f>
        <v>Board Deck Commentary</v>
      </c>
      <c r="B11" s="2" t="str">
        <f>'2. Calculations'!B10</f>
        <v>AI Agent</v>
      </c>
      <c r="C11" s="23">
        <f>'2. Calculations'!U10</f>
        <v>-29126.316700307791</v>
      </c>
      <c r="D11" s="23">
        <f>'2. Calculations'!Z10</f>
        <v>8.3333333333333339</v>
      </c>
      <c r="E11" s="23">
        <f>'2. Calculations'!AA10</f>
        <v>-5669.0682999883647</v>
      </c>
      <c r="F11" s="23">
        <f t="shared" si="0"/>
        <v>-5677.4016333216978</v>
      </c>
      <c r="G11" s="24" t="str">
        <f>'2. Calculations'!W10</f>
        <v/>
      </c>
      <c r="H11" s="2" t="str">
        <f>'2. Calculations'!AB10</f>
        <v>Do not automate</v>
      </c>
      <c r="I11" s="2" t="str">
        <f t="shared" si="1"/>
        <v>Not viable today. Revisit if token/tool costs fall or setup is reduced.</v>
      </c>
    </row>
    <row r="12" spans="1:26" ht="41.4">
      <c r="A12" s="2" t="str">
        <f>'2. Calculations'!A11</f>
        <v>Forecast Model Refresh</v>
      </c>
      <c r="B12" s="2" t="str">
        <f>'2. Calculations'!B11</f>
        <v>Coding Copilot</v>
      </c>
      <c r="C12" s="23">
        <f>'2. Calculations'!U11</f>
        <v>22152.861519023496</v>
      </c>
      <c r="D12" s="23">
        <f>'2. Calculations'!Z11</f>
        <v>6.2727272727272725</v>
      </c>
      <c r="E12" s="23">
        <f>'2. Calculations'!AA11</f>
        <v>4632.8210968019248</v>
      </c>
      <c r="F12" s="23">
        <f t="shared" si="0"/>
        <v>4626.5483695291978</v>
      </c>
      <c r="G12" s="24">
        <f>'2. Calculations'!W11</f>
        <v>2.866356144750986</v>
      </c>
      <c r="H12" s="2" t="str">
        <f>'2. Calculations'!AB11</f>
        <v>Use coding copilot / structured automation</v>
      </c>
      <c r="I12" s="2" t="str">
        <f t="shared" si="1"/>
        <v>Token price is below break-even. Check controls and human review.</v>
      </c>
    </row>
    <row r="13" spans="1:26" ht="27.6">
      <c r="A13" s="2" t="str">
        <f>'2. Calculations'!A12</f>
        <v>Forecast Model Refresh</v>
      </c>
      <c r="B13" s="2" t="str">
        <f>'2. Calculations'!B12</f>
        <v>AI Agent</v>
      </c>
      <c r="C13" s="23">
        <f>'2. Calculations'!U12</f>
        <v>-26753.12971025439</v>
      </c>
      <c r="D13" s="23">
        <f>'2. Calculations'!Z12</f>
        <v>6.5294117647058822</v>
      </c>
      <c r="E13" s="23">
        <f>'2. Calculations'!AA12</f>
        <v>-716.53273949276434</v>
      </c>
      <c r="F13" s="23">
        <f t="shared" si="0"/>
        <v>-723.06215125747019</v>
      </c>
      <c r="G13" s="24" t="str">
        <f>'2. Calculations'!W12</f>
        <v/>
      </c>
      <c r="H13" s="2" t="str">
        <f>'2. Calculations'!AB12</f>
        <v>Do not automate</v>
      </c>
      <c r="I13" s="2" t="str">
        <f t="shared" si="1"/>
        <v>Not viable today. Revisit if token/tool costs fall or setup is reduced.</v>
      </c>
    </row>
    <row r="14" spans="1:26" ht="27.6">
      <c r="A14" s="2" t="str">
        <f>'2. Calculations'!A13</f>
        <v>Ad Hoc Business Case</v>
      </c>
      <c r="B14" s="2" t="str">
        <f>'2. Calculations'!B13</f>
        <v>Manual AI</v>
      </c>
      <c r="C14" s="23">
        <f>'2. Calculations'!U13</f>
        <v>-518.85650708235596</v>
      </c>
      <c r="D14" s="23">
        <f>'2. Calculations'!Z13</f>
        <v>8.1428571428571406</v>
      </c>
      <c r="E14" s="23">
        <f>'2. Calculations'!AA13</f>
        <v>-5072.1749625628827</v>
      </c>
      <c r="F14" s="23">
        <f t="shared" si="0"/>
        <v>-5080.3178197057396</v>
      </c>
      <c r="G14" s="24" t="str">
        <f>'2. Calculations'!W13</f>
        <v/>
      </c>
      <c r="H14" s="2" t="str">
        <f>'2. Calculations'!AB13</f>
        <v>Do not automate</v>
      </c>
      <c r="I14" s="2" t="str">
        <f t="shared" si="1"/>
        <v>Not viable today. Revisit if token/tool costs fall or setup is reduced.</v>
      </c>
    </row>
    <row r="15" spans="1:26" ht="27.6">
      <c r="A15" s="2" t="str">
        <f>'2. Calculations'!A14</f>
        <v>Ad Hoc Business Case</v>
      </c>
      <c r="B15" s="2" t="str">
        <f>'2. Calculations'!B14</f>
        <v>Custom GPT</v>
      </c>
      <c r="C15" s="23">
        <f>'2. Calculations'!U14</f>
        <v>-1897.7608748459947</v>
      </c>
      <c r="D15" s="23">
        <f>'2. Calculations'!Z14</f>
        <v>7.5</v>
      </c>
      <c r="E15" s="23">
        <f>'2. Calculations'!AA14</f>
        <v>-8121.9873689700862</v>
      </c>
      <c r="F15" s="23">
        <f t="shared" si="0"/>
        <v>-8129.4873689700862</v>
      </c>
      <c r="G15" s="24" t="str">
        <f>'2. Calculations'!W14</f>
        <v/>
      </c>
      <c r="H15" s="2" t="str">
        <f>'2. Calculations'!AB14</f>
        <v>Do not automate</v>
      </c>
      <c r="I15" s="2" t="str">
        <f t="shared" si="1"/>
        <v>Not viable today. Revisit if token/tool costs fall or setup is reduced.</v>
      </c>
    </row>
    <row r="16" spans="1:26" ht="27.6">
      <c r="A16" s="2" t="str">
        <f>'2. Calculations'!A15</f>
        <v>ERP Forecast Upload</v>
      </c>
      <c r="B16" s="2" t="str">
        <f>'2. Calculations'!B15</f>
        <v>Coding Copilot</v>
      </c>
      <c r="C16" s="23">
        <f>'2. Calculations'!U15</f>
        <v>-4628.6263177882374</v>
      </c>
      <c r="D16" s="23">
        <f>'2. Calculations'!Z15</f>
        <v>5.7692307692307692</v>
      </c>
      <c r="E16" s="23">
        <f>'2. Calculations'!AA15</f>
        <v>-2125.4926595478541</v>
      </c>
      <c r="F16" s="23">
        <f t="shared" si="0"/>
        <v>-2131.2618903170851</v>
      </c>
      <c r="G16" s="24" t="str">
        <f>'2. Calculations'!W15</f>
        <v/>
      </c>
      <c r="H16" s="2" t="str">
        <f>'2. Calculations'!AB15</f>
        <v>Do not automate</v>
      </c>
      <c r="I16" s="2" t="str">
        <f t="shared" si="1"/>
        <v>Not viable today. Revisit if token/tool costs fall or setup is reduced.</v>
      </c>
    </row>
    <row r="17" spans="1:9" ht="27.6">
      <c r="A17" s="2" t="str">
        <f>'2. Calculations'!A16</f>
        <v>ERP Forecast Upload</v>
      </c>
      <c r="B17" s="2" t="str">
        <f>'2. Calculations'!B16</f>
        <v>AI Agent</v>
      </c>
      <c r="C17" s="23">
        <f>'2. Calculations'!U16</f>
        <v>-64861.363947921025</v>
      </c>
      <c r="D17" s="23">
        <f>'2. Calculations'!Z16</f>
        <v>6.2727272727272725</v>
      </c>
      <c r="E17" s="23">
        <f>'2. Calculations'!AA16</f>
        <v>-3523.2943769105914</v>
      </c>
      <c r="F17" s="23">
        <f t="shared" si="0"/>
        <v>-3529.5671041833189</v>
      </c>
      <c r="G17" s="24" t="str">
        <f>'2. Calculations'!W16</f>
        <v/>
      </c>
      <c r="H17" s="2" t="str">
        <f>'2. Calculations'!AB16</f>
        <v>Do not automate</v>
      </c>
      <c r="I17" s="2" t="str">
        <f t="shared" si="1"/>
        <v>Not viable today. Revisit if token/tool costs fall or setup is reduced.</v>
      </c>
    </row>
    <row r="20" spans="1:9" ht="15.6">
      <c r="A20" s="31" t="s">
        <v>105</v>
      </c>
      <c r="B20" s="30"/>
      <c r="C20" s="30"/>
      <c r="D20" s="30"/>
      <c r="E20" s="30"/>
      <c r="F20" s="30"/>
      <c r="G20" s="30"/>
      <c r="H20" s="30"/>
      <c r="I20" s="30"/>
    </row>
    <row r="21" spans="1:9" ht="41.4">
      <c r="A21" s="1" t="s">
        <v>94</v>
      </c>
      <c r="B21" s="1" t="s">
        <v>106</v>
      </c>
      <c r="C21" s="1" t="s">
        <v>107</v>
      </c>
      <c r="D21" s="1" t="s">
        <v>108</v>
      </c>
      <c r="E21" s="1" t="s">
        <v>109</v>
      </c>
      <c r="F21" s="1" t="s">
        <v>110</v>
      </c>
      <c r="G21" s="1" t="s">
        <v>111</v>
      </c>
      <c r="H21" s="1" t="s">
        <v>112</v>
      </c>
      <c r="I21" s="1" t="s">
        <v>113</v>
      </c>
    </row>
    <row r="22" spans="1:9" ht="27.6">
      <c r="A22" s="3" t="s">
        <v>39</v>
      </c>
      <c r="B22" s="3">
        <v>6</v>
      </c>
      <c r="C22" s="3">
        <v>7</v>
      </c>
      <c r="D22" s="22">
        <f>('2. Calculations'!G7-'2. Calculations'!I7-'2. Calculations'!J7-'2. Calculations'!K7-'2. Calculations'!L7)-('2. Calculations'!G6-'2. Calculations'!I6-'2. Calculations'!J6-'2. Calculations'!K6-'2. Calculations'!L6)</f>
        <v>-1314</v>
      </c>
      <c r="E22" s="22">
        <f>'2. Calculations'!Q7-'2. Calculations'!Q6</f>
        <v>13400</v>
      </c>
      <c r="F22" s="25">
        <f>'2. Calculations'!Y7-'2. Calculations'!Y6</f>
        <v>6.2647423794272168</v>
      </c>
      <c r="G22" s="22">
        <f>IF(F22&gt;0,(D22*'2. Calculations'!S7-E22)/F22,"")</f>
        <v>-5642.9546749766205</v>
      </c>
      <c r="H22" s="22">
        <f>'2. Calculations'!Z7</f>
        <v>7.0000000000000009</v>
      </c>
      <c r="I22" s="3" t="str">
        <f>IF(G22&lt;=0,"Agent not justified at any positive token price under these assumptions",IF(H22&lt;G22,"Agent could beat Custom GPT if controls are acceptable","Custom GPT still better until tokens/tooling get cheaper or setup falls"))</f>
        <v>Agent not justified at any positive token price under these assumptions</v>
      </c>
    </row>
    <row r="23" spans="1:9" ht="27.6">
      <c r="A23" s="3" t="s">
        <v>46</v>
      </c>
      <c r="B23" s="3">
        <v>9</v>
      </c>
      <c r="C23" s="3">
        <v>10</v>
      </c>
      <c r="D23" s="22">
        <f>('2. Calculations'!G10-'2. Calculations'!I10-'2. Calculations'!J10-'2. Calculations'!K10-'2. Calculations'!L10)-('2. Calculations'!G9-'2. Calculations'!I9-'2. Calculations'!J9-'2. Calculations'!K9-'2. Calculations'!L9)</f>
        <v>-1282.1600000000001</v>
      </c>
      <c r="E23" s="22">
        <f>'2. Calculations'!Q10-'2. Calculations'!Q9</f>
        <v>12760</v>
      </c>
      <c r="F23" s="25">
        <f>'2. Calculations'!Y10-'2. Calculations'!Y9</f>
        <v>3.9901707402657411</v>
      </c>
      <c r="G23" s="22">
        <f>IF(F23&gt;0,(D23*'2. Calculations'!S10-E23)/F23,"")</f>
        <v>-6861.1724302883686</v>
      </c>
      <c r="H23" s="22">
        <f>'2. Calculations'!Z10</f>
        <v>8.3333333333333339</v>
      </c>
      <c r="I23" s="3" t="str">
        <f>IF(G23&lt;=0,"Agent not justified at any positive token price under these assumptions",IF(H23&lt;G23,"Agent could beat Custom GPT if controls are acceptable","Custom GPT still better until tokens/tooling get cheaper or setup falls"))</f>
        <v>Agent not justified at any positive token price under these assumptions</v>
      </c>
    </row>
    <row r="26" spans="1:9">
      <c r="A26" s="33" t="s">
        <v>114</v>
      </c>
      <c r="B26" s="30"/>
      <c r="C26" s="30"/>
      <c r="D26" s="30"/>
      <c r="E26" s="30"/>
      <c r="F26" s="30"/>
      <c r="G26" s="30"/>
      <c r="H26" s="30"/>
      <c r="I26" s="30"/>
    </row>
    <row r="27" spans="1:9">
      <c r="A27" s="30"/>
      <c r="B27" s="30"/>
      <c r="C27" s="30"/>
      <c r="D27" s="30"/>
      <c r="E27" s="30"/>
      <c r="F27" s="30"/>
      <c r="G27" s="30"/>
      <c r="H27" s="30"/>
      <c r="I27" s="30"/>
    </row>
  </sheetData>
  <mergeCells count="5">
    <mergeCell ref="A1:I1"/>
    <mergeCell ref="A2:I2"/>
    <mergeCell ref="A4:I4"/>
    <mergeCell ref="A20:I20"/>
    <mergeCell ref="A26:I27"/>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AD51D-C42D-45D9-A23E-AF926A00ED08}">
  <dimension ref="B2:B6"/>
  <sheetViews>
    <sheetView showGridLines="0" workbookViewId="0">
      <selection activeCell="P18" sqref="P18"/>
    </sheetView>
  </sheetViews>
  <sheetFormatPr defaultRowHeight="13.8"/>
  <cols>
    <col min="1" max="1" width="2.296875" customWidth="1"/>
  </cols>
  <sheetData>
    <row r="2" spans="2:2">
      <c r="B2" t="s">
        <v>127</v>
      </c>
    </row>
    <row r="4" spans="2:2">
      <c r="B4" t="s">
        <v>128</v>
      </c>
    </row>
    <row r="6" spans="2:2">
      <c r="B6" s="46" t="s">
        <v>129</v>
      </c>
    </row>
  </sheetData>
  <hyperlinks>
    <hyperlink ref="B6" r:id="rId1" xr:uid="{29DE1EB1-B7FF-4086-9249-B5F1AC984D4E}"/>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CFO Guide</vt:lpstr>
      <vt:lpstr>Reasoning</vt:lpstr>
      <vt:lpstr>1. Assumptions</vt:lpstr>
      <vt:lpstr>2. Calculations</vt:lpstr>
      <vt:lpstr>3. Dashboard</vt:lpstr>
      <vt:lpstr>Bonus Token Breakeven</vt:lpstr>
      <vt:lpstr>Bonus 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M</cp:lastModifiedBy>
  <dcterms:created xsi:type="dcterms:W3CDTF">2026-06-04T05:21:21Z</dcterms:created>
  <dcterms:modified xsi:type="dcterms:W3CDTF">2026-06-04T05:35:26Z</dcterms:modified>
</cp:coreProperties>
</file>