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TRUENAS\3d-printer\Resonance Testing\"/>
    </mc:Choice>
  </mc:AlternateContent>
  <xr:revisionPtr revIDLastSave="0" documentId="13_ncr:1_{8B779A27-BFA2-4656-99F1-9DFB18D945D7}" xr6:coauthVersionLast="47" xr6:coauthVersionMax="47" xr10:uidLastSave="{00000000-0000-0000-0000-000000000000}"/>
  <bookViews>
    <workbookView xWindow="25490" yWindow="-110" windowWidth="38620" windowHeight="21220" xr2:uid="{C61A08D7-F5D4-4911-9508-2238BAA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3" i="1" l="1"/>
  <c r="S23" i="1"/>
  <c r="U23" i="1"/>
  <c r="S24" i="1"/>
  <c r="U24" i="1"/>
  <c r="S25" i="1"/>
  <c r="U25" i="1"/>
  <c r="S26" i="1"/>
  <c r="U26" i="1"/>
  <c r="S27" i="1"/>
  <c r="U27" i="1"/>
  <c r="S22" i="1"/>
  <c r="U22" i="1"/>
  <c r="N22" i="1"/>
  <c r="B14" i="1"/>
  <c r="E18" i="1"/>
  <c r="N18" i="1" s="1"/>
  <c r="E17" i="1"/>
  <c r="I17" i="1" s="1"/>
  <c r="J17" i="1" s="1"/>
  <c r="N17" i="1" s="1"/>
  <c r="N26" i="1" s="1"/>
  <c r="E16" i="1"/>
  <c r="N16" i="1" s="1"/>
  <c r="N15" i="1"/>
  <c r="C14" i="1"/>
  <c r="C15" i="1" s="1"/>
  <c r="C16" i="1" s="1"/>
  <c r="F13" i="1"/>
  <c r="G13" i="1" s="1"/>
  <c r="F8" i="1"/>
  <c r="H8" i="1" s="1"/>
  <c r="E8" i="1"/>
  <c r="N8" i="1" s="1"/>
  <c r="F7" i="1"/>
  <c r="G7" i="1" s="1"/>
  <c r="E7" i="1"/>
  <c r="I7" i="1" s="1"/>
  <c r="J7" i="1" s="1"/>
  <c r="N7" i="1" s="1"/>
  <c r="F6" i="1"/>
  <c r="G6" i="1" s="1"/>
  <c r="E6" i="1"/>
  <c r="N6" i="1" s="1"/>
  <c r="N5" i="1"/>
  <c r="N24" i="1" s="1"/>
  <c r="F5" i="1"/>
  <c r="H5" i="1" s="1"/>
  <c r="F4" i="1"/>
  <c r="B4" i="1"/>
  <c r="F3" i="1"/>
  <c r="G3" i="1" s="1"/>
  <c r="O6" i="1" l="1"/>
  <c r="P6" i="1"/>
  <c r="N25" i="1"/>
  <c r="H4" i="1"/>
  <c r="W4" i="1" s="1"/>
  <c r="H6" i="1"/>
  <c r="V6" i="1" s="1"/>
  <c r="G8" i="1"/>
  <c r="K8" i="1" s="1"/>
  <c r="P8" i="1" s="1"/>
  <c r="H7" i="1"/>
  <c r="W7" i="1" s="1"/>
  <c r="N27" i="1"/>
  <c r="H13" i="1"/>
  <c r="V13" i="1" s="1"/>
  <c r="F15" i="1"/>
  <c r="H15" i="1" s="1"/>
  <c r="W15" i="1" s="1"/>
  <c r="W5" i="1"/>
  <c r="V5" i="1"/>
  <c r="F16" i="1"/>
  <c r="H16" i="1" s="1"/>
  <c r="C17" i="1"/>
  <c r="P14" i="1"/>
  <c r="O13" i="1"/>
  <c r="P4" i="1"/>
  <c r="O3" i="1"/>
  <c r="Y8" i="1"/>
  <c r="X8" i="1"/>
  <c r="W8" i="1"/>
  <c r="V8" i="1"/>
  <c r="Q7" i="1"/>
  <c r="O7" i="1"/>
  <c r="P7" i="1" s="1"/>
  <c r="G5" i="1"/>
  <c r="O5" i="1" s="1"/>
  <c r="F14" i="1"/>
  <c r="G14" i="1" s="1"/>
  <c r="O14" i="1" s="1"/>
  <c r="H3" i="1"/>
  <c r="V3" i="1" s="1"/>
  <c r="G4" i="1"/>
  <c r="O4" i="1" s="1"/>
  <c r="O22" i="1" l="1"/>
  <c r="W6" i="1"/>
  <c r="P23" i="1"/>
  <c r="V22" i="1"/>
  <c r="X7" i="1"/>
  <c r="V7" i="1"/>
  <c r="P5" i="1"/>
  <c r="W24" i="1"/>
  <c r="O23" i="1"/>
  <c r="R8" i="1"/>
  <c r="V4" i="1"/>
  <c r="O8" i="1"/>
  <c r="Q8" i="1" s="1"/>
  <c r="G15" i="1"/>
  <c r="O15" i="1" s="1"/>
  <c r="O24" i="1" s="1"/>
  <c r="G16" i="1"/>
  <c r="O16" i="1" s="1"/>
  <c r="O25" i="1" s="1"/>
  <c r="V15" i="1"/>
  <c r="V24" i="1" s="1"/>
  <c r="C18" i="1"/>
  <c r="F17" i="1"/>
  <c r="H17" i="1" s="1"/>
  <c r="H14" i="1"/>
  <c r="W16" i="1"/>
  <c r="W25" i="1" s="1"/>
  <c r="V16" i="1"/>
  <c r="V25" i="1" s="1"/>
  <c r="P15" i="1" l="1"/>
  <c r="P24" i="1" s="1"/>
  <c r="P16" i="1"/>
  <c r="P25" i="1" s="1"/>
  <c r="W14" i="1"/>
  <c r="W23" i="1" s="1"/>
  <c r="V14" i="1"/>
  <c r="V23" i="1" s="1"/>
  <c r="X17" i="1"/>
  <c r="X26" i="1" s="1"/>
  <c r="W17" i="1"/>
  <c r="W26" i="1" s="1"/>
  <c r="V17" i="1"/>
  <c r="V26" i="1" s="1"/>
  <c r="F18" i="1"/>
  <c r="H18" i="1" s="1"/>
  <c r="G18" i="1"/>
  <c r="G17" i="1"/>
  <c r="K18" i="1" l="1"/>
  <c r="O18" i="1"/>
  <c r="Q17" i="1"/>
  <c r="Q26" i="1" s="1"/>
  <c r="O17" i="1"/>
  <c r="Y18" i="1"/>
  <c r="Y27" i="1" s="1"/>
  <c r="X18" i="1"/>
  <c r="X27" i="1" s="1"/>
  <c r="W18" i="1"/>
  <c r="W27" i="1" s="1"/>
  <c r="V18" i="1"/>
  <c r="V27" i="1" s="1"/>
  <c r="P17" i="1" l="1"/>
  <c r="P26" i="1" s="1"/>
  <c r="O26" i="1"/>
  <c r="Q18" i="1"/>
  <c r="Q27" i="1" s="1"/>
  <c r="O27" i="1"/>
  <c r="R18" i="1"/>
  <c r="R27" i="1" s="1"/>
  <c r="P18" i="1"/>
  <c r="P27" i="1" s="1"/>
</calcChain>
</file>

<file path=xl/sharedStrings.xml><?xml version="1.0" encoding="utf-8"?>
<sst xmlns="http://schemas.openxmlformats.org/spreadsheetml/2006/main" count="96" uniqueCount="38">
  <si>
    <t>ZV</t>
  </si>
  <si>
    <t>Freq</t>
  </si>
  <si>
    <t>Damping Ratio</t>
  </si>
  <si>
    <t>DF</t>
  </si>
  <si>
    <t>k</t>
  </si>
  <si>
    <t>t_d</t>
  </si>
  <si>
    <t>MZV</t>
  </si>
  <si>
    <t>EI</t>
  </si>
  <si>
    <t>2Hump_EI</t>
  </si>
  <si>
    <t>3Hump_EI</t>
  </si>
  <si>
    <t>A1</t>
  </si>
  <si>
    <t>A2</t>
  </si>
  <si>
    <t>A=[A1, A2, A3]</t>
  </si>
  <si>
    <t>A3</t>
  </si>
  <si>
    <t>A=[A1, A2]</t>
  </si>
  <si>
    <t>T1</t>
  </si>
  <si>
    <t>T2</t>
  </si>
  <si>
    <t>T3</t>
  </si>
  <si>
    <t>ZVD</t>
  </si>
  <si>
    <t>v_tol</t>
  </si>
  <si>
    <t>T=[T1, T2, T3]</t>
  </si>
  <si>
    <t>T=[T1, T2]</t>
  </si>
  <si>
    <t>A4</t>
  </si>
  <si>
    <t>A5</t>
  </si>
  <si>
    <t>A=[A1, A2, A3, A4, A5]</t>
  </si>
  <si>
    <t>A=[A1, A2, A3, A4]</t>
  </si>
  <si>
    <t>V2</t>
  </si>
  <si>
    <t>X</t>
  </si>
  <si>
    <t>k2</t>
  </si>
  <si>
    <t>T=[T1, T2, T3, T4]</t>
  </si>
  <si>
    <t>T4</t>
  </si>
  <si>
    <t>T=[T1, T2, T3, T4, T5]</t>
  </si>
  <si>
    <t>Deltas</t>
  </si>
  <si>
    <t>Input Klipper Freq</t>
  </si>
  <si>
    <t>Input Shaketune Freq and Damping ratio</t>
  </si>
  <si>
    <t xml:space="preserve">Note: only mess with Freq and Damping Ratio. </t>
  </si>
  <si>
    <t xml:space="preserve">Leave all the other columns alone </t>
  </si>
  <si>
    <t>All the other columns are for the shaper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</si>
</sst>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18DD-1CE6-4D3B-849E-0C82AA44AE00}">
  <dimension ref="A1:Y28"/>
  <sheetViews>
    <sheetView tabSelected="1" workbookViewId="0">
      <selection activeCell="E25" sqref="E25"/>
    </sheetView>
  </sheetViews>
  <sheetFormatPr defaultRowHeight="15" x14ac:dyDescent="0.25"/>
  <cols>
    <col min="1" max="1" width="10" bestFit="1" customWidth="1"/>
    <col min="3" max="3" width="14" bestFit="1" customWidth="1"/>
    <col min="4" max="4" width="1.42578125" customWidth="1"/>
    <col min="5" max="5" width="9.42578125" style="1" customWidth="1"/>
    <col min="6" max="7" width="12" bestFit="1" customWidth="1"/>
    <col min="8" max="8" width="11" bestFit="1" customWidth="1"/>
    <col min="9" max="9" width="13.42578125" customWidth="1"/>
    <col min="10" max="11" width="11" customWidth="1"/>
    <col min="12" max="12" width="1.5703125" customWidth="1"/>
    <col min="13" max="13" width="20.42578125" bestFit="1" customWidth="1"/>
    <col min="14" max="14" width="13.7109375" bestFit="1" customWidth="1"/>
    <col min="15" max="15" width="12" bestFit="1" customWidth="1"/>
    <col min="16" max="18" width="12" customWidth="1"/>
    <col min="19" max="19" width="1.42578125" customWidth="1"/>
    <col min="20" max="20" width="18.85546875" bestFit="1" customWidth="1"/>
    <col min="21" max="21" width="14" bestFit="1" customWidth="1"/>
    <col min="22" max="25" width="12" bestFit="1" customWidth="1"/>
  </cols>
  <sheetData>
    <row r="1" spans="1:25" x14ac:dyDescent="0.25">
      <c r="A1" s="9" t="s">
        <v>33</v>
      </c>
    </row>
    <row r="2" spans="1:25" x14ac:dyDescent="0.25">
      <c r="B2" t="s">
        <v>1</v>
      </c>
      <c r="C2" t="s">
        <v>2</v>
      </c>
      <c r="E2" s="1" t="s">
        <v>19</v>
      </c>
      <c r="F2" t="s">
        <v>3</v>
      </c>
      <c r="G2" t="s">
        <v>4</v>
      </c>
      <c r="H2" t="s">
        <v>5</v>
      </c>
      <c r="I2" t="s">
        <v>26</v>
      </c>
      <c r="J2" t="s">
        <v>27</v>
      </c>
      <c r="K2" t="s">
        <v>28</v>
      </c>
      <c r="N2" t="s">
        <v>10</v>
      </c>
      <c r="O2" t="s">
        <v>11</v>
      </c>
      <c r="P2" t="s">
        <v>13</v>
      </c>
      <c r="Q2" t="s">
        <v>22</v>
      </c>
      <c r="R2" t="s">
        <v>23</v>
      </c>
      <c r="U2" t="s">
        <v>15</v>
      </c>
      <c r="V2" t="s">
        <v>16</v>
      </c>
      <c r="W2" t="s">
        <v>17</v>
      </c>
      <c r="X2" t="s">
        <v>17</v>
      </c>
      <c r="Y2" t="s">
        <v>30</v>
      </c>
    </row>
    <row r="3" spans="1:25" x14ac:dyDescent="0.25">
      <c r="A3" t="s">
        <v>0</v>
      </c>
      <c r="B3">
        <v>46.8</v>
      </c>
      <c r="C3" s="2">
        <v>0.1</v>
      </c>
      <c r="F3">
        <f>SQRT(1-(C3^2))</f>
        <v>0.99498743710661997</v>
      </c>
      <c r="G3">
        <f>EXP((-C3*PI())/F3)</f>
        <v>0.72924761428767093</v>
      </c>
      <c r="H3">
        <f>1/(B3/F3)</f>
        <v>2.1260415322791024E-2</v>
      </c>
      <c r="M3" t="s">
        <v>14</v>
      </c>
      <c r="N3">
        <v>1</v>
      </c>
      <c r="O3">
        <f>G3</f>
        <v>0.72924761428767093</v>
      </c>
      <c r="T3" t="s">
        <v>21</v>
      </c>
      <c r="U3">
        <v>0</v>
      </c>
      <c r="V3">
        <f>0.5*H3</f>
        <v>1.0630207661395512E-2</v>
      </c>
    </row>
    <row r="4" spans="1:25" x14ac:dyDescent="0.25">
      <c r="A4" s="5" t="s">
        <v>18</v>
      </c>
      <c r="B4" s="5">
        <f>B3</f>
        <v>46.8</v>
      </c>
      <c r="C4" s="7">
        <v>0.1</v>
      </c>
      <c r="D4" s="5"/>
      <c r="E4" s="6"/>
      <c r="F4" s="5">
        <f>SQRT(1-(C4^2))</f>
        <v>0.99498743710661997</v>
      </c>
      <c r="G4" s="5">
        <f>EXP((-C4*PI())/F4)</f>
        <v>0.72924761428767093</v>
      </c>
      <c r="H4" s="5">
        <f>1/(B4/F4)</f>
        <v>2.1260415322791024E-2</v>
      </c>
      <c r="I4" s="5"/>
      <c r="J4" s="5"/>
      <c r="K4" s="5"/>
      <c r="L4" s="5"/>
      <c r="M4" s="5" t="s">
        <v>12</v>
      </c>
      <c r="N4" s="5">
        <v>1</v>
      </c>
      <c r="O4" s="5">
        <f>2*G4</f>
        <v>1.4584952285753419</v>
      </c>
      <c r="P4" s="5">
        <f>G3^2</f>
        <v>0.53180208294425968</v>
      </c>
      <c r="Q4" s="5"/>
      <c r="R4" s="5"/>
      <c r="S4" s="5"/>
      <c r="T4" s="5" t="s">
        <v>20</v>
      </c>
      <c r="U4" s="5">
        <v>0</v>
      </c>
      <c r="V4" s="5">
        <f>0.5*H4</f>
        <v>1.0630207661395512E-2</v>
      </c>
      <c r="W4" s="5">
        <f>H4</f>
        <v>2.1260415322791024E-2</v>
      </c>
      <c r="X4" s="8"/>
      <c r="Y4" s="8"/>
    </row>
    <row r="5" spans="1:25" x14ac:dyDescent="0.25">
      <c r="A5" t="s">
        <v>6</v>
      </c>
      <c r="B5">
        <v>35.200000000000003</v>
      </c>
      <c r="C5" s="2">
        <v>0.1</v>
      </c>
      <c r="F5">
        <f t="shared" ref="F5:F8" si="0">SQRT(1-(C5^2))</f>
        <v>0.99498743710661997</v>
      </c>
      <c r="G5">
        <f t="shared" ref="G5:G8" si="1">EXP((-C5*PI())/F5)</f>
        <v>0.72924761428767093</v>
      </c>
      <c r="H5">
        <f t="shared" ref="H5:H8" si="2">1/(B5/F5)</f>
        <v>2.8266688554165337E-2</v>
      </c>
      <c r="M5" t="s">
        <v>12</v>
      </c>
      <c r="N5" s="3">
        <f>1-(1/SQRT(2))</f>
        <v>0.29289321881345254</v>
      </c>
      <c r="O5" s="3">
        <f>(SQRT(2)-1)*G5</f>
        <v>0.30206425216617699</v>
      </c>
      <c r="P5" s="3">
        <f>N5*G5^2</f>
        <v>0.15576122384524288</v>
      </c>
      <c r="T5" t="s">
        <v>20</v>
      </c>
      <c r="U5" s="3">
        <v>0</v>
      </c>
      <c r="V5" s="3">
        <f>0.375*H5</f>
        <v>1.0600008207812001E-2</v>
      </c>
      <c r="W5" s="3">
        <f>0.75*H5</f>
        <v>2.1200016415624003E-2</v>
      </c>
    </row>
    <row r="6" spans="1:25" x14ac:dyDescent="0.25">
      <c r="A6" t="s">
        <v>7</v>
      </c>
      <c r="B6">
        <v>43.4</v>
      </c>
      <c r="C6" s="2">
        <v>0.1</v>
      </c>
      <c r="E6" s="1">
        <f>1/20</f>
        <v>0.05</v>
      </c>
      <c r="F6">
        <f t="shared" si="0"/>
        <v>0.99498743710661997</v>
      </c>
      <c r="G6">
        <f t="shared" si="1"/>
        <v>0.72924761428767093</v>
      </c>
      <c r="H6">
        <f t="shared" si="2"/>
        <v>2.2925977813516591E-2</v>
      </c>
      <c r="M6" t="s">
        <v>12</v>
      </c>
      <c r="N6" s="4">
        <f>0.25*(1+E6)</f>
        <v>0.26250000000000001</v>
      </c>
      <c r="O6" s="4">
        <f>0.5*(1-E6)*G6</f>
        <v>0.34639261678664368</v>
      </c>
      <c r="P6" s="4">
        <f>N6*G6^2</f>
        <v>0.13959804677286816</v>
      </c>
      <c r="T6" t="s">
        <v>20</v>
      </c>
      <c r="U6" s="4">
        <v>0</v>
      </c>
      <c r="V6" s="4">
        <f>0.5*H6</f>
        <v>1.1462988906758296E-2</v>
      </c>
      <c r="W6" s="4">
        <f>H6</f>
        <v>2.2925977813516591E-2</v>
      </c>
    </row>
    <row r="7" spans="1:25" x14ac:dyDescent="0.25">
      <c r="A7" t="s">
        <v>8</v>
      </c>
      <c r="B7">
        <v>51.6</v>
      </c>
      <c r="C7" s="2">
        <v>0.1</v>
      </c>
      <c r="E7" s="1">
        <f>1/20</f>
        <v>0.05</v>
      </c>
      <c r="F7">
        <f t="shared" si="0"/>
        <v>0.99498743710661997</v>
      </c>
      <c r="G7">
        <f t="shared" si="1"/>
        <v>0.72924761428767093</v>
      </c>
      <c r="H7">
        <f t="shared" si="2"/>
        <v>1.9282702269508137E-2</v>
      </c>
      <c r="I7">
        <f>E7*2</f>
        <v>0.1</v>
      </c>
      <c r="J7">
        <f>POWER((I7*SQRT(1-I7)+1), 1/3)</f>
        <v>1.0306723639032422</v>
      </c>
      <c r="M7" t="s">
        <v>25</v>
      </c>
      <c r="N7">
        <f>((3*J7^2)+(2*J7)+(3*I7))/(16*J7)</f>
        <v>0.33644307633906301</v>
      </c>
      <c r="O7">
        <f>(0.5-N7)*G7</f>
        <v>0.11927349637996902</v>
      </c>
      <c r="P7">
        <f>O7*G7</f>
        <v>8.6979912682841568E-2</v>
      </c>
      <c r="Q7">
        <f>N7*G7^3</f>
        <v>0.13047780631524558</v>
      </c>
      <c r="T7" t="s">
        <v>29</v>
      </c>
      <c r="U7">
        <v>0</v>
      </c>
      <c r="V7">
        <f>0.5*H7</f>
        <v>9.6413511347540684E-3</v>
      </c>
      <c r="W7">
        <f>H7</f>
        <v>1.9282702269508137E-2</v>
      </c>
      <c r="X7">
        <f>1.5*H7</f>
        <v>2.8924053404262205E-2</v>
      </c>
    </row>
    <row r="8" spans="1:25" x14ac:dyDescent="0.25">
      <c r="A8" t="s">
        <v>9</v>
      </c>
      <c r="B8">
        <v>62.4</v>
      </c>
      <c r="C8" s="2">
        <v>0.1</v>
      </c>
      <c r="E8" s="1">
        <f>1/20</f>
        <v>0.05</v>
      </c>
      <c r="F8">
        <f t="shared" si="0"/>
        <v>0.99498743710661997</v>
      </c>
      <c r="G8">
        <f t="shared" si="1"/>
        <v>0.72924761428767093</v>
      </c>
      <c r="H8">
        <f t="shared" si="2"/>
        <v>1.5945311492093269E-2</v>
      </c>
      <c r="K8">
        <f>G8^2</f>
        <v>0.53180208294425968</v>
      </c>
      <c r="M8" t="s">
        <v>24</v>
      </c>
      <c r="N8">
        <f>0.0625*(1+(3*E8)+(2*SQRT(2*(E8+1)*E8)))</f>
        <v>0.11237962936504912</v>
      </c>
      <c r="O8">
        <f>0.25*(1-E8)*G8</f>
        <v>0.17319630839332184</v>
      </c>
      <c r="P8">
        <f>(0.5*(1+E8)-(2*N8))*K8</f>
        <v>0.15966865159206231</v>
      </c>
      <c r="Q8">
        <f>O8*K8</f>
        <v>9.2106157561824914E-2</v>
      </c>
      <c r="R8">
        <f>N8*K8^2</f>
        <v>3.1782471299981477E-2</v>
      </c>
      <c r="T8" t="s">
        <v>31</v>
      </c>
      <c r="U8">
        <v>0</v>
      </c>
      <c r="V8">
        <f>0.5*H8</f>
        <v>7.9726557460466346E-3</v>
      </c>
      <c r="W8">
        <f>H8</f>
        <v>1.5945311492093269E-2</v>
      </c>
      <c r="X8">
        <f>1.5*H8</f>
        <v>2.3917967238139902E-2</v>
      </c>
      <c r="Y8">
        <f>2*H8</f>
        <v>3.1890622984186538E-2</v>
      </c>
    </row>
    <row r="11" spans="1:25" x14ac:dyDescent="0.25">
      <c r="A11" s="9" t="s">
        <v>34</v>
      </c>
    </row>
    <row r="12" spans="1:25" x14ac:dyDescent="0.25">
      <c r="B12" t="s">
        <v>1</v>
      </c>
      <c r="C12" t="s">
        <v>2</v>
      </c>
      <c r="E12" s="1" t="s">
        <v>19</v>
      </c>
      <c r="F12" t="s">
        <v>3</v>
      </c>
      <c r="G12" t="s">
        <v>4</v>
      </c>
      <c r="H12" t="s">
        <v>5</v>
      </c>
      <c r="I12" t="s">
        <v>26</v>
      </c>
      <c r="J12" t="s">
        <v>27</v>
      </c>
      <c r="K12" t="s">
        <v>28</v>
      </c>
      <c r="N12" t="s">
        <v>10</v>
      </c>
      <c r="O12" t="s">
        <v>11</v>
      </c>
      <c r="P12" t="s">
        <v>13</v>
      </c>
      <c r="Q12" t="s">
        <v>22</v>
      </c>
      <c r="R12" t="s">
        <v>23</v>
      </c>
      <c r="U12" t="s">
        <v>15</v>
      </c>
      <c r="V12" t="s">
        <v>16</v>
      </c>
      <c r="W12" t="s">
        <v>17</v>
      </c>
      <c r="X12" t="s">
        <v>17</v>
      </c>
      <c r="Y12" t="s">
        <v>30</v>
      </c>
    </row>
    <row r="13" spans="1:25" x14ac:dyDescent="0.25">
      <c r="A13" t="s">
        <v>0</v>
      </c>
      <c r="B13">
        <v>46.8</v>
      </c>
      <c r="C13" s="2">
        <v>0.55000000000000004</v>
      </c>
      <c r="F13">
        <f>SQRT(1-(C13^2))</f>
        <v>0.83516465442450327</v>
      </c>
      <c r="G13">
        <f>EXP((-C13*PI())/F13)</f>
        <v>0.12632408676149348</v>
      </c>
      <c r="H13">
        <f>1/(B13/F13)</f>
        <v>1.7845398598814174E-2</v>
      </c>
      <c r="M13" t="s">
        <v>14</v>
      </c>
      <c r="N13">
        <v>1</v>
      </c>
      <c r="O13">
        <f>G13</f>
        <v>0.12632408676149348</v>
      </c>
      <c r="T13" t="s">
        <v>21</v>
      </c>
      <c r="U13">
        <v>0</v>
      </c>
      <c r="V13">
        <f>0.5*H13</f>
        <v>8.9226992994070869E-3</v>
      </c>
    </row>
    <row r="14" spans="1:25" x14ac:dyDescent="0.25">
      <c r="A14" s="5" t="s">
        <v>18</v>
      </c>
      <c r="B14" s="5">
        <f>B13</f>
        <v>46.8</v>
      </c>
      <c r="C14" s="7">
        <f>C13</f>
        <v>0.55000000000000004</v>
      </c>
      <c r="D14" s="5"/>
      <c r="E14" s="6"/>
      <c r="F14" s="5">
        <f>SQRT(1-(C14^2))</f>
        <v>0.83516465442450327</v>
      </c>
      <c r="G14" s="5">
        <f>EXP((-C14*PI())/F14)</f>
        <v>0.12632408676149348</v>
      </c>
      <c r="H14" s="5">
        <f>1/(B14/F14)</f>
        <v>1.7845398598814174E-2</v>
      </c>
      <c r="I14" s="5"/>
      <c r="J14" s="5"/>
      <c r="K14" s="5"/>
      <c r="L14" s="5"/>
      <c r="M14" s="5" t="s">
        <v>12</v>
      </c>
      <c r="N14" s="5">
        <v>1</v>
      </c>
      <c r="O14" s="5">
        <f>2*G14</f>
        <v>0.25264817352298696</v>
      </c>
      <c r="P14" s="5">
        <f>G13^2</f>
        <v>1.5957774896125331E-2</v>
      </c>
      <c r="Q14" s="5"/>
      <c r="R14" s="5"/>
      <c r="S14" s="5"/>
      <c r="T14" s="5" t="s">
        <v>20</v>
      </c>
      <c r="U14" s="5">
        <v>0</v>
      </c>
      <c r="V14" s="5">
        <f>0.5*H14</f>
        <v>8.9226992994070869E-3</v>
      </c>
      <c r="W14" s="5">
        <f>H14</f>
        <v>1.7845398598814174E-2</v>
      </c>
      <c r="X14" s="8"/>
      <c r="Y14" s="8"/>
    </row>
    <row r="15" spans="1:25" x14ac:dyDescent="0.25">
      <c r="A15" t="s">
        <v>6</v>
      </c>
      <c r="B15">
        <v>35.200000000000003</v>
      </c>
      <c r="C15" s="2">
        <f t="shared" ref="C15:C18" si="3">C14</f>
        <v>0.55000000000000004</v>
      </c>
      <c r="F15">
        <f t="shared" ref="F15:F18" si="4">SQRT(1-(C15^2))</f>
        <v>0.83516465442450327</v>
      </c>
      <c r="G15">
        <f t="shared" ref="G15:G18" si="5">EXP((-C15*PI())/F15)</f>
        <v>0.12632408676149348</v>
      </c>
      <c r="H15">
        <f t="shared" ref="H15:H18" si="6">1/(B15/F15)</f>
        <v>2.3726268591605204E-2</v>
      </c>
      <c r="M15" t="s">
        <v>12</v>
      </c>
      <c r="N15" s="3">
        <f>1-(1/SQRT(2))</f>
        <v>0.29289321881345254</v>
      </c>
      <c r="O15" s="3">
        <f>(SQRT(2)-1)*G15</f>
        <v>5.232514999100616E-2</v>
      </c>
      <c r="P15" s="3">
        <f>N15*G15^2</f>
        <v>4.6739240544266562E-3</v>
      </c>
      <c r="T15" t="s">
        <v>20</v>
      </c>
      <c r="U15" s="3">
        <v>0</v>
      </c>
      <c r="V15" s="3">
        <f>0.375*H15</f>
        <v>8.8973507218519515E-3</v>
      </c>
      <c r="W15" s="3">
        <f>0.75*H15</f>
        <v>1.7794701443703903E-2</v>
      </c>
    </row>
    <row r="16" spans="1:25" x14ac:dyDescent="0.25">
      <c r="A16" t="s">
        <v>7</v>
      </c>
      <c r="B16">
        <v>43.4</v>
      </c>
      <c r="C16" s="2">
        <f t="shared" si="3"/>
        <v>0.55000000000000004</v>
      </c>
      <c r="E16" s="1">
        <f>1/20</f>
        <v>0.05</v>
      </c>
      <c r="F16">
        <f t="shared" si="4"/>
        <v>0.83516465442450327</v>
      </c>
      <c r="G16">
        <f t="shared" si="5"/>
        <v>0.12632408676149348</v>
      </c>
      <c r="H16">
        <f t="shared" si="6"/>
        <v>1.9243425217154452E-2</v>
      </c>
      <c r="M16" t="s">
        <v>12</v>
      </c>
      <c r="N16" s="4">
        <f>0.25*(1+E16)</f>
        <v>0.26250000000000001</v>
      </c>
      <c r="O16" s="4">
        <f>0.5*(1-E16)*G16</f>
        <v>6.0003941211709398E-2</v>
      </c>
      <c r="P16" s="4">
        <f>N16*G16^2</f>
        <v>4.1889159102329E-3</v>
      </c>
      <c r="T16" t="s">
        <v>20</v>
      </c>
      <c r="U16" s="4">
        <v>0</v>
      </c>
      <c r="V16" s="4">
        <f>0.5*H16</f>
        <v>9.6217126085772261E-3</v>
      </c>
      <c r="W16" s="4">
        <f>H16</f>
        <v>1.9243425217154452E-2</v>
      </c>
    </row>
    <row r="17" spans="1:25" x14ac:dyDescent="0.25">
      <c r="A17" t="s">
        <v>8</v>
      </c>
      <c r="B17">
        <v>51.6</v>
      </c>
      <c r="C17" s="2">
        <f t="shared" si="3"/>
        <v>0.55000000000000004</v>
      </c>
      <c r="E17" s="1">
        <f>1/20</f>
        <v>0.05</v>
      </c>
      <c r="F17">
        <f t="shared" si="4"/>
        <v>0.83516465442450327</v>
      </c>
      <c r="G17">
        <f t="shared" si="5"/>
        <v>0.12632408676149348</v>
      </c>
      <c r="H17">
        <f t="shared" si="6"/>
        <v>1.6185361519854714E-2</v>
      </c>
      <c r="I17">
        <f>E17*2</f>
        <v>0.1</v>
      </c>
      <c r="J17">
        <f>POWER((I17*SQRT(1-I17)+1), 1/3)</f>
        <v>1.0306723639032422</v>
      </c>
      <c r="M17" t="s">
        <v>25</v>
      </c>
      <c r="N17">
        <f>((3*J17^2)+(2*J17)+(3*I17))/(16*J17)</f>
        <v>0.33644307633906301</v>
      </c>
      <c r="O17">
        <f>(0.5-N17)*G17</f>
        <v>2.0661179014987169E-2</v>
      </c>
      <c r="P17">
        <f>O17*G17</f>
        <v>2.6100045704839877E-3</v>
      </c>
      <c r="Q17">
        <f>N17*G17^3</f>
        <v>6.782192264395457E-4</v>
      </c>
      <c r="T17" t="s">
        <v>29</v>
      </c>
      <c r="U17">
        <v>0</v>
      </c>
      <c r="V17">
        <f>0.5*H17</f>
        <v>8.0926807599273568E-3</v>
      </c>
      <c r="W17">
        <f>H17</f>
        <v>1.6185361519854714E-2</v>
      </c>
      <c r="X17">
        <f>1.5*H17</f>
        <v>2.4278042279782072E-2</v>
      </c>
    </row>
    <row r="18" spans="1:25" x14ac:dyDescent="0.25">
      <c r="A18" t="s">
        <v>9</v>
      </c>
      <c r="B18">
        <v>62.4</v>
      </c>
      <c r="C18" s="2">
        <f t="shared" si="3"/>
        <v>0.55000000000000004</v>
      </c>
      <c r="E18" s="1">
        <f>1/20</f>
        <v>0.05</v>
      </c>
      <c r="F18">
        <f t="shared" si="4"/>
        <v>0.83516465442450327</v>
      </c>
      <c r="G18">
        <f t="shared" si="5"/>
        <v>0.12632408676149348</v>
      </c>
      <c r="H18">
        <f t="shared" si="6"/>
        <v>1.3384048949110631E-2</v>
      </c>
      <c r="K18">
        <f>G18^2</f>
        <v>1.5957774896125331E-2</v>
      </c>
      <c r="M18" t="s">
        <v>24</v>
      </c>
      <c r="N18">
        <f>0.0625*(1+(3*E18)+(2*SQRT(2*(E18+1)*E18)))</f>
        <v>0.11237962936504912</v>
      </c>
      <c r="O18">
        <f>0.25*(1-E18)*G18</f>
        <v>3.0001970605854699E-2</v>
      </c>
      <c r="P18">
        <f>(0.5*(1+E18)-(2*N18))*K18</f>
        <v>4.791174163830899E-3</v>
      </c>
      <c r="Q18">
        <f>O18*K18</f>
        <v>4.7876469336839819E-4</v>
      </c>
      <c r="R18">
        <f>N18*K18^2</f>
        <v>2.8617537757022056E-5</v>
      </c>
      <c r="T18" t="s">
        <v>31</v>
      </c>
      <c r="U18">
        <v>0</v>
      </c>
      <c r="V18">
        <f>0.5*H18</f>
        <v>6.6920244745553156E-3</v>
      </c>
      <c r="W18">
        <f>H18</f>
        <v>1.3384048949110631E-2</v>
      </c>
      <c r="X18">
        <f>1.5*H18</f>
        <v>2.0076073423665946E-2</v>
      </c>
      <c r="Y18">
        <f>2*H18</f>
        <v>2.6768097898221262E-2</v>
      </c>
    </row>
    <row r="21" spans="1:25" x14ac:dyDescent="0.25">
      <c r="M21" t="s">
        <v>32</v>
      </c>
      <c r="N21" t="s">
        <v>10</v>
      </c>
      <c r="O21" t="s">
        <v>11</v>
      </c>
      <c r="P21" t="s">
        <v>13</v>
      </c>
      <c r="Q21" t="s">
        <v>22</v>
      </c>
      <c r="R21" t="s">
        <v>23</v>
      </c>
      <c r="U21" t="s">
        <v>15</v>
      </c>
      <c r="V21" t="s">
        <v>16</v>
      </c>
      <c r="W21" t="s">
        <v>17</v>
      </c>
      <c r="X21" t="s">
        <v>17</v>
      </c>
      <c r="Y21" t="s">
        <v>30</v>
      </c>
    </row>
    <row r="22" spans="1:25" x14ac:dyDescent="0.25">
      <c r="M22" t="s">
        <v>0</v>
      </c>
      <c r="N22">
        <f>N3-N13</f>
        <v>0</v>
      </c>
      <c r="O22">
        <f t="shared" ref="O22:V22" si="7">O3-O13</f>
        <v>0.60292352752617751</v>
      </c>
      <c r="S22">
        <f t="shared" si="7"/>
        <v>0</v>
      </c>
      <c r="U22">
        <f t="shared" si="7"/>
        <v>0</v>
      </c>
      <c r="V22">
        <f t="shared" si="7"/>
        <v>1.7075083619884253E-3</v>
      </c>
    </row>
    <row r="23" spans="1:25" x14ac:dyDescent="0.25">
      <c r="M23" s="5" t="s">
        <v>18</v>
      </c>
      <c r="N23" s="8">
        <f t="shared" ref="N23:S23" si="8">N4-N14</f>
        <v>0</v>
      </c>
      <c r="O23" s="8">
        <f t="shared" si="8"/>
        <v>1.205847055052355</v>
      </c>
      <c r="P23" s="8">
        <f t="shared" si="8"/>
        <v>0.5158443080481343</v>
      </c>
      <c r="Q23" s="8"/>
      <c r="R23" s="8"/>
      <c r="S23" s="8">
        <f t="shared" si="8"/>
        <v>0</v>
      </c>
      <c r="T23" s="8"/>
      <c r="U23" s="8">
        <f t="shared" ref="U23:W23" si="9">U4-U14</f>
        <v>0</v>
      </c>
      <c r="V23" s="8">
        <f t="shared" si="9"/>
        <v>1.7075083619884253E-3</v>
      </c>
      <c r="W23" s="8">
        <f t="shared" si="9"/>
        <v>3.4150167239768506E-3</v>
      </c>
      <c r="X23" s="8"/>
      <c r="Y23" s="8"/>
    </row>
    <row r="24" spans="1:25" x14ac:dyDescent="0.25">
      <c r="M24" t="s">
        <v>6</v>
      </c>
      <c r="N24">
        <f t="shared" ref="N24:S24" si="10">N5-N15</f>
        <v>0</v>
      </c>
      <c r="O24">
        <f t="shared" si="10"/>
        <v>0.24973910217517084</v>
      </c>
      <c r="P24">
        <f t="shared" si="10"/>
        <v>0.15108729979081623</v>
      </c>
      <c r="S24">
        <f t="shared" si="10"/>
        <v>0</v>
      </c>
      <c r="U24">
        <f t="shared" ref="U24:W24" si="11">U5-U15</f>
        <v>0</v>
      </c>
      <c r="V24">
        <f t="shared" si="11"/>
        <v>1.7026574859600498E-3</v>
      </c>
      <c r="W24">
        <f t="shared" si="11"/>
        <v>3.4053149719200995E-3</v>
      </c>
    </row>
    <row r="25" spans="1:25" x14ac:dyDescent="0.25">
      <c r="M25" t="s">
        <v>7</v>
      </c>
      <c r="N25">
        <f t="shared" ref="N25:S25" si="12">N6-N16</f>
        <v>0</v>
      </c>
      <c r="O25">
        <f t="shared" si="12"/>
        <v>0.2863886755749343</v>
      </c>
      <c r="P25">
        <f t="shared" si="12"/>
        <v>0.13540913086263526</v>
      </c>
      <c r="S25">
        <f t="shared" si="12"/>
        <v>0</v>
      </c>
      <c r="U25">
        <f t="shared" ref="U25:W25" si="13">U6-U16</f>
        <v>0</v>
      </c>
      <c r="V25">
        <f t="shared" si="13"/>
        <v>1.8412762981810694E-3</v>
      </c>
      <c r="W25">
        <f t="shared" si="13"/>
        <v>3.6825525963621389E-3</v>
      </c>
    </row>
    <row r="26" spans="1:25" x14ac:dyDescent="0.25">
      <c r="E26" s="10" t="s">
        <v>35</v>
      </c>
      <c r="M26" t="s">
        <v>8</v>
      </c>
      <c r="N26">
        <f t="shared" ref="N26:S26" si="14">N7-N17</f>
        <v>0</v>
      </c>
      <c r="O26">
        <f t="shared" si="14"/>
        <v>9.8612317364981855E-2</v>
      </c>
      <c r="P26">
        <f t="shared" si="14"/>
        <v>8.4369908112357575E-2</v>
      </c>
      <c r="Q26">
        <f t="shared" si="14"/>
        <v>0.12979958708880604</v>
      </c>
      <c r="S26">
        <f t="shared" si="14"/>
        <v>0</v>
      </c>
      <c r="U26">
        <f t="shared" ref="U26:X26" si="15">U7-U17</f>
        <v>0</v>
      </c>
      <c r="V26">
        <f t="shared" si="15"/>
        <v>1.5486703748267116E-3</v>
      </c>
      <c r="W26">
        <f t="shared" si="15"/>
        <v>3.0973407496534232E-3</v>
      </c>
      <c r="X26">
        <f t="shared" si="15"/>
        <v>4.646011124480133E-3</v>
      </c>
    </row>
    <row r="27" spans="1:25" x14ac:dyDescent="0.25">
      <c r="E27" s="10" t="s">
        <v>36</v>
      </c>
      <c r="M27" t="s">
        <v>9</v>
      </c>
      <c r="N27">
        <f t="shared" ref="N27:S27" si="16">N8-N18</f>
        <v>0</v>
      </c>
      <c r="O27">
        <f t="shared" si="16"/>
        <v>0.14319433778746715</v>
      </c>
      <c r="P27">
        <f t="shared" si="16"/>
        <v>0.15487747742823141</v>
      </c>
      <c r="Q27">
        <f t="shared" si="16"/>
        <v>9.1627392868456517E-2</v>
      </c>
      <c r="R27">
        <f t="shared" si="16"/>
        <v>3.1753853762224456E-2</v>
      </c>
      <c r="S27">
        <f t="shared" si="16"/>
        <v>0</v>
      </c>
      <c r="U27">
        <f t="shared" ref="U27:Y27" si="17">U8-U18</f>
        <v>0</v>
      </c>
      <c r="V27">
        <f t="shared" si="17"/>
        <v>1.280631271491319E-3</v>
      </c>
      <c r="W27">
        <f t="shared" si="17"/>
        <v>2.5612625429826379E-3</v>
      </c>
      <c r="X27">
        <f t="shared" si="17"/>
        <v>3.841893814473956E-3</v>
      </c>
      <c r="Y27">
        <f t="shared" si="17"/>
        <v>5.1225250859652759E-3</v>
      </c>
    </row>
    <row r="28" spans="1:25" x14ac:dyDescent="0.25">
      <c r="E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Wall</dc:creator>
  <cp:lastModifiedBy>Vincent Wall</cp:lastModifiedBy>
  <dcterms:created xsi:type="dcterms:W3CDTF">2024-04-01T02:07:44Z</dcterms:created>
  <dcterms:modified xsi:type="dcterms:W3CDTF">2024-04-02T15:42:51Z</dcterms:modified>
</cp:coreProperties>
</file>