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10395" windowHeight="9975"/>
  </bookViews>
  <sheets>
    <sheet name="Sheet1" sheetId="1" r:id="rId1"/>
    <sheet name="Guide camera table" sheetId="2" r:id="rId2"/>
    <sheet name="Sheet3" sheetId="3" r:id="rId3"/>
  </sheets>
  <calcPr calcId="144525"/>
</workbook>
</file>

<file path=xl/calcChain.xml><?xml version="1.0" encoding="utf-8"?>
<calcChain xmlns="http://schemas.openxmlformats.org/spreadsheetml/2006/main">
  <c r="C17" i="1" l="1"/>
  <c r="C14" i="1"/>
  <c r="C20" i="1" s="1"/>
  <c r="B14" i="1"/>
  <c r="C18" i="1"/>
  <c r="B11" i="1"/>
  <c r="C11" i="1" s="1"/>
  <c r="B19" i="1"/>
  <c r="B20" i="1"/>
  <c r="B16" i="1"/>
  <c r="C16" i="1" s="1"/>
  <c r="B10" i="1"/>
  <c r="C10" i="1" s="1"/>
  <c r="C19" i="1" l="1"/>
  <c r="C12" i="1"/>
  <c r="B12" i="1"/>
  <c r="B17" i="1" s="1"/>
  <c r="B13" i="1"/>
</calcChain>
</file>

<file path=xl/sharedStrings.xml><?xml version="1.0" encoding="utf-8"?>
<sst xmlns="http://schemas.openxmlformats.org/spreadsheetml/2006/main" count="39" uniqueCount="36">
  <si>
    <t>Telescope Focal length (mm)=</t>
  </si>
  <si>
    <t>Jerry Foote 1/2/2022</t>
  </si>
  <si>
    <t>Slit Lens focal length (mm)=</t>
  </si>
  <si>
    <t>Width of guide chip (mm)=</t>
  </si>
  <si>
    <t>Camera lens focal length (mm)=</t>
  </si>
  <si>
    <t>Notes</t>
  </si>
  <si>
    <t>Slit width (microns)=</t>
  </si>
  <si>
    <t>Guide camera pixel width(microns)=</t>
  </si>
  <si>
    <t>number of pixels covered by slit=</t>
  </si>
  <si>
    <t>FS1 Guide lens and guide field of view calculator</t>
  </si>
  <si>
    <t>Camera</t>
  </si>
  <si>
    <t>StarShoot</t>
  </si>
  <si>
    <t>QHY5III178</t>
  </si>
  <si>
    <t>QHY5III485C</t>
  </si>
  <si>
    <t>QHY5III174</t>
  </si>
  <si>
    <t>H Size</t>
  </si>
  <si>
    <t>V Size</t>
  </si>
  <si>
    <t>P Size</t>
  </si>
  <si>
    <t>Lodestar Pro 2</t>
  </si>
  <si>
    <t>Lodestar X2</t>
  </si>
  <si>
    <t>QHY5III290M</t>
  </si>
  <si>
    <t>Guide Camera:</t>
  </si>
  <si>
    <t>Illuminated slit width (mm)=</t>
  </si>
  <si>
    <t>Illuminated slit height (mm)=</t>
  </si>
  <si>
    <t>Horizontal FOV (arc minutes)=</t>
  </si>
  <si>
    <t>Vertical FOV (arc Minutes)=</t>
  </si>
  <si>
    <t>Height of guide chip (mm)=</t>
  </si>
  <si>
    <t>Actual</t>
  </si>
  <si>
    <t>Theoretical</t>
  </si>
  <si>
    <t xml:space="preserve">This is the focal length of the guide lens that allows the guide camera to be fully illuminated.
However make sure that the guide camera has sufficient back focus to bring the image into focus.
</t>
  </si>
  <si>
    <t>50 mm is the shortest focal length slit lens that doesn't vignet the incoming beam</t>
  </si>
  <si>
    <t>This is near the maximum width of the usable image on the OVIO slit disk</t>
  </si>
  <si>
    <t>This is near the maximum height of the usable image on the OVIO slit disk</t>
  </si>
  <si>
    <t>These values come from the guide camera table</t>
  </si>
  <si>
    <t>Actual magnification=</t>
  </si>
  <si>
    <t>Desired slit magnification=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</si>
</sst>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0" fontId="0" fillId="0" borderId="0" xfId="0" applyAlignment="1">
      <alignment horizontal="right"/>
    </xf>
    <xf numFmtId="0" fontId="0" fillId="0" borderId="0" xfId="0" applyAlignment="1">
      <alignment horizontal="right" wrapText="1"/>
    </xf>
    <xf numFmtId="0" fontId="0" fillId="0" borderId="0" xfId="0" applyAlignment="1">
      <alignment horizontal="center"/>
    </xf>
    <xf numFmtId="0" fontId="0" fillId="0" borderId="0" xfId="0" applyAlignment="1">
      <alignment vertical="top" wrapText="1"/>
    </xf>
    <xf numFmtId="0" fontId="0" fillId="0" borderId="0" xfId="0" applyAlignment="1">
      <alignment horizontal="right" vertical="top"/>
    </xf>
    <xf numFmtId="2" fontId="0" fillId="0" borderId="0" xfId="0" applyNumberFormat="1" applyAlignment="1">
      <alignment vertical="top"/>
    </xf>
    <xf numFmtId="0" fontId="0" fillId="0" borderId="0" xfId="0" applyAlignment="1"/>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C2:F9" totalsRowShown="0">
  <autoFilter ref="C2:F9"/>
  <tableColumns count="4">
    <tableColumn id="1" name="Camera" dataDxfId="0"/>
    <tableColumn id="2" name="H Size"/>
    <tableColumn id="3" name="V Size"/>
    <tableColumn id="4" name="P 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C18" sqref="C18"/>
    </sheetView>
  </sheetViews>
  <sheetFormatPr defaultRowHeight="15" x14ac:dyDescent="0.25"/>
  <cols>
    <col min="1" max="1" width="33.140625" customWidth="1"/>
    <col min="2" max="3" width="13.7109375" customWidth="1"/>
    <col min="4" max="4" width="86.85546875" customWidth="1"/>
  </cols>
  <sheetData>
    <row r="1" spans="1:4" x14ac:dyDescent="0.25">
      <c r="A1" t="s">
        <v>9</v>
      </c>
    </row>
    <row r="2" spans="1:4" x14ac:dyDescent="0.25">
      <c r="A2" t="s">
        <v>1</v>
      </c>
    </row>
    <row r="4" spans="1:4" x14ac:dyDescent="0.25">
      <c r="A4" s="2" t="s">
        <v>21</v>
      </c>
      <c r="B4" t="s">
        <v>14</v>
      </c>
    </row>
    <row r="5" spans="1:4" x14ac:dyDescent="0.25">
      <c r="A5" s="2"/>
    </row>
    <row r="6" spans="1:4" x14ac:dyDescent="0.25">
      <c r="B6" s="4" t="s">
        <v>28</v>
      </c>
      <c r="C6" s="4" t="s">
        <v>27</v>
      </c>
      <c r="D6" t="s">
        <v>5</v>
      </c>
    </row>
    <row r="7" spans="1:4" x14ac:dyDescent="0.25">
      <c r="A7" s="2" t="s">
        <v>22</v>
      </c>
      <c r="B7">
        <v>10</v>
      </c>
      <c r="C7">
        <v>10</v>
      </c>
      <c r="D7" t="s">
        <v>31</v>
      </c>
    </row>
    <row r="8" spans="1:4" x14ac:dyDescent="0.25">
      <c r="A8" s="2" t="s">
        <v>23</v>
      </c>
      <c r="B8">
        <v>7</v>
      </c>
      <c r="C8">
        <v>7</v>
      </c>
      <c r="D8" t="s">
        <v>32</v>
      </c>
    </row>
    <row r="9" spans="1:4" x14ac:dyDescent="0.25">
      <c r="A9" s="3" t="s">
        <v>2</v>
      </c>
      <c r="B9">
        <v>65</v>
      </c>
      <c r="C9">
        <v>50</v>
      </c>
      <c r="D9" t="s">
        <v>30</v>
      </c>
    </row>
    <row r="10" spans="1:4" x14ac:dyDescent="0.25">
      <c r="A10" s="2" t="s">
        <v>3</v>
      </c>
      <c r="B10">
        <f>VLOOKUP($B$4,'Guide camera table'!C3:F9,2,FALSE)</f>
        <v>11.25</v>
      </c>
      <c r="C10">
        <f>B10</f>
        <v>11.25</v>
      </c>
      <c r="D10" s="8" t="s">
        <v>33</v>
      </c>
    </row>
    <row r="11" spans="1:4" x14ac:dyDescent="0.25">
      <c r="A11" s="2" t="s">
        <v>26</v>
      </c>
      <c r="B11">
        <f>VLOOKUP($B$4,'Guide camera table'!C3:F9,3,FALSE)</f>
        <v>7.03</v>
      </c>
      <c r="C11">
        <f>B11</f>
        <v>7.03</v>
      </c>
      <c r="D11" s="8" t="s">
        <v>33</v>
      </c>
    </row>
    <row r="12" spans="1:4" x14ac:dyDescent="0.25">
      <c r="A12" s="2" t="s">
        <v>35</v>
      </c>
      <c r="B12" s="1">
        <f>B10/B7</f>
        <v>1.125</v>
      </c>
      <c r="C12" s="1">
        <f>C10/C7</f>
        <v>1.125</v>
      </c>
    </row>
    <row r="13" spans="1:4" ht="33.75" customHeight="1" x14ac:dyDescent="0.25">
      <c r="A13" s="6" t="s">
        <v>4</v>
      </c>
      <c r="B13" s="7">
        <f>B9*B10/B7</f>
        <v>73.125</v>
      </c>
      <c r="C13" s="7">
        <v>45</v>
      </c>
      <c r="D13" s="5" t="s">
        <v>29</v>
      </c>
    </row>
    <row r="14" spans="1:4" ht="17.25" customHeight="1" x14ac:dyDescent="0.25">
      <c r="A14" s="6" t="s">
        <v>34</v>
      </c>
      <c r="B14" s="7">
        <f>B13/B9</f>
        <v>1.125</v>
      </c>
      <c r="C14" s="7">
        <f>C13/C9</f>
        <v>0.9</v>
      </c>
      <c r="D14" s="5"/>
    </row>
    <row r="15" spans="1:4" x14ac:dyDescent="0.25">
      <c r="A15" s="2" t="s">
        <v>6</v>
      </c>
      <c r="B15">
        <v>20</v>
      </c>
      <c r="C15">
        <v>20</v>
      </c>
    </row>
    <row r="16" spans="1:4" x14ac:dyDescent="0.25">
      <c r="A16" s="2" t="s">
        <v>7</v>
      </c>
      <c r="B16">
        <f>VLOOKUP($B$4,'Guide camera table'!C3:F9,4,FALSE)</f>
        <v>5.86</v>
      </c>
      <c r="C16">
        <f>B16</f>
        <v>5.86</v>
      </c>
      <c r="D16" s="8" t="s">
        <v>33</v>
      </c>
    </row>
    <row r="17" spans="1:3" x14ac:dyDescent="0.25">
      <c r="A17" s="2" t="s">
        <v>8</v>
      </c>
      <c r="B17" s="1">
        <f>B12*B15/B16</f>
        <v>3.8395904436860064</v>
      </c>
      <c r="C17" s="1">
        <f>C14*C15/C16</f>
        <v>3.0716723549488054</v>
      </c>
    </row>
    <row r="18" spans="1:3" x14ac:dyDescent="0.25">
      <c r="A18" s="2" t="s">
        <v>0</v>
      </c>
      <c r="B18">
        <v>1422</v>
      </c>
      <c r="C18">
        <f>B18</f>
        <v>1422</v>
      </c>
    </row>
    <row r="19" spans="1:3" x14ac:dyDescent="0.25">
      <c r="A19" s="2" t="s">
        <v>24</v>
      </c>
      <c r="B19" s="1">
        <f>60*2*DEGREES(ATAN(B7/(2*B18)))</f>
        <v>24.17533476359192</v>
      </c>
      <c r="C19" s="1">
        <f>($C$14/$C$12)*(60*2*DEGREES(ATAN(C7/(2*C$18))))</f>
        <v>19.340267810873538</v>
      </c>
    </row>
    <row r="20" spans="1:3" x14ac:dyDescent="0.25">
      <c r="A20" s="2" t="s">
        <v>25</v>
      </c>
      <c r="B20" s="1">
        <f>60*2*DEGREES(ATAN(B8/(2*B18)))</f>
        <v>16.922769902335652</v>
      </c>
      <c r="C20" s="1">
        <f>($C$14/$C$12)*(60*2*DEGREES(ATAN(C8/(2*C$18))))</f>
        <v>13.538215921868522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prompt="Select a guide camera">
          <x14:formula1>
            <xm:f>'Guide camera table'!$C$3:$C$9</xm:f>
          </x14:formula1>
          <xm:sqref>B4:C5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9"/>
  <sheetViews>
    <sheetView workbookViewId="0">
      <selection activeCell="C2" sqref="C2:F9"/>
    </sheetView>
  </sheetViews>
  <sheetFormatPr defaultRowHeight="15" x14ac:dyDescent="0.25"/>
  <cols>
    <col min="3" max="3" width="13.42578125" style="4" customWidth="1"/>
  </cols>
  <sheetData>
    <row r="2" spans="3:6" x14ac:dyDescent="0.25">
      <c r="C2" s="4" t="s">
        <v>10</v>
      </c>
      <c r="D2" t="s">
        <v>15</v>
      </c>
      <c r="E2" t="s">
        <v>16</v>
      </c>
      <c r="F2" t="s">
        <v>17</v>
      </c>
    </row>
    <row r="3" spans="3:6" x14ac:dyDescent="0.25">
      <c r="C3" s="4" t="s">
        <v>18</v>
      </c>
      <c r="D3">
        <v>6.47</v>
      </c>
      <c r="E3">
        <v>4.8099999999999996</v>
      </c>
      <c r="F3">
        <v>8.5</v>
      </c>
    </row>
    <row r="4" spans="3:6" x14ac:dyDescent="0.25">
      <c r="C4" s="4" t="s">
        <v>19</v>
      </c>
      <c r="D4">
        <v>6.45</v>
      </c>
      <c r="E4">
        <v>4.75</v>
      </c>
      <c r="F4">
        <v>8.3000000000000007</v>
      </c>
    </row>
    <row r="5" spans="3:6" x14ac:dyDescent="0.25">
      <c r="C5" s="4" t="s">
        <v>11</v>
      </c>
      <c r="D5">
        <v>6.6</v>
      </c>
      <c r="E5">
        <v>5.32</v>
      </c>
      <c r="F5">
        <v>5.2</v>
      </c>
    </row>
    <row r="6" spans="3:6" x14ac:dyDescent="0.25">
      <c r="C6" s="4" t="s">
        <v>14</v>
      </c>
      <c r="D6">
        <v>11.25</v>
      </c>
      <c r="E6">
        <v>7.03</v>
      </c>
      <c r="F6">
        <v>5.86</v>
      </c>
    </row>
    <row r="7" spans="3:6" x14ac:dyDescent="0.25">
      <c r="C7" s="4" t="s">
        <v>12</v>
      </c>
      <c r="D7">
        <v>7.37</v>
      </c>
      <c r="E7">
        <v>4.92</v>
      </c>
      <c r="F7">
        <v>2.4</v>
      </c>
    </row>
    <row r="8" spans="3:6" x14ac:dyDescent="0.25">
      <c r="C8" s="4" t="s">
        <v>20</v>
      </c>
      <c r="D8">
        <v>5.57</v>
      </c>
      <c r="E8">
        <v>3.13</v>
      </c>
      <c r="F8">
        <v>2.9</v>
      </c>
    </row>
    <row r="9" spans="3:6" x14ac:dyDescent="0.25">
      <c r="C9" s="4" t="s">
        <v>13</v>
      </c>
      <c r="D9">
        <v>11.21</v>
      </c>
      <c r="E9">
        <v>6.32</v>
      </c>
      <c r="F9">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Guide camera table</vt:lpstr>
      <vt:lpstr>Sheet3</vt:lpstr>
    </vt:vector>
  </TitlesOfParts>
  <Company>ScopeCraft,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2022-01-02T21:28:23Z</dcterms:created>
  <dcterms:modified xsi:type="dcterms:W3CDTF">2022-01-07T21:25:55Z</dcterms:modified>
</cp:coreProperties>
</file>