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.Hood\OneDrive - Midlands and Lancashire CSU\Working Projects\MH inpat modelling\backup 20250103\nhse_mh_inpat_model\"/>
    </mc:Choice>
  </mc:AlternateContent>
  <xr:revisionPtr revIDLastSave="0" documentId="13_ncr:1_{1060367D-924D-4953-B02F-AFE1261F6F81}" xr6:coauthVersionLast="47" xr6:coauthVersionMax="47" xr10:uidLastSave="{00000000-0000-0000-0000-000000000000}"/>
  <bookViews>
    <workbookView xWindow="-120" yWindow="-120" windowWidth="29040" windowHeight="15225" xr2:uid="{CE5ACA45-82F1-47E2-9727-BE19CE844C1F}"/>
  </bookViews>
  <sheets>
    <sheet name="incidence" sheetId="3" r:id="rId1"/>
    <sheet name="acuity_los" sheetId="1" r:id="rId2"/>
    <sheet name="delay_disch" sheetId="2" r:id="rId3"/>
    <sheet name="nat policy" sheetId="4" r:id="rId4"/>
    <sheet name="waiting lists" sheetId="5" r:id="rId5"/>
    <sheet name="admavoid_prev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5" l="1"/>
  <c r="L14" i="5"/>
  <c r="M14" i="5"/>
  <c r="O14" i="5"/>
  <c r="K15" i="5"/>
  <c r="L15" i="5"/>
  <c r="N15" i="5"/>
  <c r="K16" i="5"/>
  <c r="M16" i="5"/>
  <c r="I17" i="5"/>
  <c r="J17" i="5"/>
  <c r="L17" i="5"/>
  <c r="Q17" i="5"/>
  <c r="G8" i="5"/>
  <c r="G15" i="5" s="1"/>
  <c r="I8" i="5"/>
  <c r="I15" i="5" s="1"/>
  <c r="J8" i="5"/>
  <c r="J15" i="5" s="1"/>
  <c r="K8" i="5"/>
  <c r="L8" i="5"/>
  <c r="M8" i="5"/>
  <c r="M15" i="5" s="1"/>
  <c r="N8" i="5"/>
  <c r="O8" i="5"/>
  <c r="O15" i="5" s="1"/>
  <c r="P8" i="5"/>
  <c r="P15" i="5" s="1"/>
  <c r="Q8" i="5"/>
  <c r="Q15" i="5" s="1"/>
  <c r="G9" i="5"/>
  <c r="G16" i="5" s="1"/>
  <c r="I9" i="5"/>
  <c r="I16" i="5" s="1"/>
  <c r="J9" i="5"/>
  <c r="J16" i="5" s="1"/>
  <c r="K9" i="5"/>
  <c r="L9" i="5"/>
  <c r="L16" i="5" s="1"/>
  <c r="M9" i="5"/>
  <c r="N9" i="5"/>
  <c r="N16" i="5" s="1"/>
  <c r="O9" i="5"/>
  <c r="O16" i="5" s="1"/>
  <c r="P9" i="5"/>
  <c r="P16" i="5" s="1"/>
  <c r="Q9" i="5"/>
  <c r="Q16" i="5" s="1"/>
  <c r="G10" i="5"/>
  <c r="G17" i="5" s="1"/>
  <c r="I10" i="5"/>
  <c r="J10" i="5"/>
  <c r="K10" i="5"/>
  <c r="K17" i="5" s="1"/>
  <c r="L10" i="5"/>
  <c r="M10" i="5"/>
  <c r="M17" i="5" s="1"/>
  <c r="N10" i="5"/>
  <c r="N17" i="5" s="1"/>
  <c r="O10" i="5"/>
  <c r="O17" i="5" s="1"/>
  <c r="P10" i="5"/>
  <c r="P17" i="5" s="1"/>
  <c r="Q10" i="5"/>
  <c r="L11" i="5"/>
  <c r="L18" i="5" s="1"/>
  <c r="I7" i="5"/>
  <c r="I14" i="5" s="1"/>
  <c r="J7" i="5"/>
  <c r="J14" i="5" s="1"/>
  <c r="K7" i="5"/>
  <c r="K14" i="5" s="1"/>
  <c r="L7" i="5"/>
  <c r="M7" i="5"/>
  <c r="N7" i="5"/>
  <c r="N14" i="5" s="1"/>
  <c r="O7" i="5"/>
  <c r="P7" i="5"/>
  <c r="P14" i="5" s="1"/>
  <c r="Q7" i="5"/>
  <c r="Q14" i="5" s="1"/>
  <c r="G7" i="5"/>
  <c r="G14" i="5" s="1"/>
  <c r="H24" i="5"/>
  <c r="H10" i="5"/>
  <c r="H17" i="5" s="1"/>
  <c r="C11" i="5"/>
  <c r="M11" i="5" s="1"/>
  <c r="M18" i="5" s="1"/>
  <c r="B21" i="4"/>
  <c r="E15" i="4"/>
  <c r="B9" i="4"/>
  <c r="D66" i="3"/>
  <c r="D68" i="3" s="1"/>
  <c r="C78" i="3" s="1"/>
  <c r="D64" i="3"/>
  <c r="D63" i="3"/>
  <c r="D62" i="3"/>
  <c r="D31" i="3"/>
  <c r="D52" i="3"/>
  <c r="D54" i="3" s="1"/>
  <c r="C77" i="3" s="1"/>
  <c r="D40" i="3"/>
  <c r="D41" i="3"/>
  <c r="D42" i="3"/>
  <c r="D43" i="3"/>
  <c r="D44" i="3"/>
  <c r="D45" i="3"/>
  <c r="D46" i="3"/>
  <c r="D47" i="3"/>
  <c r="D48" i="3"/>
  <c r="D39" i="3"/>
  <c r="G5" i="2"/>
  <c r="I7" i="2" s="1"/>
  <c r="G6" i="2"/>
  <c r="I8" i="2" s="1"/>
  <c r="G7" i="2"/>
  <c r="I9" i="2" s="1"/>
  <c r="J9" i="2" s="1"/>
  <c r="G8" i="2"/>
  <c r="H9" i="2" s="1"/>
  <c r="G9" i="2"/>
  <c r="G4" i="2"/>
  <c r="F13" i="1"/>
  <c r="F11" i="1"/>
  <c r="H11" i="1"/>
  <c r="D27" i="3"/>
  <c r="D28" i="3"/>
  <c r="D29" i="3"/>
  <c r="I10" i="3"/>
  <c r="I11" i="3"/>
  <c r="I12" i="3"/>
  <c r="I13" i="3"/>
  <c r="I14" i="3"/>
  <c r="I15" i="3"/>
  <c r="I16" i="3"/>
  <c r="I17" i="3"/>
  <c r="I9" i="3"/>
  <c r="H8" i="3"/>
  <c r="H9" i="3"/>
  <c r="H10" i="3"/>
  <c r="H11" i="3"/>
  <c r="H12" i="3"/>
  <c r="H13" i="3"/>
  <c r="H14" i="3"/>
  <c r="H15" i="3"/>
  <c r="H16" i="3"/>
  <c r="H17" i="3"/>
  <c r="H7" i="3"/>
  <c r="F6" i="1"/>
  <c r="F7" i="1"/>
  <c r="F8" i="1"/>
  <c r="F9" i="1"/>
  <c r="F5" i="1"/>
  <c r="G7" i="1"/>
  <c r="H7" i="1" s="1"/>
  <c r="G8" i="1"/>
  <c r="H8" i="1" s="1"/>
  <c r="G9" i="1"/>
  <c r="H9" i="1" s="1"/>
  <c r="G6" i="1"/>
  <c r="C12" i="8" l="1"/>
  <c r="I20" i="5"/>
  <c r="M20" i="5"/>
  <c r="N20" i="5"/>
  <c r="L20" i="5"/>
  <c r="J11" i="5"/>
  <c r="J18" i="5" s="1"/>
  <c r="J20" i="5" s="1"/>
  <c r="J22" i="5" s="1"/>
  <c r="J28" i="5" s="1"/>
  <c r="Q11" i="5"/>
  <c r="Q18" i="5" s="1"/>
  <c r="Q20" i="5" s="1"/>
  <c r="Q22" i="5" s="1"/>
  <c r="Q28" i="5" s="1"/>
  <c r="I11" i="5"/>
  <c r="I18" i="5" s="1"/>
  <c r="P11" i="5"/>
  <c r="P18" i="5" s="1"/>
  <c r="P20" i="5" s="1"/>
  <c r="P22" i="5" s="1"/>
  <c r="P28" i="5" s="1"/>
  <c r="G11" i="5"/>
  <c r="G18" i="5" s="1"/>
  <c r="G20" i="5" s="1"/>
  <c r="G26" i="5" s="1"/>
  <c r="K11" i="5"/>
  <c r="K18" i="5" s="1"/>
  <c r="K20" i="5" s="1"/>
  <c r="K22" i="5" s="1"/>
  <c r="K28" i="5" s="1"/>
  <c r="O11" i="5"/>
  <c r="O18" i="5" s="1"/>
  <c r="O20" i="5" s="1"/>
  <c r="O22" i="5" s="1"/>
  <c r="O28" i="5" s="1"/>
  <c r="N11" i="5"/>
  <c r="N18" i="5" s="1"/>
  <c r="H14" i="5"/>
  <c r="H9" i="5"/>
  <c r="H16" i="5" s="1"/>
  <c r="H11" i="5"/>
  <c r="H18" i="5" s="1"/>
  <c r="H8" i="5"/>
  <c r="H15" i="5" s="1"/>
  <c r="D50" i="3"/>
  <c r="H19" i="3"/>
  <c r="H13" i="2"/>
  <c r="H6" i="2"/>
  <c r="H8" i="2"/>
  <c r="H7" i="2"/>
  <c r="J8" i="2"/>
  <c r="I6" i="2"/>
  <c r="J7" i="2" s="1"/>
  <c r="H5" i="2"/>
  <c r="H11" i="2" s="1"/>
  <c r="D33" i="3"/>
  <c r="C76" i="3" s="1"/>
  <c r="I19" i="3"/>
  <c r="I21" i="3" s="1"/>
  <c r="C75" i="3" s="1"/>
  <c r="E76" i="3" s="1"/>
  <c r="B87" i="3" s="1"/>
  <c r="L22" i="5" l="1"/>
  <c r="L28" i="5" s="1"/>
  <c r="N22" i="5"/>
  <c r="N28" i="5" s="1"/>
  <c r="M22" i="5"/>
  <c r="M28" i="5" s="1"/>
  <c r="I22" i="5"/>
  <c r="I28" i="5" s="1"/>
  <c r="H20" i="5"/>
  <c r="H22" i="5" s="1"/>
  <c r="H28" i="5" s="1"/>
  <c r="J11" i="2"/>
</calcChain>
</file>

<file path=xl/sharedStrings.xml><?xml version="1.0" encoding="utf-8"?>
<sst xmlns="http://schemas.openxmlformats.org/spreadsheetml/2006/main" count="143" uniqueCount="108">
  <si>
    <t>cal_yr</t>
  </si>
  <si>
    <t>spells</t>
  </si>
  <si>
    <t>total_los</t>
  </si>
  <si>
    <t>avg_los</t>
  </si>
  <si>
    <t>change_ann</t>
  </si>
  <si>
    <t>change_roll</t>
  </si>
  <si>
    <t>roll_avg</t>
  </si>
  <si>
    <t>dd_spells</t>
  </si>
  <si>
    <t>total_dd_los</t>
  </si>
  <si>
    <t>avg_dd_los</t>
  </si>
  <si>
    <t>dd_rate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</si>
  <si>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</si>
  <si>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</si>
  <si>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</si>
  <si>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</si>
  <si>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</si>
  <si>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</si>
  <si>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</si>
  <si>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</si>
  <si>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</si>
  <si>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</si>
  <si>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</si>
  <si>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2023/24</t>
  </si>
  <si>
    <t>Prevalence of SMI in general practice (QOF)</t>
  </si>
  <si>
    <t>year</t>
  </si>
  <si>
    <t>count</t>
  </si>
  <si>
    <t>prev</t>
  </si>
  <si>
    <t>lcl</t>
  </si>
  <si>
    <t>ucl</t>
  </si>
  <si>
    <t>year on year change</t>
  </si>
  <si>
    <t>-</t>
  </si>
  <si>
    <t>3 yr rolling change</t>
  </si>
  <si>
    <t>average</t>
  </si>
  <si>
    <t>ann. change</t>
  </si>
  <si>
    <t>Prevalence of drug dependence (APMS)</t>
  </si>
  <si>
    <t>value</t>
  </si>
  <si>
    <t>3 yr cumulative</t>
  </si>
  <si>
    <t>3 year cumulative</t>
  </si>
  <si>
    <t>total change</t>
  </si>
  <si>
    <t>Assumption - that trends between 1993 and 2014 have continued at same rate</t>
  </si>
  <si>
    <t>Assumption - that trends between 2012/13 and 2023/24 will continue at same rate</t>
  </si>
  <si>
    <t>Average</t>
  </si>
  <si>
    <t>Total period annualised</t>
  </si>
  <si>
    <t>total period annualised</t>
  </si>
  <si>
    <t>incidence rate (gen. anxiety)</t>
  </si>
  <si>
    <t>average change</t>
  </si>
  <si>
    <t>Assumption - that severe anxiety as % of this pool has remained constant</t>
  </si>
  <si>
    <t>Assumption - the rate of change seen here has persisted over time since</t>
  </si>
  <si>
    <t>3-year cumulative</t>
  </si>
  <si>
    <t>Prevalence of anxiety (https://pmc.ncbi.nlm.nih.gov/articles/PMC8246441/)</t>
  </si>
  <si>
    <t>Assumption - that likelihood of admission for this group has remained constant</t>
  </si>
  <si>
    <t>PTSD prevalence (APMS and https://pubmed.ncbi.nlm.nih.gov/31268218/)</t>
  </si>
  <si>
    <t>SUMMARY:</t>
  </si>
  <si>
    <t>SMI and psychosis</t>
  </si>
  <si>
    <t>Condition</t>
  </si>
  <si>
    <t>3yr change</t>
  </si>
  <si>
    <t>Drug dependence</t>
  </si>
  <si>
    <t>Severe Anxiety</t>
  </si>
  <si>
    <t>PTSD</t>
  </si>
  <si>
    <t>Assumed % of all admissions for the above conditions</t>
  </si>
  <si>
    <t>Assumed level of co-morbidity (i.e double-count)</t>
  </si>
  <si>
    <t>Weighted estimate of incidence impacts:</t>
  </si>
  <si>
    <t>Average increase</t>
  </si>
  <si>
    <t>LTP investment funding (billions)</t>
  </si>
  <si>
    <t>Crisis café</t>
  </si>
  <si>
    <t>Impact of initiatives on admission reduction</t>
  </si>
  <si>
    <t>Crisis line 24/7</t>
  </si>
  <si>
    <t>https://pmc.ncbi.nlm.nih.gov/articles/PMC10753954/</t>
  </si>
  <si>
    <t>https://www.kingsfund.org.uk/insight-and-analysis/long-reads/mental-health-360-funding-costs</t>
  </si>
  <si>
    <t>Additional investment %</t>
  </si>
  <si>
    <t>Weighted impact estimate (50/50)</t>
  </si>
  <si>
    <t>Assumptions:</t>
  </si>
  <si>
    <t>Weighted impact of additional investment</t>
  </si>
  <si>
    <t>All investment monies go to these initiatives</t>
  </si>
  <si>
    <t>Admissions are evenly distributed by the conditions that these initiatives target.</t>
  </si>
  <si>
    <t>Total estimated spend on bed based MH in England (billion)</t>
  </si>
  <si>
    <t>Adjustment for slowing rates of investment</t>
  </si>
  <si>
    <t>(source: NAO)</t>
  </si>
  <si>
    <t>Impact is realised over next 3 years (evidence not clear on diffusion)</t>
  </si>
  <si>
    <t>https://www.rcpsych.ac.uk/news-and-features/latest-news/detail/2022/10/10/hidden-waits-force-more-than-three-quarters-of-mental-health-patients-to-seek-help-from-emergency-services</t>
  </si>
  <si>
    <t xml:space="preserve">% on waiting lists seeking help </t>
  </si>
  <si>
    <t>A&amp;E</t>
  </si>
  <si>
    <t>Crisis line</t>
  </si>
  <si>
    <t>% admitted after contact</t>
  </si>
  <si>
    <t>arbitrary</t>
  </si>
  <si>
    <t>Assumption:</t>
  </si>
  <si>
    <t>Admission likelihood evenly distributed across all people on waiting list</t>
  </si>
  <si>
    <t>Proportionate impact on support seeking relative to reduction in waiting list</t>
  </si>
  <si>
    <t>Totals</t>
  </si>
  <si>
    <t>% change</t>
  </si>
  <si>
    <t>Other</t>
  </si>
  <si>
    <t>Current</t>
  </si>
  <si>
    <t>Reductions in waiting list implemented over 3 years period</t>
  </si>
  <si>
    <t>Admission rates after contact remain the same over time</t>
  </si>
  <si>
    <t>Abs. change</t>
  </si>
  <si>
    <t>Est. total admissions</t>
  </si>
  <si>
    <t>Hypothetical waiting list size</t>
  </si>
  <si>
    <t xml:space="preserve"> Typical % all admissions from emergency sources (MHSDS, 2023/24)</t>
  </si>
  <si>
    <t>Potential interventions and impact:</t>
  </si>
  <si>
    <t>Impact estimate</t>
  </si>
  <si>
    <t>unweighted average</t>
  </si>
  <si>
    <t>A</t>
  </si>
  <si>
    <t>B</t>
  </si>
  <si>
    <t>C</t>
  </si>
  <si>
    <t>D</t>
  </si>
  <si>
    <t>E</t>
  </si>
  <si>
    <t>F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</si>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</sst>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3" fontId="0" fillId="0" borderId="0" xfId="0" applyNumberFormat="1"/>
    <xf numFmtId="10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2" fillId="0" borderId="0" xfId="0" applyFont="1"/>
    <xf numFmtId="0" fontId="3" fillId="0" borderId="0" xfId="0" applyFont="1"/>
    <xf numFmtId="10" fontId="2" fillId="0" borderId="0" xfId="1" applyNumberFormat="1" applyFont="1"/>
    <xf numFmtId="164" fontId="0" fillId="0" borderId="0" xfId="0" applyNumberFormat="1"/>
    <xf numFmtId="9" fontId="0" fillId="0" borderId="0" xfId="0" applyNumberFormat="1"/>
    <xf numFmtId="10" fontId="2" fillId="0" borderId="0" xfId="0" applyNumberFormat="1" applyFont="1"/>
    <xf numFmtId="0" fontId="4" fillId="0" borderId="0" xfId="2"/>
    <xf numFmtId="0" fontId="5" fillId="0" borderId="0" xfId="0" applyFont="1"/>
    <xf numFmtId="0" fontId="0" fillId="0" borderId="0" xfId="0" applyAlignment="1">
      <alignment horizontal="left"/>
    </xf>
    <xf numFmtId="10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applyAlignment="1">
      <alignment horizontal="right"/>
    </xf>
    <xf numFmtId="164" fontId="2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kingsfund.org.uk/insight-and-analysis/long-reads/mental-health-360-funding-costs" TargetMode="External"/><Relationship Id="rId1" Type="http://schemas.openxmlformats.org/officeDocument/2006/relationships/hyperlink" Target="https://pmc.ncbi.nlm.nih.gov/articles/PMC1075395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D3F2-EAE6-4B0D-9D0F-664241EC7893}">
  <dimension ref="B3:L87"/>
  <sheetViews>
    <sheetView tabSelected="1" workbookViewId="0">
      <selection activeCell="H3" sqref="H3"/>
    </sheetView>
  </sheetViews>
  <sheetFormatPr defaultRowHeight="14.5" x14ac:dyDescent="0.35"/>
  <cols>
    <col min="2" max="2" width="8.7265625" customWidth="1"/>
    <col min="8" max="9" width="8.7265625" customWidth="1"/>
  </cols>
  <sheetData>
    <row r="3" spans="2:12" x14ac:dyDescent="0.35">
      <c r="B3" s="7" t="s">
        <v>23</v>
      </c>
    </row>
    <row r="5" spans="2:12" x14ac:dyDescent="0.35">
      <c r="B5" t="s">
        <v>24</v>
      </c>
      <c r="C5" t="s">
        <v>25</v>
      </c>
      <c r="D5" t="s">
        <v>26</v>
      </c>
      <c r="E5" t="s">
        <v>27</v>
      </c>
      <c r="F5" t="s">
        <v>28</v>
      </c>
      <c r="H5" t="s">
        <v>29</v>
      </c>
      <c r="I5" t="s">
        <v>31</v>
      </c>
    </row>
    <row r="6" spans="2:12" x14ac:dyDescent="0.35">
      <c r="B6" t="s">
        <v>11</v>
      </c>
      <c r="C6" s="2">
        <v>470971</v>
      </c>
      <c r="D6" s="3">
        <v>8.3999999999999995E-3</v>
      </c>
      <c r="E6" s="3">
        <v>8.3999999999999995E-3</v>
      </c>
      <c r="F6" s="3">
        <v>8.3999999999999995E-3</v>
      </c>
      <c r="H6" t="s">
        <v>30</v>
      </c>
      <c r="I6" t="s">
        <v>30</v>
      </c>
      <c r="L6" s="13" t="s">
        <v>40</v>
      </c>
    </row>
    <row r="7" spans="2:12" x14ac:dyDescent="0.35">
      <c r="B7" t="s">
        <v>12</v>
      </c>
      <c r="C7" s="2">
        <v>483933</v>
      </c>
      <c r="D7" s="3">
        <v>8.6E-3</v>
      </c>
      <c r="E7" s="3">
        <v>8.6E-3</v>
      </c>
      <c r="F7" s="3">
        <v>8.6E-3</v>
      </c>
      <c r="H7" s="3">
        <f>D7/D6-1</f>
        <v>2.3809523809523947E-2</v>
      </c>
      <c r="I7" t="s">
        <v>30</v>
      </c>
      <c r="L7" s="13" t="s">
        <v>50</v>
      </c>
    </row>
    <row r="8" spans="2:12" x14ac:dyDescent="0.35">
      <c r="B8" t="s">
        <v>13</v>
      </c>
      <c r="C8" s="2">
        <v>500451</v>
      </c>
      <c r="D8" s="3">
        <v>8.8000000000000005E-3</v>
      </c>
      <c r="E8" s="3">
        <v>8.8000000000000005E-3</v>
      </c>
      <c r="F8" s="3">
        <v>8.8000000000000005E-3</v>
      </c>
      <c r="H8" s="3">
        <f t="shared" ref="H8:H17" si="0">D8/D7-1</f>
        <v>2.3255813953488413E-2</v>
      </c>
      <c r="I8" t="s">
        <v>30</v>
      </c>
    </row>
    <row r="9" spans="2:12" x14ac:dyDescent="0.35">
      <c r="B9" t="s">
        <v>14</v>
      </c>
      <c r="C9" s="2">
        <v>518320</v>
      </c>
      <c r="D9" s="3">
        <v>8.9999999999999993E-3</v>
      </c>
      <c r="E9" s="3">
        <v>8.9999999999999993E-3</v>
      </c>
      <c r="F9" s="3">
        <v>8.9999999999999993E-3</v>
      </c>
      <c r="H9" s="3">
        <f t="shared" si="0"/>
        <v>2.2727272727272485E-2</v>
      </c>
      <c r="I9" s="3">
        <f>SUM(D7:D9)/SUM(D6:D8)-1</f>
        <v>2.3255813953488191E-2</v>
      </c>
    </row>
    <row r="10" spans="2:12" x14ac:dyDescent="0.35">
      <c r="B10" t="s">
        <v>15</v>
      </c>
      <c r="C10" s="2">
        <v>534431</v>
      </c>
      <c r="D10" s="3">
        <v>9.1999999999999998E-3</v>
      </c>
      <c r="E10" s="3">
        <v>9.1999999999999998E-3</v>
      </c>
      <c r="F10" s="3">
        <v>9.1999999999999998E-3</v>
      </c>
      <c r="H10" s="3">
        <f t="shared" si="0"/>
        <v>2.2222222222222365E-2</v>
      </c>
      <c r="I10" s="3">
        <f t="shared" ref="I10:I17" si="1">SUM(D8:D10)/SUM(D7:D9)-1</f>
        <v>2.2727272727272707E-2</v>
      </c>
    </row>
    <row r="11" spans="2:12" x14ac:dyDescent="0.35">
      <c r="B11" t="s">
        <v>16</v>
      </c>
      <c r="C11" s="2">
        <v>550918</v>
      </c>
      <c r="D11" s="3">
        <v>9.4000000000000004E-3</v>
      </c>
      <c r="E11" s="3">
        <v>9.4000000000000004E-3</v>
      </c>
      <c r="F11" s="3">
        <v>9.4999999999999998E-3</v>
      </c>
      <c r="H11" s="3">
        <f t="shared" si="0"/>
        <v>2.1739130434782705E-2</v>
      </c>
      <c r="I11" s="3">
        <f t="shared" si="1"/>
        <v>2.2222222222222143E-2</v>
      </c>
    </row>
    <row r="12" spans="2:12" x14ac:dyDescent="0.35">
      <c r="B12" t="s">
        <v>17</v>
      </c>
      <c r="C12" s="2">
        <v>570675</v>
      </c>
      <c r="D12" s="3">
        <v>9.5999999999999992E-3</v>
      </c>
      <c r="E12" s="3">
        <v>9.5999999999999992E-3</v>
      </c>
      <c r="F12" s="3">
        <v>9.5999999999999992E-3</v>
      </c>
      <c r="H12" s="3">
        <f t="shared" si="0"/>
        <v>2.1276595744680771E-2</v>
      </c>
      <c r="I12" s="3">
        <f t="shared" si="1"/>
        <v>2.1739130434782483E-2</v>
      </c>
    </row>
    <row r="13" spans="2:12" x14ac:dyDescent="0.35">
      <c r="B13" t="s">
        <v>18</v>
      </c>
      <c r="C13" s="2">
        <v>562831</v>
      </c>
      <c r="D13" s="3">
        <v>9.2999999999999992E-3</v>
      </c>
      <c r="E13" s="3">
        <v>9.2999999999999992E-3</v>
      </c>
      <c r="F13" s="3">
        <v>9.2999999999999992E-3</v>
      </c>
      <c r="H13" s="3">
        <f t="shared" si="0"/>
        <v>-3.125E-2</v>
      </c>
      <c r="I13" s="3">
        <f t="shared" si="1"/>
        <v>3.5460992907803135E-3</v>
      </c>
    </row>
    <row r="14" spans="2:12" x14ac:dyDescent="0.35">
      <c r="B14" t="s">
        <v>19</v>
      </c>
      <c r="C14" s="2">
        <v>574227</v>
      </c>
      <c r="D14" s="3">
        <v>9.4999999999999998E-3</v>
      </c>
      <c r="E14" s="3">
        <v>9.4000000000000004E-3</v>
      </c>
      <c r="F14" s="3">
        <v>9.4999999999999998E-3</v>
      </c>
      <c r="H14" s="3">
        <f t="shared" si="0"/>
        <v>2.1505376344086002E-2</v>
      </c>
      <c r="I14" s="3">
        <f t="shared" si="1"/>
        <v>3.5335689045936647E-3</v>
      </c>
    </row>
    <row r="15" spans="2:12" x14ac:dyDescent="0.35">
      <c r="B15" t="s">
        <v>20</v>
      </c>
      <c r="C15" s="2">
        <v>587025</v>
      </c>
      <c r="D15" s="3">
        <v>9.4999999999999998E-3</v>
      </c>
      <c r="E15" s="3">
        <v>9.4999999999999998E-3</v>
      </c>
      <c r="F15" s="3">
        <v>9.5999999999999992E-3</v>
      </c>
      <c r="H15" s="3">
        <f t="shared" si="0"/>
        <v>0</v>
      </c>
      <c r="I15" s="3">
        <f t="shared" si="1"/>
        <v>-3.5211267605634866E-3</v>
      </c>
    </row>
    <row r="16" spans="2:12" x14ac:dyDescent="0.35">
      <c r="B16" t="s">
        <v>21</v>
      </c>
      <c r="C16" s="2">
        <v>621898</v>
      </c>
      <c r="D16" s="3">
        <v>0.01</v>
      </c>
      <c r="E16" s="3">
        <v>9.9000000000000008E-3</v>
      </c>
      <c r="F16" s="3">
        <v>0.01</v>
      </c>
      <c r="H16" s="3">
        <f t="shared" si="0"/>
        <v>5.2631578947368363E-2</v>
      </c>
      <c r="I16" s="3">
        <f t="shared" si="1"/>
        <v>2.4734982332155431E-2</v>
      </c>
    </row>
    <row r="17" spans="2:9" x14ac:dyDescent="0.35">
      <c r="B17" t="s">
        <v>22</v>
      </c>
      <c r="C17" s="2">
        <v>608896</v>
      </c>
      <c r="D17" s="3">
        <v>9.5999999999999992E-3</v>
      </c>
      <c r="E17" s="3">
        <v>9.5999999999999992E-3</v>
      </c>
      <c r="F17" s="3">
        <v>9.7000000000000003E-3</v>
      </c>
      <c r="H17" s="3">
        <f t="shared" si="0"/>
        <v>-4.0000000000000147E-2</v>
      </c>
      <c r="I17" s="3">
        <f t="shared" si="1"/>
        <v>3.4482758620690834E-3</v>
      </c>
    </row>
    <row r="19" spans="2:9" x14ac:dyDescent="0.35">
      <c r="G19" t="s">
        <v>32</v>
      </c>
      <c r="H19" s="3">
        <f>AVERAGE(H7:H17)</f>
        <v>1.253795583485681E-2</v>
      </c>
      <c r="I19" s="3">
        <f>AVERAGE(I9:I17)</f>
        <v>1.3520693218533393E-2</v>
      </c>
    </row>
    <row r="21" spans="2:9" x14ac:dyDescent="0.35">
      <c r="H21" t="s">
        <v>36</v>
      </c>
      <c r="I21" s="8">
        <f>I19*3</f>
        <v>4.0562079655600179E-2</v>
      </c>
    </row>
    <row r="23" spans="2:9" x14ac:dyDescent="0.35">
      <c r="B23" s="7" t="s">
        <v>34</v>
      </c>
    </row>
    <row r="25" spans="2:9" x14ac:dyDescent="0.35">
      <c r="B25" t="s">
        <v>24</v>
      </c>
      <c r="C25" t="s">
        <v>35</v>
      </c>
      <c r="D25" t="s">
        <v>33</v>
      </c>
    </row>
    <row r="26" spans="2:9" x14ac:dyDescent="0.35">
      <c r="B26">
        <v>1993</v>
      </c>
      <c r="C26">
        <v>2.2000000000000002</v>
      </c>
      <c r="F26" s="13" t="s">
        <v>39</v>
      </c>
    </row>
    <row r="27" spans="2:9" x14ac:dyDescent="0.35">
      <c r="B27">
        <v>2000</v>
      </c>
      <c r="C27">
        <v>4</v>
      </c>
      <c r="D27" s="5">
        <f>(C27/C26-1)/7</f>
        <v>0.11688311688311688</v>
      </c>
      <c r="F27" s="13" t="s">
        <v>50</v>
      </c>
    </row>
    <row r="28" spans="2:9" x14ac:dyDescent="0.35">
      <c r="B28">
        <v>2007</v>
      </c>
      <c r="C28">
        <v>4.0999999999999996</v>
      </c>
      <c r="D28" s="5">
        <f t="shared" ref="D28:D29" si="2">(C28/C27-1)/7</f>
        <v>3.5714285714285587E-3</v>
      </c>
    </row>
    <row r="29" spans="2:9" x14ac:dyDescent="0.35">
      <c r="B29">
        <v>2014</v>
      </c>
      <c r="C29">
        <v>3.8</v>
      </c>
      <c r="D29" s="5">
        <f t="shared" si="2"/>
        <v>-1.0452961672473862E-2</v>
      </c>
    </row>
    <row r="30" spans="2:9" x14ac:dyDescent="0.35">
      <c r="D30" s="5"/>
    </row>
    <row r="31" spans="2:9" x14ac:dyDescent="0.35">
      <c r="C31" t="s">
        <v>38</v>
      </c>
      <c r="D31" s="5">
        <f>(C29/C26-1)/21</f>
        <v>3.4632034632034625E-2</v>
      </c>
    </row>
    <row r="33" spans="2:6" x14ac:dyDescent="0.35">
      <c r="C33" t="s">
        <v>37</v>
      </c>
      <c r="D33" s="8">
        <f>D31*3</f>
        <v>0.10389610389610388</v>
      </c>
    </row>
    <row r="35" spans="2:6" x14ac:dyDescent="0.35">
      <c r="B35" s="6" t="s">
        <v>49</v>
      </c>
    </row>
    <row r="37" spans="2:6" x14ac:dyDescent="0.35">
      <c r="B37" t="s">
        <v>24</v>
      </c>
      <c r="C37" t="s">
        <v>44</v>
      </c>
      <c r="D37" t="s">
        <v>33</v>
      </c>
    </row>
    <row r="38" spans="2:6" x14ac:dyDescent="0.35">
      <c r="B38">
        <v>2008</v>
      </c>
      <c r="C38">
        <v>10.1</v>
      </c>
      <c r="D38" t="s">
        <v>30</v>
      </c>
      <c r="F38" s="13" t="s">
        <v>46</v>
      </c>
    </row>
    <row r="39" spans="2:6" x14ac:dyDescent="0.35">
      <c r="B39">
        <v>2009</v>
      </c>
      <c r="C39">
        <v>10.7</v>
      </c>
      <c r="D39" s="5">
        <f>C39/C38-1</f>
        <v>5.9405940594059459E-2</v>
      </c>
      <c r="F39" s="13" t="s">
        <v>47</v>
      </c>
    </row>
    <row r="40" spans="2:6" x14ac:dyDescent="0.35">
      <c r="B40">
        <v>2010</v>
      </c>
      <c r="C40">
        <v>10.3</v>
      </c>
      <c r="D40" s="5">
        <f t="shared" ref="D40:D48" si="3">C40/C39-1</f>
        <v>-3.7383177570093351E-2</v>
      </c>
      <c r="F40" s="13" t="s">
        <v>50</v>
      </c>
    </row>
    <row r="41" spans="2:6" x14ac:dyDescent="0.35">
      <c r="B41">
        <v>2011</v>
      </c>
      <c r="C41">
        <v>10.3</v>
      </c>
      <c r="D41" s="5">
        <f t="shared" si="3"/>
        <v>0</v>
      </c>
    </row>
    <row r="42" spans="2:6" x14ac:dyDescent="0.35">
      <c r="B42">
        <v>2012</v>
      </c>
      <c r="C42">
        <v>10.8</v>
      </c>
      <c r="D42" s="5">
        <f t="shared" si="3"/>
        <v>4.8543689320388328E-2</v>
      </c>
    </row>
    <row r="43" spans="2:6" x14ac:dyDescent="0.35">
      <c r="B43">
        <v>2013</v>
      </c>
      <c r="C43">
        <v>10.9</v>
      </c>
      <c r="D43" s="5">
        <f t="shared" si="3"/>
        <v>9.2592592592593004E-3</v>
      </c>
    </row>
    <row r="44" spans="2:6" x14ac:dyDescent="0.35">
      <c r="B44">
        <v>2014</v>
      </c>
      <c r="C44">
        <v>11.2</v>
      </c>
      <c r="D44" s="5">
        <f t="shared" si="3"/>
        <v>2.7522935779816349E-2</v>
      </c>
    </row>
    <row r="45" spans="2:6" x14ac:dyDescent="0.35">
      <c r="B45">
        <v>2015</v>
      </c>
      <c r="C45">
        <v>12</v>
      </c>
      <c r="D45" s="5">
        <f t="shared" si="3"/>
        <v>7.1428571428571397E-2</v>
      </c>
    </row>
    <row r="46" spans="2:6" x14ac:dyDescent="0.35">
      <c r="B46">
        <v>2016</v>
      </c>
      <c r="C46">
        <v>13.8</v>
      </c>
      <c r="D46" s="5">
        <f t="shared" si="3"/>
        <v>0.15000000000000013</v>
      </c>
    </row>
    <row r="47" spans="2:6" x14ac:dyDescent="0.35">
      <c r="B47">
        <v>2017</v>
      </c>
      <c r="C47">
        <v>14.4</v>
      </c>
      <c r="D47" s="5">
        <f t="shared" si="3"/>
        <v>4.3478260869565188E-2</v>
      </c>
    </row>
    <row r="48" spans="2:6" x14ac:dyDescent="0.35">
      <c r="B48">
        <v>2018</v>
      </c>
      <c r="C48">
        <v>15.3</v>
      </c>
      <c r="D48" s="5">
        <f t="shared" si="3"/>
        <v>6.25E-2</v>
      </c>
    </row>
    <row r="50" spans="2:6" x14ac:dyDescent="0.35">
      <c r="C50" t="s">
        <v>45</v>
      </c>
      <c r="D50" s="3">
        <f>AVERAGE(D39:D48)</f>
        <v>4.3475547968156683E-2</v>
      </c>
    </row>
    <row r="52" spans="2:6" x14ac:dyDescent="0.35">
      <c r="C52" t="s">
        <v>43</v>
      </c>
      <c r="D52" s="5">
        <f>(C48/C38-1)/10</f>
        <v>5.1485148514851489E-2</v>
      </c>
    </row>
    <row r="54" spans="2:6" x14ac:dyDescent="0.35">
      <c r="C54" t="s">
        <v>48</v>
      </c>
      <c r="D54" s="8">
        <f>D52*3</f>
        <v>0.15445544554455448</v>
      </c>
    </row>
    <row r="57" spans="2:6" x14ac:dyDescent="0.35">
      <c r="B57" t="s">
        <v>51</v>
      </c>
    </row>
    <row r="59" spans="2:6" x14ac:dyDescent="0.35">
      <c r="B59" t="s">
        <v>24</v>
      </c>
      <c r="C59" t="s">
        <v>35</v>
      </c>
      <c r="D59" t="s">
        <v>33</v>
      </c>
    </row>
    <row r="60" spans="2:6" x14ac:dyDescent="0.35">
      <c r="B60">
        <v>1993</v>
      </c>
      <c r="C60" t="s">
        <v>30</v>
      </c>
      <c r="D60" t="s">
        <v>30</v>
      </c>
      <c r="F60" s="13" t="s">
        <v>47</v>
      </c>
    </row>
    <row r="61" spans="2:6" x14ac:dyDescent="0.35">
      <c r="B61">
        <v>2000</v>
      </c>
      <c r="C61">
        <v>3</v>
      </c>
      <c r="D61" s="5" t="s">
        <v>30</v>
      </c>
      <c r="F61" s="13" t="s">
        <v>50</v>
      </c>
    </row>
    <row r="62" spans="2:6" x14ac:dyDescent="0.35">
      <c r="B62">
        <v>2007</v>
      </c>
      <c r="C62">
        <v>3</v>
      </c>
      <c r="D62" s="5">
        <f t="shared" ref="D62:D64" si="4">(C62/C61-1)/7</f>
        <v>0</v>
      </c>
    </row>
    <row r="63" spans="2:6" x14ac:dyDescent="0.35">
      <c r="B63">
        <v>2014</v>
      </c>
      <c r="C63">
        <v>4.4000000000000004</v>
      </c>
      <c r="D63" s="5">
        <f t="shared" si="4"/>
        <v>6.666666666666668E-2</v>
      </c>
    </row>
    <row r="64" spans="2:6" x14ac:dyDescent="0.35">
      <c r="B64">
        <v>2019</v>
      </c>
      <c r="C64">
        <v>5.3</v>
      </c>
      <c r="D64" s="5">
        <f t="shared" si="4"/>
        <v>2.9220779220779196E-2</v>
      </c>
    </row>
    <row r="65" spans="2:5" x14ac:dyDescent="0.35">
      <c r="D65" s="5"/>
    </row>
    <row r="66" spans="2:5" x14ac:dyDescent="0.35">
      <c r="C66" t="s">
        <v>43</v>
      </c>
      <c r="D66" s="5">
        <f>(C64/C61-1)/18</f>
        <v>4.2592592592592592E-2</v>
      </c>
    </row>
    <row r="68" spans="2:5" x14ac:dyDescent="0.35">
      <c r="C68" t="s">
        <v>37</v>
      </c>
      <c r="D68" s="8">
        <f>D66*3</f>
        <v>0.12777777777777777</v>
      </c>
    </row>
    <row r="72" spans="2:5" x14ac:dyDescent="0.35">
      <c r="B72" t="s">
        <v>52</v>
      </c>
    </row>
    <row r="74" spans="2:5" x14ac:dyDescent="0.35">
      <c r="B74" t="s">
        <v>54</v>
      </c>
      <c r="C74" t="s">
        <v>55</v>
      </c>
    </row>
    <row r="75" spans="2:5" x14ac:dyDescent="0.35">
      <c r="B75" t="s">
        <v>53</v>
      </c>
      <c r="C75" s="3">
        <f>I21</f>
        <v>4.0562079655600179E-2</v>
      </c>
      <c r="E75" t="s">
        <v>62</v>
      </c>
    </row>
    <row r="76" spans="2:5" x14ac:dyDescent="0.35">
      <c r="B76" t="s">
        <v>56</v>
      </c>
      <c r="C76" s="3">
        <f>D33</f>
        <v>0.10389610389610388</v>
      </c>
      <c r="E76" s="3">
        <f>AVERAGE(C75:C78)</f>
        <v>0.10667285171850907</v>
      </c>
    </row>
    <row r="77" spans="2:5" x14ac:dyDescent="0.35">
      <c r="B77" t="s">
        <v>57</v>
      </c>
      <c r="C77" s="3">
        <f>D54</f>
        <v>0.15445544554455448</v>
      </c>
    </row>
    <row r="78" spans="2:5" x14ac:dyDescent="0.35">
      <c r="B78" t="s">
        <v>58</v>
      </c>
      <c r="C78" s="3">
        <f>D68</f>
        <v>0.12777777777777777</v>
      </c>
    </row>
    <row r="80" spans="2:5" x14ac:dyDescent="0.35">
      <c r="B80" t="s">
        <v>59</v>
      </c>
    </row>
    <row r="81" spans="2:2" x14ac:dyDescent="0.35">
      <c r="B81" s="10">
        <v>0.66</v>
      </c>
    </row>
    <row r="83" spans="2:2" x14ac:dyDescent="0.35">
      <c r="B83" t="s">
        <v>60</v>
      </c>
    </row>
    <row r="84" spans="2:2" x14ac:dyDescent="0.35">
      <c r="B84" s="10">
        <v>0.5</v>
      </c>
    </row>
    <row r="86" spans="2:2" x14ac:dyDescent="0.35">
      <c r="B86" s="6" t="s">
        <v>61</v>
      </c>
    </row>
    <row r="87" spans="2:2" x14ac:dyDescent="0.35">
      <c r="B87" s="11">
        <f>E76*B81*B84</f>
        <v>3.5202041067107996E-2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122-0EC4-4C81-BA4F-611E0777F51D}">
  <dimension ref="B3:H13"/>
  <sheetViews>
    <sheetView workbookViewId="0">
      <selection activeCell="E13" sqref="E13"/>
    </sheetView>
  </sheetViews>
  <sheetFormatPr defaultRowHeight="14.5" x14ac:dyDescent="0.35"/>
  <sheetData>
    <row r="3" spans="2:8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6</v>
      </c>
      <c r="H3" t="s">
        <v>5</v>
      </c>
    </row>
    <row r="4" spans="2:8" x14ac:dyDescent="0.35">
      <c r="B4">
        <v>2017</v>
      </c>
      <c r="C4">
        <v>116926</v>
      </c>
      <c r="D4">
        <v>13724825</v>
      </c>
      <c r="E4">
        <v>117.380437199596</v>
      </c>
      <c r="F4" t="s">
        <v>30</v>
      </c>
    </row>
    <row r="5" spans="2:8" x14ac:dyDescent="0.35">
      <c r="B5">
        <v>2018</v>
      </c>
      <c r="C5">
        <v>119851</v>
      </c>
      <c r="D5">
        <v>12819625</v>
      </c>
      <c r="E5">
        <v>106.96302075076601</v>
      </c>
      <c r="F5" s="5">
        <f>(E5/E4)-1</f>
        <v>-8.8749170623006135E-2</v>
      </c>
    </row>
    <row r="6" spans="2:8" x14ac:dyDescent="0.35">
      <c r="B6">
        <v>2019</v>
      </c>
      <c r="C6">
        <v>124734</v>
      </c>
      <c r="D6">
        <v>16530780</v>
      </c>
      <c r="E6">
        <v>132.528260137573</v>
      </c>
      <c r="F6" s="5">
        <f t="shared" ref="F6:F9" si="0">(E6/E5)-1</f>
        <v>0.23901007289590703</v>
      </c>
      <c r="G6">
        <f>AVERAGE(E4:E6)</f>
        <v>118.957239362645</v>
      </c>
      <c r="H6" t="s">
        <v>30</v>
      </c>
    </row>
    <row r="7" spans="2:8" x14ac:dyDescent="0.35">
      <c r="B7">
        <v>2020</v>
      </c>
      <c r="C7">
        <v>112817</v>
      </c>
      <c r="D7">
        <v>15992791</v>
      </c>
      <c r="E7">
        <v>141.75869771399701</v>
      </c>
      <c r="F7" s="5">
        <f t="shared" si="0"/>
        <v>6.9648824838130396E-2</v>
      </c>
      <c r="G7">
        <f t="shared" ref="G7:G9" si="1">AVERAGE(E5:E7)</f>
        <v>127.08332620077867</v>
      </c>
      <c r="H7" s="5">
        <f>(G7/G6)-1</f>
        <v>6.8310990416993844E-2</v>
      </c>
    </row>
    <row r="8" spans="2:8" x14ac:dyDescent="0.35">
      <c r="B8">
        <v>2021</v>
      </c>
      <c r="C8">
        <v>110221</v>
      </c>
      <c r="D8">
        <v>15900486</v>
      </c>
      <c r="E8">
        <v>144.26004118997301</v>
      </c>
      <c r="F8" s="5">
        <f t="shared" si="0"/>
        <v>1.7645079394158492E-2</v>
      </c>
      <c r="G8">
        <f t="shared" si="1"/>
        <v>139.515666347181</v>
      </c>
      <c r="H8" s="5">
        <f t="shared" ref="H8:H9" si="2">(G8/G7)-1</f>
        <v>9.7828255822959065E-2</v>
      </c>
    </row>
    <row r="9" spans="2:8" x14ac:dyDescent="0.35">
      <c r="B9">
        <v>2022</v>
      </c>
      <c r="C9">
        <v>101258</v>
      </c>
      <c r="D9">
        <v>14926458</v>
      </c>
      <c r="E9">
        <v>147.410160184874</v>
      </c>
      <c r="F9" s="5">
        <f t="shared" si="0"/>
        <v>2.1836393286153832E-2</v>
      </c>
      <c r="G9">
        <f t="shared" si="1"/>
        <v>144.47629969628133</v>
      </c>
      <c r="H9" s="5">
        <f t="shared" si="2"/>
        <v>3.5556102615429186E-2</v>
      </c>
    </row>
    <row r="10" spans="2:8" x14ac:dyDescent="0.35">
      <c r="F10" s="3"/>
      <c r="H10" s="3"/>
    </row>
    <row r="11" spans="2:8" x14ac:dyDescent="0.35">
      <c r="E11" t="s">
        <v>41</v>
      </c>
      <c r="F11" s="3">
        <f>AVERAGE(F5:F9)</f>
        <v>5.1878239958268721E-2</v>
      </c>
      <c r="H11" s="3">
        <f>AVERAGE(H7:H9)</f>
        <v>6.7231782951794036E-2</v>
      </c>
    </row>
    <row r="13" spans="2:8" x14ac:dyDescent="0.35">
      <c r="E13" t="s">
        <v>42</v>
      </c>
      <c r="F13" s="5">
        <f>(E9/E4-1)/5</f>
        <v>5.1166486855411628E-2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4CE4-F9A0-441F-9DA0-D9C2975A0100}">
  <dimension ref="B3:J13"/>
  <sheetViews>
    <sheetView workbookViewId="0">
      <selection activeCell="J16" sqref="J16"/>
    </sheetView>
  </sheetViews>
  <sheetFormatPr defaultRowHeight="14.5" x14ac:dyDescent="0.35"/>
  <sheetData>
    <row r="3" spans="2:10" x14ac:dyDescent="0.35">
      <c r="B3" t="s">
        <v>0</v>
      </c>
      <c r="C3" t="s">
        <v>1</v>
      </c>
      <c r="D3" t="s">
        <v>7</v>
      </c>
      <c r="E3" t="s">
        <v>8</v>
      </c>
      <c r="F3" t="s">
        <v>9</v>
      </c>
      <c r="G3" t="s">
        <v>10</v>
      </c>
      <c r="H3" t="s">
        <v>4</v>
      </c>
      <c r="I3" t="s">
        <v>6</v>
      </c>
      <c r="J3" t="s">
        <v>5</v>
      </c>
    </row>
    <row r="4" spans="2:10" x14ac:dyDescent="0.35">
      <c r="B4">
        <v>2017</v>
      </c>
      <c r="C4">
        <v>116926</v>
      </c>
      <c r="D4">
        <v>4403</v>
      </c>
      <c r="E4">
        <v>278511</v>
      </c>
      <c r="F4">
        <v>63.254826254826298</v>
      </c>
      <c r="G4">
        <f>D4/C4</f>
        <v>3.7656295434719392E-2</v>
      </c>
    </row>
    <row r="5" spans="2:10" x14ac:dyDescent="0.35">
      <c r="B5">
        <v>2018</v>
      </c>
      <c r="C5">
        <v>119851</v>
      </c>
      <c r="D5">
        <v>4409</v>
      </c>
      <c r="E5">
        <v>315434</v>
      </c>
      <c r="F5">
        <v>71.543207076434598</v>
      </c>
      <c r="G5">
        <f t="shared" ref="G5:G9" si="0">D5/C5</f>
        <v>3.678734428582156E-2</v>
      </c>
      <c r="H5" s="1">
        <f>(G5/G4)-1</f>
        <v>-2.3075853290035808E-2</v>
      </c>
    </row>
    <row r="6" spans="2:10" x14ac:dyDescent="0.35">
      <c r="B6">
        <v>2019</v>
      </c>
      <c r="C6">
        <v>124734</v>
      </c>
      <c r="D6">
        <v>4706</v>
      </c>
      <c r="E6">
        <v>576460</v>
      </c>
      <c r="F6">
        <v>122.494687632809</v>
      </c>
      <c r="G6">
        <f t="shared" si="0"/>
        <v>3.7728285792165729E-2</v>
      </c>
      <c r="H6" s="1">
        <f t="shared" ref="H6:H9" si="1">(G6/G5)-1</f>
        <v>2.5577859033081296E-2</v>
      </c>
      <c r="I6">
        <f>AVERAGE(G4:G6)</f>
        <v>3.7390641837568898E-2</v>
      </c>
    </row>
    <row r="7" spans="2:10" x14ac:dyDescent="0.35">
      <c r="B7">
        <v>2020</v>
      </c>
      <c r="C7">
        <v>112817</v>
      </c>
      <c r="D7">
        <v>4234</v>
      </c>
      <c r="E7">
        <v>597005</v>
      </c>
      <c r="F7">
        <v>141.00259801606001</v>
      </c>
      <c r="G7">
        <f t="shared" si="0"/>
        <v>3.7529804905289094E-2</v>
      </c>
      <c r="H7" s="1">
        <f t="shared" si="1"/>
        <v>-5.2607979055823151E-3</v>
      </c>
      <c r="I7">
        <f t="shared" ref="I7:I9" si="2">AVERAGE(G5:G7)</f>
        <v>3.734847832775879E-2</v>
      </c>
      <c r="J7" s="1">
        <f>(I7/I6)-1</f>
        <v>-1.1276487307512184E-3</v>
      </c>
    </row>
    <row r="8" spans="2:10" x14ac:dyDescent="0.35">
      <c r="B8">
        <v>2021</v>
      </c>
      <c r="C8">
        <v>110221</v>
      </c>
      <c r="D8">
        <v>4848</v>
      </c>
      <c r="E8">
        <v>832959</v>
      </c>
      <c r="F8">
        <v>171.81497524752501</v>
      </c>
      <c r="G8">
        <f t="shared" si="0"/>
        <v>4.3984358697525879E-2</v>
      </c>
      <c r="H8" s="1">
        <f t="shared" si="1"/>
        <v>0.17198474142153453</v>
      </c>
      <c r="I8">
        <f t="shared" si="2"/>
        <v>3.9747483131660231E-2</v>
      </c>
      <c r="J8" s="1">
        <f t="shared" ref="J8:J9" si="3">(I8/I7)-1</f>
        <v>6.4232999878830688E-2</v>
      </c>
    </row>
    <row r="9" spans="2:10" x14ac:dyDescent="0.35">
      <c r="B9">
        <v>2022</v>
      </c>
      <c r="C9">
        <v>101258</v>
      </c>
      <c r="D9">
        <v>5443</v>
      </c>
      <c r="E9">
        <v>992707</v>
      </c>
      <c r="F9">
        <v>182.38232592320401</v>
      </c>
      <c r="G9">
        <f t="shared" si="0"/>
        <v>5.3753777479310275E-2</v>
      </c>
      <c r="H9" s="1">
        <f t="shared" si="1"/>
        <v>0.22211120205178592</v>
      </c>
      <c r="I9">
        <f t="shared" si="2"/>
        <v>4.5089313694041754E-2</v>
      </c>
      <c r="J9" s="1">
        <f t="shared" si="3"/>
        <v>0.13439418402134184</v>
      </c>
    </row>
    <row r="11" spans="2:10" x14ac:dyDescent="0.35">
      <c r="G11" t="s">
        <v>32</v>
      </c>
      <c r="H11" s="9">
        <f>AVERAGE(H5:H9)</f>
        <v>7.8267430262156726E-2</v>
      </c>
      <c r="J11" s="9">
        <f>AVERAGE(J7:J9)</f>
        <v>6.5833178389807109E-2</v>
      </c>
    </row>
    <row r="13" spans="2:10" x14ac:dyDescent="0.35">
      <c r="G13" t="s">
        <v>43</v>
      </c>
      <c r="H13" s="5">
        <f>(G9/G4-1)/5</f>
        <v>8.5496896913278858E-2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EF82C-3F2A-47A8-906D-B780A4712188}">
  <dimension ref="B3:G27"/>
  <sheetViews>
    <sheetView workbookViewId="0">
      <selection activeCell="B27" sqref="B27"/>
    </sheetView>
  </sheetViews>
  <sheetFormatPr defaultRowHeight="14.5" x14ac:dyDescent="0.35"/>
  <cols>
    <col min="2" max="2" width="8.7265625" customWidth="1"/>
  </cols>
  <sheetData>
    <row r="3" spans="2:7" x14ac:dyDescent="0.35">
      <c r="B3" t="s">
        <v>75</v>
      </c>
      <c r="G3" s="12" t="s">
        <v>68</v>
      </c>
    </row>
    <row r="4" spans="2:7" x14ac:dyDescent="0.35">
      <c r="B4">
        <v>12.3</v>
      </c>
    </row>
    <row r="5" spans="2:7" x14ac:dyDescent="0.35">
      <c r="B5" t="s">
        <v>63</v>
      </c>
    </row>
    <row r="6" spans="2:7" x14ac:dyDescent="0.35">
      <c r="B6">
        <v>2.2999999999999998</v>
      </c>
    </row>
    <row r="8" spans="2:7" x14ac:dyDescent="0.35">
      <c r="B8" t="s">
        <v>69</v>
      </c>
    </row>
    <row r="9" spans="2:7" x14ac:dyDescent="0.35">
      <c r="B9" s="1">
        <f>B6/B4</f>
        <v>0.18699186991869915</v>
      </c>
    </row>
    <row r="10" spans="2:7" x14ac:dyDescent="0.35">
      <c r="B10" s="1"/>
    </row>
    <row r="11" spans="2:7" x14ac:dyDescent="0.35">
      <c r="B11" t="s">
        <v>65</v>
      </c>
      <c r="G11" s="12" t="s">
        <v>67</v>
      </c>
    </row>
    <row r="12" spans="2:7" x14ac:dyDescent="0.35">
      <c r="B12" t="s">
        <v>64</v>
      </c>
      <c r="C12" s="3">
        <v>7.8E-2</v>
      </c>
    </row>
    <row r="13" spans="2:7" x14ac:dyDescent="0.35">
      <c r="B13" t="s">
        <v>66</v>
      </c>
      <c r="C13" s="3">
        <v>0.11600000000000001</v>
      </c>
    </row>
    <row r="14" spans="2:7" x14ac:dyDescent="0.35">
      <c r="C14" s="3"/>
    </row>
    <row r="15" spans="2:7" x14ac:dyDescent="0.35">
      <c r="B15" t="s">
        <v>70</v>
      </c>
      <c r="E15" s="3">
        <f>AVERAGE(C12:C13)</f>
        <v>9.7000000000000003E-2</v>
      </c>
    </row>
    <row r="17" spans="2:7" x14ac:dyDescent="0.35">
      <c r="B17" t="s">
        <v>76</v>
      </c>
      <c r="G17" t="s">
        <v>77</v>
      </c>
    </row>
    <row r="18" spans="2:7" x14ac:dyDescent="0.35">
      <c r="B18" s="10">
        <v>0.5</v>
      </c>
    </row>
    <row r="19" spans="2:7" x14ac:dyDescent="0.35">
      <c r="B19" s="10"/>
    </row>
    <row r="20" spans="2:7" x14ac:dyDescent="0.35">
      <c r="B20" t="s">
        <v>72</v>
      </c>
    </row>
    <row r="21" spans="2:7" x14ac:dyDescent="0.35">
      <c r="B21" s="11">
        <f>B18*E15</f>
        <v>4.8500000000000001E-2</v>
      </c>
    </row>
    <row r="24" spans="2:7" x14ac:dyDescent="0.35">
      <c r="B24" s="13" t="s">
        <v>71</v>
      </c>
    </row>
    <row r="25" spans="2:7" x14ac:dyDescent="0.35">
      <c r="B25" s="13" t="s">
        <v>73</v>
      </c>
    </row>
    <row r="26" spans="2:7" x14ac:dyDescent="0.35">
      <c r="B26" s="13" t="s">
        <v>78</v>
      </c>
    </row>
    <row r="27" spans="2:7" x14ac:dyDescent="0.35">
      <c r="B27" s="13" t="s">
        <v>74</v>
      </c>
    </row>
  </sheetData>
  <hyperlinks>
    <hyperlink ref="G11" r:id="rId1" xr:uid="{1E4B2D23-1439-4618-AFE3-EA04C0D59F29}"/>
    <hyperlink ref="G3" r:id="rId2" xr:uid="{A0B9C68C-B0F5-458C-A341-21D11F1BA23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C0C4-A60D-4E0B-8C7B-8254B457DBEC}">
  <dimension ref="B3:Q35"/>
  <sheetViews>
    <sheetView workbookViewId="0">
      <selection activeCell="U17" sqref="U17"/>
    </sheetView>
  </sheetViews>
  <sheetFormatPr defaultRowHeight="14.5" x14ac:dyDescent="0.35"/>
  <cols>
    <col min="8" max="8" width="9" bestFit="1" customWidth="1"/>
  </cols>
  <sheetData>
    <row r="3" spans="2:17" x14ac:dyDescent="0.35">
      <c r="B3" t="s">
        <v>79</v>
      </c>
    </row>
    <row r="5" spans="2:17" x14ac:dyDescent="0.35">
      <c r="D5" s="10"/>
      <c r="G5" t="s">
        <v>96</v>
      </c>
    </row>
    <row r="6" spans="2:17" x14ac:dyDescent="0.35">
      <c r="B6" t="s">
        <v>80</v>
      </c>
      <c r="C6" t="s">
        <v>91</v>
      </c>
      <c r="G6" s="6">
        <v>10000</v>
      </c>
      <c r="H6">
        <v>9000</v>
      </c>
      <c r="I6">
        <v>8000</v>
      </c>
      <c r="J6">
        <v>7000</v>
      </c>
      <c r="K6">
        <v>6000</v>
      </c>
      <c r="L6">
        <v>5000</v>
      </c>
      <c r="M6">
        <v>4000</v>
      </c>
      <c r="N6">
        <v>3000</v>
      </c>
      <c r="O6">
        <v>2000</v>
      </c>
      <c r="P6">
        <v>1000</v>
      </c>
      <c r="Q6">
        <v>0</v>
      </c>
    </row>
    <row r="7" spans="2:17" x14ac:dyDescent="0.35">
      <c r="B7" s="14" t="s">
        <v>81</v>
      </c>
      <c r="C7" s="10">
        <v>0.12</v>
      </c>
      <c r="D7" s="4"/>
      <c r="G7">
        <f>G$6*$C7</f>
        <v>1200</v>
      </c>
      <c r="H7">
        <f>H$6*$C7</f>
        <v>1080</v>
      </c>
      <c r="I7">
        <f t="shared" ref="H7:Q11" si="0">I$6*$C7</f>
        <v>960</v>
      </c>
      <c r="J7">
        <f t="shared" si="0"/>
        <v>840</v>
      </c>
      <c r="K7">
        <f t="shared" si="0"/>
        <v>720</v>
      </c>
      <c r="L7">
        <f t="shared" si="0"/>
        <v>600</v>
      </c>
      <c r="M7">
        <f t="shared" si="0"/>
        <v>480</v>
      </c>
      <c r="N7">
        <f t="shared" si="0"/>
        <v>360</v>
      </c>
      <c r="O7">
        <f t="shared" si="0"/>
        <v>240</v>
      </c>
      <c r="P7">
        <f t="shared" si="0"/>
        <v>120</v>
      </c>
      <c r="Q7">
        <f t="shared" si="0"/>
        <v>0</v>
      </c>
    </row>
    <row r="8" spans="2:17" x14ac:dyDescent="0.35">
      <c r="B8" s="14">
        <v>999</v>
      </c>
      <c r="C8" s="10">
        <v>7.0000000000000007E-2</v>
      </c>
      <c r="D8" s="4"/>
      <c r="G8">
        <f t="shared" ref="G8:G11" si="1">G$6*$C8</f>
        <v>700.00000000000011</v>
      </c>
      <c r="H8">
        <f t="shared" si="0"/>
        <v>630.00000000000011</v>
      </c>
      <c r="I8">
        <f t="shared" si="0"/>
        <v>560</v>
      </c>
      <c r="J8">
        <f t="shared" si="0"/>
        <v>490.00000000000006</v>
      </c>
      <c r="K8">
        <f t="shared" si="0"/>
        <v>420.00000000000006</v>
      </c>
      <c r="L8">
        <f t="shared" si="0"/>
        <v>350.00000000000006</v>
      </c>
      <c r="M8">
        <f t="shared" si="0"/>
        <v>280</v>
      </c>
      <c r="N8">
        <f t="shared" si="0"/>
        <v>210.00000000000003</v>
      </c>
      <c r="O8">
        <f t="shared" si="0"/>
        <v>140</v>
      </c>
      <c r="P8">
        <f t="shared" si="0"/>
        <v>70</v>
      </c>
      <c r="Q8">
        <f t="shared" si="0"/>
        <v>0</v>
      </c>
    </row>
    <row r="9" spans="2:17" x14ac:dyDescent="0.35">
      <c r="B9" s="14">
        <v>111</v>
      </c>
      <c r="C9" s="10">
        <v>0.16</v>
      </c>
      <c r="D9" s="4"/>
      <c r="G9">
        <f t="shared" si="1"/>
        <v>1600</v>
      </c>
      <c r="H9">
        <f t="shared" si="0"/>
        <v>1440</v>
      </c>
      <c r="I9">
        <f t="shared" si="0"/>
        <v>1280</v>
      </c>
      <c r="J9">
        <f t="shared" si="0"/>
        <v>1120</v>
      </c>
      <c r="K9">
        <f t="shared" si="0"/>
        <v>960</v>
      </c>
      <c r="L9">
        <f t="shared" si="0"/>
        <v>800</v>
      </c>
      <c r="M9">
        <f t="shared" si="0"/>
        <v>640</v>
      </c>
      <c r="N9">
        <f t="shared" si="0"/>
        <v>480</v>
      </c>
      <c r="O9">
        <f t="shared" si="0"/>
        <v>320</v>
      </c>
      <c r="P9">
        <f t="shared" si="0"/>
        <v>160</v>
      </c>
      <c r="Q9">
        <f t="shared" si="0"/>
        <v>0</v>
      </c>
    </row>
    <row r="10" spans="2:17" x14ac:dyDescent="0.35">
      <c r="B10" s="14" t="s">
        <v>82</v>
      </c>
      <c r="C10" s="10">
        <v>0.27</v>
      </c>
      <c r="D10" s="4"/>
      <c r="G10">
        <f t="shared" si="1"/>
        <v>2700</v>
      </c>
      <c r="H10">
        <f t="shared" si="0"/>
        <v>2430</v>
      </c>
      <c r="I10">
        <f t="shared" si="0"/>
        <v>2160</v>
      </c>
      <c r="J10">
        <f t="shared" si="0"/>
        <v>1890.0000000000002</v>
      </c>
      <c r="K10">
        <f t="shared" si="0"/>
        <v>1620</v>
      </c>
      <c r="L10">
        <f t="shared" si="0"/>
        <v>1350</v>
      </c>
      <c r="M10">
        <f t="shared" si="0"/>
        <v>1080</v>
      </c>
      <c r="N10">
        <f t="shared" si="0"/>
        <v>810</v>
      </c>
      <c r="O10">
        <f t="shared" si="0"/>
        <v>540</v>
      </c>
      <c r="P10">
        <f t="shared" si="0"/>
        <v>270</v>
      </c>
      <c r="Q10">
        <f t="shared" si="0"/>
        <v>0</v>
      </c>
    </row>
    <row r="11" spans="2:17" x14ac:dyDescent="0.35">
      <c r="B11" s="14" t="s">
        <v>90</v>
      </c>
      <c r="C11" s="10">
        <f>78%-SUM(C7:C10)</f>
        <v>0.16000000000000003</v>
      </c>
      <c r="D11" s="4"/>
      <c r="G11">
        <f t="shared" si="1"/>
        <v>1600.0000000000002</v>
      </c>
      <c r="H11">
        <f t="shared" si="0"/>
        <v>1440.0000000000002</v>
      </c>
      <c r="I11">
        <f t="shared" si="0"/>
        <v>1280.0000000000002</v>
      </c>
      <c r="J11">
        <f t="shared" si="0"/>
        <v>1120.0000000000002</v>
      </c>
      <c r="K11">
        <f t="shared" si="0"/>
        <v>960.00000000000023</v>
      </c>
      <c r="L11">
        <f t="shared" si="0"/>
        <v>800.00000000000011</v>
      </c>
      <c r="M11">
        <f t="shared" si="0"/>
        <v>640.00000000000011</v>
      </c>
      <c r="N11">
        <f t="shared" si="0"/>
        <v>480.00000000000011</v>
      </c>
      <c r="O11">
        <f t="shared" si="0"/>
        <v>320.00000000000006</v>
      </c>
      <c r="P11">
        <f t="shared" si="0"/>
        <v>160.00000000000003</v>
      </c>
      <c r="Q11">
        <f t="shared" si="0"/>
        <v>0</v>
      </c>
    </row>
    <row r="13" spans="2:17" x14ac:dyDescent="0.35">
      <c r="B13" t="s">
        <v>83</v>
      </c>
    </row>
    <row r="14" spans="2:17" x14ac:dyDescent="0.35">
      <c r="B14" s="14" t="s">
        <v>81</v>
      </c>
      <c r="C14" s="10">
        <v>0.1</v>
      </c>
      <c r="E14" t="s">
        <v>84</v>
      </c>
      <c r="G14">
        <f>G7*$C14</f>
        <v>120</v>
      </c>
      <c r="H14">
        <f t="shared" ref="H14:Q14" si="2">H7*$C14</f>
        <v>108</v>
      </c>
      <c r="I14">
        <f t="shared" si="2"/>
        <v>96</v>
      </c>
      <c r="J14">
        <f t="shared" si="2"/>
        <v>84</v>
      </c>
      <c r="K14">
        <f t="shared" si="2"/>
        <v>72</v>
      </c>
      <c r="L14">
        <f t="shared" si="2"/>
        <v>60</v>
      </c>
      <c r="M14">
        <f t="shared" si="2"/>
        <v>48</v>
      </c>
      <c r="N14">
        <f t="shared" si="2"/>
        <v>36</v>
      </c>
      <c r="O14">
        <f t="shared" si="2"/>
        <v>24</v>
      </c>
      <c r="P14">
        <f t="shared" si="2"/>
        <v>12</v>
      </c>
      <c r="Q14">
        <f t="shared" si="2"/>
        <v>0</v>
      </c>
    </row>
    <row r="15" spans="2:17" x14ac:dyDescent="0.35">
      <c r="B15" s="14">
        <v>999</v>
      </c>
      <c r="C15" s="10">
        <v>0.05</v>
      </c>
      <c r="E15" t="s">
        <v>84</v>
      </c>
      <c r="G15">
        <f t="shared" ref="G15:Q18" si="3">G8*$C15</f>
        <v>35.000000000000007</v>
      </c>
      <c r="H15">
        <f t="shared" si="3"/>
        <v>31.500000000000007</v>
      </c>
      <c r="I15">
        <f t="shared" si="3"/>
        <v>28</v>
      </c>
      <c r="J15">
        <f t="shared" si="3"/>
        <v>24.500000000000004</v>
      </c>
      <c r="K15">
        <f t="shared" si="3"/>
        <v>21.000000000000004</v>
      </c>
      <c r="L15">
        <f t="shared" si="3"/>
        <v>17.500000000000004</v>
      </c>
      <c r="M15">
        <f t="shared" si="3"/>
        <v>14</v>
      </c>
      <c r="N15">
        <f t="shared" si="3"/>
        <v>10.500000000000002</v>
      </c>
      <c r="O15">
        <f t="shared" si="3"/>
        <v>7</v>
      </c>
      <c r="P15">
        <f t="shared" si="3"/>
        <v>3.5</v>
      </c>
      <c r="Q15">
        <f t="shared" si="3"/>
        <v>0</v>
      </c>
    </row>
    <row r="16" spans="2:17" x14ac:dyDescent="0.35">
      <c r="B16" s="14">
        <v>111</v>
      </c>
      <c r="C16" s="10">
        <v>0.02</v>
      </c>
      <c r="E16" t="s">
        <v>84</v>
      </c>
      <c r="G16">
        <f t="shared" si="3"/>
        <v>32</v>
      </c>
      <c r="H16">
        <f t="shared" si="3"/>
        <v>28.8</v>
      </c>
      <c r="I16">
        <f t="shared" si="3"/>
        <v>25.6</v>
      </c>
      <c r="J16">
        <f t="shared" si="3"/>
        <v>22.400000000000002</v>
      </c>
      <c r="K16">
        <f t="shared" si="3"/>
        <v>19.2</v>
      </c>
      <c r="L16">
        <f t="shared" si="3"/>
        <v>16</v>
      </c>
      <c r="M16">
        <f t="shared" si="3"/>
        <v>12.8</v>
      </c>
      <c r="N16">
        <f t="shared" si="3"/>
        <v>9.6</v>
      </c>
      <c r="O16">
        <f t="shared" si="3"/>
        <v>6.4</v>
      </c>
      <c r="P16">
        <f t="shared" si="3"/>
        <v>3.2</v>
      </c>
      <c r="Q16">
        <f t="shared" si="3"/>
        <v>0</v>
      </c>
    </row>
    <row r="17" spans="2:17" x14ac:dyDescent="0.35">
      <c r="B17" s="14" t="s">
        <v>82</v>
      </c>
      <c r="C17" s="10">
        <v>0.2</v>
      </c>
      <c r="E17" t="s">
        <v>84</v>
      </c>
      <c r="G17">
        <f t="shared" si="3"/>
        <v>540</v>
      </c>
      <c r="H17">
        <f t="shared" si="3"/>
        <v>486</v>
      </c>
      <c r="I17">
        <f t="shared" si="3"/>
        <v>432</v>
      </c>
      <c r="J17">
        <f t="shared" si="3"/>
        <v>378.00000000000006</v>
      </c>
      <c r="K17">
        <f t="shared" si="3"/>
        <v>324</v>
      </c>
      <c r="L17">
        <f t="shared" si="3"/>
        <v>270</v>
      </c>
      <c r="M17">
        <f t="shared" si="3"/>
        <v>216</v>
      </c>
      <c r="N17">
        <f t="shared" si="3"/>
        <v>162</v>
      </c>
      <c r="O17">
        <f t="shared" si="3"/>
        <v>108</v>
      </c>
      <c r="P17">
        <f t="shared" si="3"/>
        <v>54</v>
      </c>
      <c r="Q17">
        <f t="shared" si="3"/>
        <v>0</v>
      </c>
    </row>
    <row r="18" spans="2:17" x14ac:dyDescent="0.35">
      <c r="B18" s="14" t="s">
        <v>90</v>
      </c>
      <c r="C18" s="10">
        <v>0.1</v>
      </c>
      <c r="E18" t="s">
        <v>84</v>
      </c>
      <c r="G18">
        <f t="shared" si="3"/>
        <v>160.00000000000003</v>
      </c>
      <c r="H18">
        <f t="shared" si="3"/>
        <v>144.00000000000003</v>
      </c>
      <c r="I18">
        <f t="shared" si="3"/>
        <v>128.00000000000003</v>
      </c>
      <c r="J18">
        <f t="shared" si="3"/>
        <v>112.00000000000003</v>
      </c>
      <c r="K18">
        <f t="shared" si="3"/>
        <v>96.000000000000028</v>
      </c>
      <c r="L18">
        <f t="shared" si="3"/>
        <v>80.000000000000014</v>
      </c>
      <c r="M18">
        <f t="shared" si="3"/>
        <v>64.000000000000014</v>
      </c>
      <c r="N18">
        <f t="shared" si="3"/>
        <v>48.000000000000014</v>
      </c>
      <c r="O18">
        <f t="shared" si="3"/>
        <v>32.000000000000007</v>
      </c>
      <c r="P18">
        <f t="shared" si="3"/>
        <v>16.000000000000004</v>
      </c>
      <c r="Q18">
        <f t="shared" si="3"/>
        <v>0</v>
      </c>
    </row>
    <row r="20" spans="2:17" x14ac:dyDescent="0.35">
      <c r="E20" t="s">
        <v>88</v>
      </c>
      <c r="G20">
        <f>SUM(G14:G18)</f>
        <v>887</v>
      </c>
      <c r="H20" s="16">
        <f>SUM(H14:H18)</f>
        <v>798.3</v>
      </c>
      <c r="I20">
        <f t="shared" ref="I20:Q20" si="4">SUM(I14:I18)</f>
        <v>709.6</v>
      </c>
      <c r="J20" s="16">
        <f t="shared" si="4"/>
        <v>620.90000000000009</v>
      </c>
      <c r="K20">
        <f t="shared" si="4"/>
        <v>532.20000000000005</v>
      </c>
      <c r="L20" s="16">
        <f t="shared" si="4"/>
        <v>443.5</v>
      </c>
      <c r="M20">
        <f t="shared" si="4"/>
        <v>354.8</v>
      </c>
      <c r="N20" s="16">
        <f t="shared" si="4"/>
        <v>266.10000000000002</v>
      </c>
      <c r="O20">
        <f t="shared" si="4"/>
        <v>177.4</v>
      </c>
      <c r="P20" s="16">
        <f t="shared" si="4"/>
        <v>88.7</v>
      </c>
      <c r="Q20">
        <f t="shared" si="4"/>
        <v>0</v>
      </c>
    </row>
    <row r="21" spans="2:17" x14ac:dyDescent="0.35">
      <c r="B21" s="14"/>
      <c r="C21" s="15"/>
    </row>
    <row r="22" spans="2:17" x14ac:dyDescent="0.35">
      <c r="B22" s="14"/>
      <c r="C22" s="15"/>
      <c r="G22" s="17" t="s">
        <v>94</v>
      </c>
      <c r="H22" s="16">
        <f>H20-$G$20</f>
        <v>-88.700000000000045</v>
      </c>
      <c r="I22" s="16">
        <f t="shared" ref="I22:Q22" si="5">I20-$G$20</f>
        <v>-177.39999999999998</v>
      </c>
      <c r="J22" s="16">
        <f t="shared" si="5"/>
        <v>-266.09999999999991</v>
      </c>
      <c r="K22" s="16">
        <f t="shared" si="5"/>
        <v>-354.79999999999995</v>
      </c>
      <c r="L22" s="16">
        <f t="shared" si="5"/>
        <v>-443.5</v>
      </c>
      <c r="M22" s="16">
        <f t="shared" si="5"/>
        <v>-532.20000000000005</v>
      </c>
      <c r="N22" s="16">
        <f t="shared" si="5"/>
        <v>-620.9</v>
      </c>
      <c r="O22" s="16">
        <f t="shared" si="5"/>
        <v>-709.6</v>
      </c>
      <c r="P22" s="16">
        <f t="shared" si="5"/>
        <v>-798.3</v>
      </c>
      <c r="Q22" s="16">
        <f t="shared" si="5"/>
        <v>-887</v>
      </c>
    </row>
    <row r="23" spans="2:17" x14ac:dyDescent="0.35">
      <c r="B23" s="14"/>
      <c r="C23" s="15"/>
      <c r="G23" s="17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2:17" x14ac:dyDescent="0.35">
      <c r="B24" s="14"/>
      <c r="C24" s="15"/>
      <c r="G24" s="17" t="s">
        <v>97</v>
      </c>
      <c r="H24" s="5">
        <f>256347/695983</f>
        <v>0.36832365158344382</v>
      </c>
    </row>
    <row r="25" spans="2:17" x14ac:dyDescent="0.35">
      <c r="B25" s="14"/>
      <c r="C25" s="15"/>
      <c r="H25" s="16"/>
    </row>
    <row r="26" spans="2:17" x14ac:dyDescent="0.35">
      <c r="B26" s="14"/>
      <c r="C26" s="15"/>
      <c r="F26" s="17" t="s">
        <v>95</v>
      </c>
      <c r="G26" s="16">
        <f>G20/$H$24</f>
        <v>2408.2080968374898</v>
      </c>
      <c r="H26" s="16"/>
    </row>
    <row r="27" spans="2:17" x14ac:dyDescent="0.35">
      <c r="B27" s="14"/>
      <c r="C27" s="15"/>
      <c r="H27" s="16"/>
    </row>
    <row r="28" spans="2:17" x14ac:dyDescent="0.35">
      <c r="B28" s="14"/>
      <c r="C28" s="15"/>
      <c r="G28" s="6" t="s">
        <v>89</v>
      </c>
      <c r="H28" s="18">
        <f>H22/$G$26</f>
        <v>-3.6832365158344406E-2</v>
      </c>
      <c r="I28" s="18">
        <f t="shared" ref="I28:Q28" si="6">I22/$G$26</f>
        <v>-7.3664730316688756E-2</v>
      </c>
      <c r="J28" s="18">
        <f t="shared" si="6"/>
        <v>-0.11049709547503311</v>
      </c>
      <c r="K28" s="18">
        <f t="shared" si="6"/>
        <v>-0.14732946063337751</v>
      </c>
      <c r="L28" s="18">
        <f t="shared" si="6"/>
        <v>-0.18416182579172191</v>
      </c>
      <c r="M28" s="18">
        <f t="shared" si="6"/>
        <v>-0.22099419095006634</v>
      </c>
      <c r="N28" s="18">
        <f t="shared" si="6"/>
        <v>-0.25782655610841065</v>
      </c>
      <c r="O28" s="18">
        <f t="shared" si="6"/>
        <v>-0.29465892126675508</v>
      </c>
      <c r="P28" s="18">
        <f t="shared" si="6"/>
        <v>-0.33149128642509945</v>
      </c>
      <c r="Q28" s="18">
        <f t="shared" si="6"/>
        <v>-0.36832365158344382</v>
      </c>
    </row>
    <row r="29" spans="2:17" x14ac:dyDescent="0.35">
      <c r="B29" s="14"/>
      <c r="C29" s="15"/>
      <c r="I29" s="3"/>
      <c r="J29" s="3"/>
      <c r="K29" s="3"/>
      <c r="L29" s="3"/>
      <c r="M29" s="3"/>
      <c r="N29" s="3"/>
      <c r="O29" s="3"/>
      <c r="P29" s="3"/>
      <c r="Q29" s="3"/>
    </row>
    <row r="30" spans="2:17" x14ac:dyDescent="0.35">
      <c r="B30" s="14" t="s">
        <v>85</v>
      </c>
      <c r="C30" s="15"/>
    </row>
    <row r="31" spans="2:17" x14ac:dyDescent="0.35">
      <c r="B31" s="14" t="s">
        <v>86</v>
      </c>
      <c r="C31" s="15"/>
    </row>
    <row r="32" spans="2:17" x14ac:dyDescent="0.35">
      <c r="B32" s="14" t="s">
        <v>93</v>
      </c>
      <c r="C32" s="15"/>
    </row>
    <row r="33" spans="2:3" x14ac:dyDescent="0.35">
      <c r="B33" s="14" t="s">
        <v>87</v>
      </c>
      <c r="C33" s="15"/>
    </row>
    <row r="34" spans="2:3" x14ac:dyDescent="0.35">
      <c r="B34" s="14" t="s">
        <v>92</v>
      </c>
    </row>
    <row r="35" spans="2:3" x14ac:dyDescent="0.35">
      <c r="C3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8160-9D4A-4C7E-A894-6B181D968370}">
  <dimension ref="B2:D12"/>
  <sheetViews>
    <sheetView workbookViewId="0">
      <selection activeCell="D5" sqref="D5"/>
    </sheetView>
  </sheetViews>
  <sheetFormatPr defaultRowHeight="14.5" x14ac:dyDescent="0.35"/>
  <cols>
    <col min="2" max="2" width="30.90625" bestFit="1" customWidth="1"/>
  </cols>
  <sheetData>
    <row r="2" spans="2:4" x14ac:dyDescent="0.35">
      <c r="B2" t="s">
        <v>98</v>
      </c>
    </row>
    <row r="4" spans="2:4" x14ac:dyDescent="0.35">
      <c r="C4" t="s">
        <v>99</v>
      </c>
      <c r="D4" t="s">
        <v>107</v>
      </c>
    </row>
    <row r="5" spans="2:4" x14ac:dyDescent="0.35">
      <c r="B5" t="s">
        <v>101</v>
      </c>
      <c r="C5">
        <v>4.1484987933858184</v>
      </c>
    </row>
    <row r="6" spans="2:4" x14ac:dyDescent="0.35">
      <c r="B6" t="s">
        <v>102</v>
      </c>
      <c r="C6">
        <v>8.0508248218235234</v>
      </c>
    </row>
    <row r="7" spans="2:4" x14ac:dyDescent="0.35">
      <c r="B7" t="s">
        <v>103</v>
      </c>
      <c r="C7">
        <v>3.6327161415325353</v>
      </c>
    </row>
    <row r="8" spans="2:4" x14ac:dyDescent="0.35">
      <c r="B8" t="s">
        <v>104</v>
      </c>
      <c r="C8">
        <v>4.578849201798235</v>
      </c>
    </row>
    <row r="9" spans="2:4" x14ac:dyDescent="0.35">
      <c r="B9" t="s">
        <v>105</v>
      </c>
      <c r="C9">
        <v>3.7179216430933284</v>
      </c>
    </row>
    <row r="10" spans="2:4" x14ac:dyDescent="0.35">
      <c r="B10" t="s">
        <v>106</v>
      </c>
      <c r="C10">
        <v>6.1576878040907337</v>
      </c>
    </row>
    <row r="12" spans="2:4" x14ac:dyDescent="0.35">
      <c r="B12" t="s">
        <v>100</v>
      </c>
      <c r="C12">
        <f>AVERAGE(C5:C10)</f>
        <v>5.0477497342873621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incidence</vt:lpstr>
      <vt:lpstr>acuity_los</vt:lpstr>
      <vt:lpstr>delay_disch</vt:lpstr>
      <vt:lpstr>nat policy</vt:lpstr>
      <vt:lpstr>waiting lists</vt:lpstr>
      <vt:lpstr>admavoid_prev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Hood (Strategy Unit, hosted by ML)</dc:creator>
  <cp:lastModifiedBy>Andrew Hood (Strategy Unit, hosted by ML)</cp:lastModifiedBy>
  <dcterms:created xsi:type="dcterms:W3CDTF">2024-12-12T11:41:19Z</dcterms:created>
  <dcterms:modified xsi:type="dcterms:W3CDTF">2025-01-08T14:14:13Z</dcterms:modified>
</cp:coreProperties>
</file>